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525" windowWidth="28755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Data!$J$65</definedName>
    <definedName name="_xlnm.Print_Area" localSheetId="0">Data!$A$1:$AO$193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O170" i="11" l="1"/>
  <c r="AJ175" i="11"/>
  <c r="AK175" i="11"/>
  <c r="AL175" i="11"/>
  <c r="AM175" i="11"/>
  <c r="AN175" i="11"/>
  <c r="AO175" i="11"/>
  <c r="AJ176" i="11"/>
  <c r="AK176" i="11"/>
  <c r="AL176" i="11"/>
  <c r="AM176" i="11"/>
  <c r="AN176" i="11"/>
  <c r="AO176" i="11"/>
  <c r="AJ177" i="11"/>
  <c r="AK177" i="11"/>
  <c r="AL177" i="11"/>
  <c r="AM177" i="11"/>
  <c r="AN177" i="11"/>
  <c r="AO177" i="11"/>
  <c r="AJ178" i="11"/>
  <c r="AK178" i="11"/>
  <c r="AL178" i="11"/>
  <c r="AM178" i="11"/>
  <c r="AN178" i="11"/>
  <c r="AO178" i="11"/>
  <c r="AJ179" i="11"/>
  <c r="AK179" i="11"/>
  <c r="AL179" i="11"/>
  <c r="AM179" i="11"/>
  <c r="AN179" i="11"/>
  <c r="AO179" i="11"/>
  <c r="AJ180" i="11"/>
  <c r="AK180" i="11"/>
  <c r="AL180" i="11"/>
  <c r="AM180" i="11"/>
  <c r="AN180" i="11"/>
  <c r="AO180" i="11"/>
  <c r="AJ181" i="11"/>
  <c r="AK181" i="11"/>
  <c r="AL181" i="11"/>
  <c r="AM181" i="11"/>
  <c r="AN181" i="11"/>
  <c r="AO181" i="11"/>
  <c r="AJ182" i="11"/>
  <c r="AK182" i="11"/>
  <c r="AL182" i="11"/>
  <c r="AM182" i="11"/>
  <c r="AN182" i="11"/>
  <c r="AO182" i="11"/>
  <c r="AJ183" i="11"/>
  <c r="AK183" i="11"/>
  <c r="AL183" i="11"/>
  <c r="AM183" i="11"/>
  <c r="AN183" i="11"/>
  <c r="AO183" i="11"/>
  <c r="AJ184" i="11"/>
  <c r="AK184" i="11"/>
  <c r="AL184" i="11"/>
  <c r="AM184" i="11"/>
  <c r="AN184" i="11"/>
  <c r="AO184" i="11"/>
  <c r="AJ185" i="11"/>
  <c r="AK185" i="11"/>
  <c r="AL185" i="11"/>
  <c r="AM185" i="11"/>
  <c r="AN185" i="11"/>
  <c r="AO185" i="11"/>
  <c r="AJ186" i="11"/>
  <c r="AL186" i="11"/>
  <c r="AN186" i="11"/>
  <c r="AJ187" i="11"/>
  <c r="AL187" i="11"/>
  <c r="AN187" i="11"/>
  <c r="AO174" i="11"/>
  <c r="AN174" i="11"/>
  <c r="AM174" i="11"/>
  <c r="AL174" i="11"/>
  <c r="AK174" i="11"/>
  <c r="AJ17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L86" i="11"/>
  <c r="AN86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L109" i="11"/>
  <c r="AN109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N142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L147" i="11"/>
  <c r="AM147" i="11"/>
  <c r="AN147" i="11"/>
  <c r="AJ148" i="11"/>
  <c r="AL148" i="11"/>
  <c r="AN148" i="11"/>
  <c r="AJ152" i="11"/>
  <c r="AK152" i="11"/>
  <c r="AL152" i="11"/>
  <c r="AM152" i="11"/>
  <c r="AN152" i="11"/>
  <c r="AO152" i="11"/>
  <c r="AJ153" i="11"/>
  <c r="AK153" i="11"/>
  <c r="AL153" i="11"/>
  <c r="AM153" i="11"/>
  <c r="AN153" i="11"/>
  <c r="AO153" i="11"/>
  <c r="AJ156" i="11"/>
  <c r="AK156" i="11"/>
  <c r="AL156" i="11"/>
  <c r="AM156" i="11"/>
  <c r="AN156" i="11"/>
  <c r="AO156" i="11"/>
  <c r="AJ157" i="11"/>
  <c r="AK157" i="11"/>
  <c r="AL157" i="11"/>
  <c r="AM157" i="11"/>
  <c r="AN157" i="11"/>
  <c r="AO157" i="11"/>
  <c r="AJ158" i="11"/>
  <c r="AK158" i="11"/>
  <c r="AL158" i="11"/>
  <c r="AM158" i="11"/>
  <c r="AN158" i="11"/>
  <c r="AO158" i="11"/>
  <c r="AJ159" i="11"/>
  <c r="AK159" i="11"/>
  <c r="AL159" i="11"/>
  <c r="AM159" i="11"/>
  <c r="AN159" i="11"/>
  <c r="AO159" i="11"/>
  <c r="AJ160" i="11"/>
  <c r="AK160" i="11"/>
  <c r="AL160" i="11"/>
  <c r="AM160" i="11"/>
  <c r="AN160" i="11"/>
  <c r="AO160" i="11"/>
  <c r="AJ161" i="11"/>
  <c r="AK161" i="11"/>
  <c r="AL161" i="11"/>
  <c r="AM161" i="11"/>
  <c r="AN161" i="11"/>
  <c r="AO161" i="11"/>
  <c r="AJ162" i="11"/>
  <c r="AK162" i="11"/>
  <c r="AL162" i="11"/>
  <c r="AM162" i="11"/>
  <c r="AN162" i="11"/>
  <c r="AO162" i="11"/>
  <c r="AJ163" i="11"/>
  <c r="AL163" i="11"/>
  <c r="AN163" i="11"/>
  <c r="AJ164" i="11"/>
  <c r="AL164" i="11"/>
  <c r="AN164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L53" i="11"/>
  <c r="AN53" i="11"/>
  <c r="AO24" i="11"/>
  <c r="AN24" i="11"/>
  <c r="AM24" i="11"/>
  <c r="AL24" i="11"/>
  <c r="AK24" i="11"/>
  <c r="AJ24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K20" i="11"/>
  <c r="AL20" i="11"/>
  <c r="AM20" i="11"/>
  <c r="AN20" i="11"/>
  <c r="AO20" i="11"/>
  <c r="AJ21" i="11"/>
  <c r="AL21" i="11"/>
  <c r="AN21" i="11"/>
  <c r="AO5" i="11"/>
  <c r="AN5" i="11"/>
  <c r="AM5" i="11"/>
  <c r="AL5" i="11"/>
  <c r="AK5" i="11"/>
  <c r="AJ5" i="11"/>
  <c r="AF187" i="11"/>
  <c r="AF186" i="11"/>
  <c r="AF171" i="11"/>
  <c r="AF164" i="11"/>
  <c r="AF163" i="11"/>
  <c r="AF148" i="11"/>
  <c r="AF142" i="11"/>
  <c r="AF116" i="11"/>
  <c r="AG108" i="11"/>
  <c r="AG107" i="11"/>
  <c r="AF109" i="11"/>
  <c r="AF108" i="11"/>
  <c r="AG98" i="11"/>
  <c r="AG97" i="11"/>
  <c r="AG95" i="11"/>
  <c r="AG94" i="11"/>
  <c r="AG93" i="11"/>
  <c r="AF98" i="11"/>
  <c r="AF97" i="11"/>
  <c r="AF95" i="11"/>
  <c r="AF93" i="11"/>
  <c r="AF86" i="11"/>
  <c r="AF53" i="11"/>
  <c r="AF21" i="11"/>
  <c r="AH187" i="11" l="1"/>
  <c r="AH186" i="11"/>
  <c r="AI185" i="11"/>
  <c r="AH185" i="11"/>
  <c r="AI184" i="11"/>
  <c r="AH184" i="11"/>
  <c r="AI183" i="11"/>
  <c r="AH183" i="11"/>
  <c r="AI182" i="11"/>
  <c r="AH182" i="11"/>
  <c r="AI181" i="11"/>
  <c r="AH181" i="11"/>
  <c r="AI180" i="11"/>
  <c r="AH180" i="11"/>
  <c r="AI179" i="11"/>
  <c r="AH179" i="11"/>
  <c r="AI178" i="11"/>
  <c r="AH178" i="11"/>
  <c r="AI177" i="11"/>
  <c r="AH177" i="11"/>
  <c r="AI176" i="11"/>
  <c r="AH176" i="11"/>
  <c r="AI175" i="11"/>
  <c r="AH175" i="11"/>
  <c r="AI174" i="11"/>
  <c r="AH174" i="11"/>
  <c r="AI170" i="11"/>
  <c r="AH170" i="11"/>
  <c r="AI168" i="11"/>
  <c r="AH168" i="11"/>
  <c r="AI167" i="11"/>
  <c r="AH167" i="11"/>
  <c r="AH164" i="11"/>
  <c r="AH163" i="11"/>
  <c r="AI162" i="11"/>
  <c r="AH162" i="11"/>
  <c r="AI161" i="11"/>
  <c r="AH161" i="11"/>
  <c r="AI160" i="11"/>
  <c r="AH160" i="11"/>
  <c r="AI159" i="11"/>
  <c r="AH159" i="11"/>
  <c r="AI158" i="11"/>
  <c r="AH158" i="11"/>
  <c r="AI157" i="11"/>
  <c r="AH157" i="11"/>
  <c r="AI156" i="11"/>
  <c r="AH156" i="11"/>
  <c r="AI153" i="11"/>
  <c r="AH153" i="11"/>
  <c r="AI152" i="11"/>
  <c r="AH152" i="11"/>
  <c r="AH148" i="11"/>
  <c r="AI147" i="11"/>
  <c r="AH147" i="11"/>
  <c r="AI146" i="11"/>
  <c r="AH146" i="11"/>
  <c r="AI145" i="11"/>
  <c r="AH145" i="11"/>
  <c r="AH142" i="11"/>
  <c r="AI141" i="11"/>
  <c r="AH141" i="11"/>
  <c r="AI140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H21" i="11"/>
  <c r="AI20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L96" i="9" l="1"/>
  <c r="K96" i="9"/>
  <c r="I96" i="9"/>
  <c r="L109" i="9" l="1"/>
  <c r="K109" i="9"/>
  <c r="I109" i="9"/>
  <c r="L95" i="9" l="1"/>
  <c r="K95" i="9"/>
  <c r="L94" i="9" l="1"/>
  <c r="K94" i="9"/>
  <c r="I94" i="9"/>
  <c r="L99" i="9" l="1"/>
  <c r="K99" i="9"/>
  <c r="I99" i="9"/>
  <c r="L108" i="9" l="1"/>
  <c r="K108" i="9"/>
  <c r="L98" i="9" l="1"/>
  <c r="K98" i="9"/>
  <c r="I98" i="9"/>
  <c r="D165" i="9" l="1"/>
  <c r="D150" i="9"/>
  <c r="D144" i="9"/>
  <c r="D117" i="9"/>
  <c r="G109" i="9"/>
  <c r="F109" i="9"/>
  <c r="G108" i="9"/>
  <c r="F108" i="9"/>
  <c r="D109" i="9"/>
  <c r="D110" i="9" s="1"/>
  <c r="G99" i="9"/>
  <c r="F99" i="9"/>
  <c r="G98" i="9"/>
  <c r="F98" i="9"/>
  <c r="G96" i="9"/>
  <c r="F96" i="9"/>
  <c r="G95" i="9"/>
  <c r="F95" i="9"/>
  <c r="G94" i="9"/>
  <c r="F94" i="9"/>
  <c r="D99" i="9"/>
  <c r="D98" i="9"/>
  <c r="D96" i="9"/>
  <c r="D94" i="9"/>
  <c r="D87" i="9"/>
  <c r="D54" i="9"/>
  <c r="D22" i="9"/>
  <c r="AB186" i="11" l="1"/>
  <c r="AB171" i="11"/>
  <c r="AB163" i="11"/>
  <c r="AB148" i="11"/>
  <c r="AB142" i="11"/>
  <c r="AB116" i="11"/>
  <c r="AC108" i="11"/>
  <c r="AE108" i="11" s="1"/>
  <c r="AC107" i="11"/>
  <c r="AB108" i="11"/>
  <c r="AC98" i="11"/>
  <c r="AC97" i="11"/>
  <c r="AC95" i="11"/>
  <c r="AC94" i="11"/>
  <c r="AC93" i="11"/>
  <c r="AB98" i="11"/>
  <c r="AB97" i="11"/>
  <c r="AB95" i="11"/>
  <c r="AB93" i="11"/>
  <c r="AB86" i="11"/>
  <c r="AB53" i="11"/>
  <c r="AB21" i="11"/>
  <c r="AE185" i="11"/>
  <c r="AD185" i="11"/>
  <c r="AE184" i="11"/>
  <c r="AD184" i="11"/>
  <c r="AE183" i="11"/>
  <c r="AD183" i="11"/>
  <c r="AE182" i="11"/>
  <c r="AD182" i="11"/>
  <c r="AE181" i="11"/>
  <c r="AD181" i="11"/>
  <c r="AE180" i="11"/>
  <c r="AD180" i="11"/>
  <c r="AE179" i="11"/>
  <c r="AD179" i="11"/>
  <c r="AE178" i="11"/>
  <c r="AD178" i="11"/>
  <c r="AE177" i="11"/>
  <c r="AD177" i="11"/>
  <c r="AE176" i="11"/>
  <c r="AD176" i="11"/>
  <c r="AE175" i="11"/>
  <c r="AD175" i="11"/>
  <c r="AE174" i="11"/>
  <c r="AD174" i="11"/>
  <c r="AE170" i="11"/>
  <c r="AD170" i="11"/>
  <c r="AE168" i="11"/>
  <c r="AD168" i="11"/>
  <c r="AE167" i="11"/>
  <c r="AD167" i="11"/>
  <c r="AE162" i="11"/>
  <c r="AD162" i="11"/>
  <c r="AE161" i="11"/>
  <c r="AD161" i="11"/>
  <c r="AE160" i="11"/>
  <c r="AD160" i="11"/>
  <c r="AE159" i="11"/>
  <c r="AD159" i="11"/>
  <c r="AE158" i="11"/>
  <c r="AD158" i="11"/>
  <c r="AE157" i="11"/>
  <c r="AD157" i="11"/>
  <c r="AE156" i="11"/>
  <c r="AD156" i="11"/>
  <c r="AE153" i="11"/>
  <c r="AD153" i="11"/>
  <c r="AE152" i="11"/>
  <c r="AD152" i="11"/>
  <c r="AE147" i="11"/>
  <c r="AD147" i="11"/>
  <c r="AE146" i="11"/>
  <c r="AD146" i="11"/>
  <c r="AE145" i="11"/>
  <c r="AD145" i="11"/>
  <c r="AE141" i="11"/>
  <c r="AD141" i="11"/>
  <c r="AE140" i="11"/>
  <c r="AD140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96" i="11"/>
  <c r="AD96" i="11"/>
  <c r="AD94" i="11"/>
  <c r="AE92" i="11"/>
  <c r="AD92" i="11"/>
  <c r="AE91" i="11"/>
  <c r="AD91" i="11"/>
  <c r="AE90" i="11"/>
  <c r="AD90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0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I22" i="9"/>
  <c r="AK147" i="11" l="1"/>
  <c r="AO147" i="11"/>
  <c r="AB109" i="11"/>
  <c r="AB164" i="11" s="1"/>
  <c r="AD108" i="11"/>
  <c r="AB187" i="11" l="1"/>
  <c r="D192" i="9"/>
  <c r="D175" i="9"/>
  <c r="D166" i="9"/>
  <c r="D193" i="9" s="1"/>
  <c r="X186" i="11" l="1"/>
  <c r="AD186" i="11" s="1"/>
  <c r="X171" i="11"/>
  <c r="X163" i="11"/>
  <c r="AD163" i="11" s="1"/>
  <c r="X148" i="11"/>
  <c r="AD148" i="11" s="1"/>
  <c r="X142" i="11"/>
  <c r="AD142" i="11" s="1"/>
  <c r="X116" i="11"/>
  <c r="AD116" i="11" s="1"/>
  <c r="Y107" i="11"/>
  <c r="AE107" i="11" s="1"/>
  <c r="Y98" i="11"/>
  <c r="AE98" i="11" s="1"/>
  <c r="Y97" i="11"/>
  <c r="AE97" i="11" s="1"/>
  <c r="Y95" i="11"/>
  <c r="AE95" i="11" s="1"/>
  <c r="Y94" i="11"/>
  <c r="AE94" i="11" s="1"/>
  <c r="Y93" i="11"/>
  <c r="AE93" i="11" s="1"/>
  <c r="X98" i="11"/>
  <c r="AD98" i="11" s="1"/>
  <c r="X97" i="11"/>
  <c r="AD97" i="11" s="1"/>
  <c r="X95" i="11"/>
  <c r="AD95" i="11" s="1"/>
  <c r="X93" i="11"/>
  <c r="AD93" i="11" s="1"/>
  <c r="X86" i="11"/>
  <c r="AD86" i="11" s="1"/>
  <c r="X53" i="11"/>
  <c r="AD53" i="11" s="1"/>
  <c r="X21" i="11"/>
  <c r="AD21" i="11" s="1"/>
  <c r="X109" i="11" l="1"/>
  <c r="X164" i="11" s="1"/>
  <c r="AD164" i="11" s="1"/>
  <c r="AA185" i="11"/>
  <c r="Z185" i="11"/>
  <c r="AA184" i="11"/>
  <c r="Z184" i="11"/>
  <c r="AA183" i="11"/>
  <c r="Z183" i="11"/>
  <c r="AA182" i="11"/>
  <c r="Z182" i="11"/>
  <c r="AA181" i="11"/>
  <c r="Z181" i="11"/>
  <c r="AA180" i="11"/>
  <c r="Z180" i="11"/>
  <c r="AA179" i="11"/>
  <c r="Z179" i="11"/>
  <c r="AA178" i="11"/>
  <c r="Z178" i="11"/>
  <c r="AA177" i="11"/>
  <c r="Z177" i="11"/>
  <c r="AA176" i="11"/>
  <c r="Z176" i="11"/>
  <c r="AA175" i="11"/>
  <c r="Z175" i="11"/>
  <c r="AA174" i="11"/>
  <c r="Z174" i="11"/>
  <c r="AA170" i="11"/>
  <c r="Z170" i="11"/>
  <c r="AA168" i="11"/>
  <c r="Z168" i="11"/>
  <c r="AA167" i="11"/>
  <c r="Z167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3" i="11"/>
  <c r="Z153" i="11"/>
  <c r="AA152" i="11"/>
  <c r="Z152" i="11"/>
  <c r="AA147" i="11"/>
  <c r="Z147" i="11"/>
  <c r="AA146" i="11"/>
  <c r="Z146" i="11"/>
  <c r="AA145" i="11"/>
  <c r="Z145" i="11"/>
  <c r="AA141" i="11"/>
  <c r="Z141" i="11"/>
  <c r="AA140" i="11"/>
  <c r="Z140" i="1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08" i="11"/>
  <c r="Z108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96" i="11"/>
  <c r="Z96" i="11"/>
  <c r="Z94" i="11"/>
  <c r="Z93" i="11"/>
  <c r="AA92" i="11"/>
  <c r="Z92" i="11"/>
  <c r="AA91" i="11"/>
  <c r="Z91" i="11"/>
  <c r="AA90" i="11"/>
  <c r="Z90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87" i="11" l="1"/>
  <c r="AD187" i="11" s="1"/>
  <c r="T186" i="11" l="1"/>
  <c r="Z186" i="11" s="1"/>
  <c r="T171" i="11"/>
  <c r="T163" i="11"/>
  <c r="Z163" i="11" s="1"/>
  <c r="T148" i="11"/>
  <c r="Z148" i="11" s="1"/>
  <c r="T142" i="11"/>
  <c r="Z142" i="11" s="1"/>
  <c r="T116" i="11"/>
  <c r="Z116" i="11" s="1"/>
  <c r="U107" i="11"/>
  <c r="AA107" i="11" s="1"/>
  <c r="U98" i="11"/>
  <c r="AA98" i="11" s="1"/>
  <c r="U97" i="11"/>
  <c r="AA97" i="11" s="1"/>
  <c r="U95" i="11"/>
  <c r="AA95" i="11" s="1"/>
  <c r="U94" i="11"/>
  <c r="AA94" i="11" s="1"/>
  <c r="U93" i="11"/>
  <c r="AA93" i="11" s="1"/>
  <c r="T98" i="11"/>
  <c r="Z98" i="11" s="1"/>
  <c r="T97" i="11"/>
  <c r="Z97" i="11" s="1"/>
  <c r="T95" i="11"/>
  <c r="Z95" i="11" s="1"/>
  <c r="T86" i="11"/>
  <c r="Z86" i="11" s="1"/>
  <c r="T53" i="11"/>
  <c r="Z53" i="11" s="1"/>
  <c r="T21" i="11"/>
  <c r="Z21" i="11" s="1"/>
  <c r="T109" i="11" l="1"/>
  <c r="W185" i="11"/>
  <c r="V185" i="11"/>
  <c r="W184" i="11"/>
  <c r="V184" i="11"/>
  <c r="W183" i="11"/>
  <c r="V183" i="11"/>
  <c r="W182" i="11"/>
  <c r="V182" i="11"/>
  <c r="W181" i="11"/>
  <c r="V181" i="11"/>
  <c r="W180" i="11"/>
  <c r="V180" i="11"/>
  <c r="W179" i="11"/>
  <c r="V179" i="11"/>
  <c r="W178" i="11"/>
  <c r="V178" i="11"/>
  <c r="W177" i="11"/>
  <c r="V177" i="11"/>
  <c r="W176" i="11"/>
  <c r="V176" i="11"/>
  <c r="W175" i="11"/>
  <c r="V175" i="11"/>
  <c r="W174" i="11"/>
  <c r="V174" i="11"/>
  <c r="W170" i="11"/>
  <c r="V170" i="11"/>
  <c r="W168" i="11"/>
  <c r="V168" i="11"/>
  <c r="W167" i="11"/>
  <c r="V167" i="11"/>
  <c r="W162" i="11"/>
  <c r="V162" i="11"/>
  <c r="W161" i="11"/>
  <c r="V161" i="11"/>
  <c r="W160" i="11"/>
  <c r="V160" i="11"/>
  <c r="W159" i="11"/>
  <c r="V159" i="11"/>
  <c r="W158" i="11"/>
  <c r="V158" i="11"/>
  <c r="W157" i="11"/>
  <c r="V157" i="11"/>
  <c r="W156" i="11"/>
  <c r="V156" i="11"/>
  <c r="W153" i="11"/>
  <c r="V153" i="11"/>
  <c r="W152" i="11"/>
  <c r="V152" i="11"/>
  <c r="W147" i="11"/>
  <c r="V147" i="11"/>
  <c r="W146" i="11"/>
  <c r="V146" i="11"/>
  <c r="W145" i="11"/>
  <c r="V145" i="11"/>
  <c r="W141" i="11"/>
  <c r="V141" i="11"/>
  <c r="W140" i="11"/>
  <c r="V140" i="1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08" i="11"/>
  <c r="V108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96" i="11"/>
  <c r="V96" i="11"/>
  <c r="V94" i="11"/>
  <c r="W93" i="11"/>
  <c r="V93" i="11"/>
  <c r="W92" i="11"/>
  <c r="V92" i="11"/>
  <c r="W91" i="11"/>
  <c r="V91" i="11"/>
  <c r="W90" i="11"/>
  <c r="V90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0" i="11"/>
  <c r="V20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64" i="11" l="1"/>
  <c r="R84" i="11"/>
  <c r="N84" i="11"/>
  <c r="J84" i="11"/>
  <c r="F84" i="11"/>
  <c r="P86" i="11"/>
  <c r="V86" i="11" s="1"/>
  <c r="P186" i="11"/>
  <c r="V186" i="11" s="1"/>
  <c r="P171" i="11"/>
  <c r="P163" i="11"/>
  <c r="V163" i="11" s="1"/>
  <c r="P148" i="11"/>
  <c r="V148" i="11" s="1"/>
  <c r="P142" i="11"/>
  <c r="V142" i="11" s="1"/>
  <c r="P116" i="11"/>
  <c r="V116" i="11" s="1"/>
  <c r="Q107" i="11"/>
  <c r="W107" i="11" s="1"/>
  <c r="Q98" i="11"/>
  <c r="Q97" i="11"/>
  <c r="W97" i="11" s="1"/>
  <c r="Q95" i="11"/>
  <c r="W95" i="11" s="1"/>
  <c r="Q94" i="11"/>
  <c r="W94" i="11" s="1"/>
  <c r="P98" i="11"/>
  <c r="V98" i="11" s="1"/>
  <c r="P97" i="11"/>
  <c r="V97" i="11" s="1"/>
  <c r="P95" i="11"/>
  <c r="V95" i="11" s="1"/>
  <c r="P53" i="11"/>
  <c r="V53" i="11" s="1"/>
  <c r="P21" i="11"/>
  <c r="V21" i="11" s="1"/>
  <c r="I150" i="9"/>
  <c r="M97" i="11"/>
  <c r="L97" i="11"/>
  <c r="I97" i="11"/>
  <c r="H97" i="11"/>
  <c r="E97" i="11"/>
  <c r="D97" i="11"/>
  <c r="C97" i="11"/>
  <c r="B97" i="11"/>
  <c r="S185" i="11"/>
  <c r="R185" i="11"/>
  <c r="S184" i="11"/>
  <c r="R184" i="11"/>
  <c r="S183" i="11"/>
  <c r="R183" i="11"/>
  <c r="S182" i="11"/>
  <c r="R182" i="11"/>
  <c r="S181" i="11"/>
  <c r="R181" i="11"/>
  <c r="S180" i="11"/>
  <c r="R180" i="11"/>
  <c r="S179" i="11"/>
  <c r="R179" i="11"/>
  <c r="S178" i="11"/>
  <c r="R178" i="11"/>
  <c r="S177" i="11"/>
  <c r="R177" i="11"/>
  <c r="S176" i="11"/>
  <c r="R176" i="11"/>
  <c r="S175" i="11"/>
  <c r="R175" i="11"/>
  <c r="S174" i="11"/>
  <c r="R174" i="11"/>
  <c r="S170" i="11"/>
  <c r="R170" i="11"/>
  <c r="S168" i="11"/>
  <c r="R168" i="11"/>
  <c r="S167" i="11"/>
  <c r="R167" i="11"/>
  <c r="S162" i="11"/>
  <c r="R162" i="11"/>
  <c r="S161" i="11"/>
  <c r="R161" i="11"/>
  <c r="S160" i="11"/>
  <c r="R160" i="11"/>
  <c r="S159" i="11"/>
  <c r="R159" i="11"/>
  <c r="S158" i="11"/>
  <c r="R158" i="11"/>
  <c r="S157" i="11"/>
  <c r="R157" i="11"/>
  <c r="S156" i="11"/>
  <c r="R156" i="11"/>
  <c r="S153" i="11"/>
  <c r="R153" i="11"/>
  <c r="S152" i="11"/>
  <c r="R152" i="11"/>
  <c r="S147" i="11"/>
  <c r="R147" i="11"/>
  <c r="S146" i="11"/>
  <c r="R146" i="11"/>
  <c r="S145" i="11"/>
  <c r="R145" i="11"/>
  <c r="S141" i="11"/>
  <c r="R141" i="11"/>
  <c r="S140" i="11"/>
  <c r="R140" i="1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08" i="11"/>
  <c r="R108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96" i="11"/>
  <c r="R96" i="11"/>
  <c r="R94" i="11"/>
  <c r="S93" i="11"/>
  <c r="R93" i="11"/>
  <c r="S92" i="11"/>
  <c r="R92" i="11"/>
  <c r="S91" i="11"/>
  <c r="R91" i="11"/>
  <c r="S90" i="11"/>
  <c r="R90" i="11"/>
  <c r="S85" i="11"/>
  <c r="R85" i="11"/>
  <c r="S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0" i="11"/>
  <c r="R20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T187" i="11" l="1"/>
  <c r="Z187" i="11" s="1"/>
  <c r="Z164" i="11"/>
  <c r="R97" i="11"/>
  <c r="S98" i="11"/>
  <c r="W98" i="11"/>
  <c r="K97" i="11"/>
  <c r="O97" i="11"/>
  <c r="G97" i="11"/>
  <c r="S97" i="11"/>
  <c r="N97" i="11"/>
  <c r="J97" i="11"/>
  <c r="R98" i="11"/>
  <c r="F97" i="11"/>
  <c r="P109" i="11"/>
  <c r="P164" i="11" s="1"/>
  <c r="P187" i="11" s="1"/>
  <c r="V187" i="11" l="1"/>
  <c r="V164" i="11"/>
  <c r="P98" i="9"/>
  <c r="N98" i="9"/>
  <c r="O98" i="9"/>
  <c r="E98" i="9" l="1"/>
  <c r="L186" i="11" l="1"/>
  <c r="R186" i="11" s="1"/>
  <c r="L171" i="11"/>
  <c r="L163" i="11"/>
  <c r="R163" i="11" s="1"/>
  <c r="L148" i="11"/>
  <c r="R148" i="11" s="1"/>
  <c r="L142" i="11"/>
  <c r="R142" i="11" s="1"/>
  <c r="L116" i="11"/>
  <c r="R116" i="11" s="1"/>
  <c r="M107" i="11"/>
  <c r="S107" i="11" s="1"/>
  <c r="M95" i="11"/>
  <c r="S95" i="11" s="1"/>
  <c r="M94" i="11"/>
  <c r="S94" i="11" s="1"/>
  <c r="L95" i="11"/>
  <c r="R95" i="11" s="1"/>
  <c r="L86" i="11"/>
  <c r="R86" i="11" s="1"/>
  <c r="L53" i="11"/>
  <c r="R53" i="11" s="1"/>
  <c r="L21" i="11"/>
  <c r="R21" i="11" s="1"/>
  <c r="O185" i="11"/>
  <c r="N185" i="11"/>
  <c r="O184" i="11"/>
  <c r="N184" i="11"/>
  <c r="O183" i="11"/>
  <c r="N183" i="11"/>
  <c r="O182" i="11"/>
  <c r="N182" i="11"/>
  <c r="O181" i="11"/>
  <c r="N181" i="11"/>
  <c r="O180" i="11"/>
  <c r="N180" i="11"/>
  <c r="O179" i="11"/>
  <c r="N179" i="11"/>
  <c r="O178" i="11"/>
  <c r="N178" i="11"/>
  <c r="O177" i="11"/>
  <c r="N177" i="11"/>
  <c r="O176" i="11"/>
  <c r="N176" i="11"/>
  <c r="O175" i="11"/>
  <c r="N175" i="11"/>
  <c r="O174" i="11"/>
  <c r="N174" i="11"/>
  <c r="O170" i="11"/>
  <c r="N170" i="11"/>
  <c r="O168" i="11"/>
  <c r="N168" i="11"/>
  <c r="O167" i="11"/>
  <c r="N167" i="11"/>
  <c r="O162" i="11"/>
  <c r="N162" i="11"/>
  <c r="O161" i="11"/>
  <c r="N161" i="11"/>
  <c r="O160" i="11"/>
  <c r="N160" i="11"/>
  <c r="O159" i="11"/>
  <c r="N159" i="11"/>
  <c r="O158" i="11"/>
  <c r="N158" i="11"/>
  <c r="O157" i="11"/>
  <c r="N157" i="11"/>
  <c r="O156" i="11"/>
  <c r="N156" i="11"/>
  <c r="O153" i="11"/>
  <c r="N153" i="11"/>
  <c r="O152" i="11"/>
  <c r="N152" i="11"/>
  <c r="O147" i="11"/>
  <c r="N147" i="11"/>
  <c r="O146" i="11"/>
  <c r="N146" i="11"/>
  <c r="O145" i="11"/>
  <c r="N145" i="11"/>
  <c r="O141" i="11"/>
  <c r="N141" i="1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08" i="11"/>
  <c r="N108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96" i="11"/>
  <c r="N96" i="11"/>
  <c r="N94" i="11"/>
  <c r="O93" i="11"/>
  <c r="N93" i="11"/>
  <c r="O92" i="11"/>
  <c r="N92" i="11"/>
  <c r="O91" i="11"/>
  <c r="N91" i="11"/>
  <c r="O90" i="11"/>
  <c r="N90" i="11"/>
  <c r="O85" i="11"/>
  <c r="N85" i="11"/>
  <c r="O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09" i="11" l="1"/>
  <c r="L164" i="11" s="1"/>
  <c r="R164" i="11" s="1"/>
  <c r="L187" i="11" l="1"/>
  <c r="R187" i="11" s="1"/>
  <c r="P192" i="9"/>
  <c r="O94" i="9"/>
  <c r="O6" i="9"/>
  <c r="H186" i="11"/>
  <c r="N186" i="11" s="1"/>
  <c r="H171" i="11"/>
  <c r="H163" i="11"/>
  <c r="N163" i="11" s="1"/>
  <c r="H148" i="11"/>
  <c r="N148" i="11" s="1"/>
  <c r="H142" i="11"/>
  <c r="H116" i="11"/>
  <c r="N116" i="11" s="1"/>
  <c r="I107" i="11"/>
  <c r="O107" i="11" s="1"/>
  <c r="O98" i="11"/>
  <c r="I95" i="11"/>
  <c r="O95" i="11" s="1"/>
  <c r="I94" i="11"/>
  <c r="O94" i="11" s="1"/>
  <c r="N98" i="11"/>
  <c r="H95" i="11"/>
  <c r="H86" i="11"/>
  <c r="N86" i="11" s="1"/>
  <c r="H53" i="11"/>
  <c r="N53" i="11" s="1"/>
  <c r="H21" i="11"/>
  <c r="N21" i="11" s="1"/>
  <c r="N142" i="11" l="1"/>
  <c r="N95" i="11"/>
  <c r="H109" i="11"/>
  <c r="H164" i="11" s="1"/>
  <c r="K185" i="11"/>
  <c r="J185" i="11"/>
  <c r="K184" i="11"/>
  <c r="J184" i="11"/>
  <c r="K183" i="11"/>
  <c r="J183" i="11"/>
  <c r="K182" i="11"/>
  <c r="J182" i="11"/>
  <c r="K181" i="11"/>
  <c r="J181" i="11"/>
  <c r="K180" i="11"/>
  <c r="J180" i="11"/>
  <c r="K179" i="11"/>
  <c r="J179" i="11"/>
  <c r="K178" i="11"/>
  <c r="J178" i="11"/>
  <c r="K177" i="11"/>
  <c r="J177" i="11"/>
  <c r="K176" i="11"/>
  <c r="J176" i="11"/>
  <c r="K175" i="11"/>
  <c r="J175" i="11"/>
  <c r="K174" i="11"/>
  <c r="J174" i="11"/>
  <c r="K170" i="11"/>
  <c r="J170" i="11"/>
  <c r="K168" i="11"/>
  <c r="J168" i="11"/>
  <c r="K167" i="11"/>
  <c r="J167" i="11"/>
  <c r="K162" i="11"/>
  <c r="J162" i="11"/>
  <c r="K161" i="11"/>
  <c r="J161" i="11"/>
  <c r="K160" i="11"/>
  <c r="J160" i="11"/>
  <c r="K159" i="11"/>
  <c r="J159" i="11"/>
  <c r="K158" i="11"/>
  <c r="J158" i="11"/>
  <c r="K157" i="11"/>
  <c r="J157" i="11"/>
  <c r="K156" i="11"/>
  <c r="J156" i="11"/>
  <c r="K153" i="11"/>
  <c r="J153" i="11"/>
  <c r="K152" i="11"/>
  <c r="J152" i="11"/>
  <c r="K147" i="11"/>
  <c r="J147" i="11"/>
  <c r="K146" i="11"/>
  <c r="J146" i="11"/>
  <c r="K145" i="11"/>
  <c r="J145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08" i="11"/>
  <c r="J108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96" i="11"/>
  <c r="J96" i="11"/>
  <c r="J94" i="11"/>
  <c r="K93" i="11"/>
  <c r="J93" i="11"/>
  <c r="K92" i="11"/>
  <c r="J92" i="11"/>
  <c r="K91" i="11"/>
  <c r="J91" i="11"/>
  <c r="K90" i="11"/>
  <c r="J90" i="11"/>
  <c r="K85" i="11"/>
  <c r="J85" i="11"/>
  <c r="K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J10" i="1"/>
  <c r="I10" i="1"/>
  <c r="H10" i="1"/>
  <c r="G10" i="1"/>
  <c r="F10" i="1"/>
  <c r="E10" i="1"/>
  <c r="D10" i="1"/>
  <c r="C10" i="1"/>
  <c r="N164" i="11" l="1"/>
  <c r="H187" i="11"/>
  <c r="N187" i="11" l="1"/>
  <c r="D186" i="11"/>
  <c r="J186" i="11" s="1"/>
  <c r="D171" i="11"/>
  <c r="D163" i="11"/>
  <c r="J163" i="11" s="1"/>
  <c r="D148" i="11"/>
  <c r="J148" i="11" s="1"/>
  <c r="D142" i="11"/>
  <c r="J142" i="11" s="1"/>
  <c r="D116" i="11"/>
  <c r="J116" i="11" s="1"/>
  <c r="E107" i="11"/>
  <c r="K107" i="11" s="1"/>
  <c r="K98" i="11"/>
  <c r="E95" i="11"/>
  <c r="K95" i="11" s="1"/>
  <c r="E94" i="11"/>
  <c r="K94" i="11" s="1"/>
  <c r="J98" i="11"/>
  <c r="D95" i="11"/>
  <c r="J95" i="11" s="1"/>
  <c r="D86" i="11"/>
  <c r="J86" i="11" s="1"/>
  <c r="D53" i="11"/>
  <c r="J53" i="11" s="1"/>
  <c r="D21" i="11"/>
  <c r="J21" i="11" s="1"/>
  <c r="G185" i="11"/>
  <c r="F185" i="1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0" i="11"/>
  <c r="F170" i="11"/>
  <c r="G168" i="11"/>
  <c r="F168" i="11"/>
  <c r="G167" i="11"/>
  <c r="F167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6" i="11"/>
  <c r="F156" i="11"/>
  <c r="G153" i="11"/>
  <c r="F153" i="11"/>
  <c r="G152" i="11"/>
  <c r="F152" i="11"/>
  <c r="G147" i="11"/>
  <c r="F147" i="11"/>
  <c r="G146" i="11"/>
  <c r="F146" i="11"/>
  <c r="G145" i="11"/>
  <c r="F145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08" i="11"/>
  <c r="F108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96" i="11"/>
  <c r="F96" i="11"/>
  <c r="F94" i="11"/>
  <c r="G93" i="11"/>
  <c r="F93" i="11"/>
  <c r="G92" i="11"/>
  <c r="F92" i="11"/>
  <c r="G91" i="11"/>
  <c r="F91" i="11"/>
  <c r="G90" i="11"/>
  <c r="F90" i="11"/>
  <c r="G85" i="11"/>
  <c r="F85" i="11"/>
  <c r="G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09" i="11" l="1"/>
  <c r="D164" i="11" s="1"/>
  <c r="P142" i="9"/>
  <c r="O142" i="9"/>
  <c r="N142" i="9"/>
  <c r="P85" i="9"/>
  <c r="O85" i="9"/>
  <c r="N85" i="9"/>
  <c r="P20" i="9"/>
  <c r="O20" i="9"/>
  <c r="N20" i="9"/>
  <c r="D187" i="11" l="1"/>
  <c r="J187" i="11" s="1"/>
  <c r="J164" i="11"/>
  <c r="E142" i="9"/>
  <c r="E85" i="9"/>
  <c r="E20" i="9"/>
  <c r="B142" i="11" l="1"/>
  <c r="B53" i="11"/>
  <c r="F53" i="11" l="1"/>
  <c r="F142" i="11"/>
  <c r="B186" i="11"/>
  <c r="B171" i="11"/>
  <c r="B163" i="11"/>
  <c r="B148" i="11"/>
  <c r="B116" i="11"/>
  <c r="C107" i="11"/>
  <c r="G98" i="11"/>
  <c r="C95" i="11"/>
  <c r="C94" i="11"/>
  <c r="F98" i="11"/>
  <c r="B95" i="11"/>
  <c r="B86" i="11"/>
  <c r="B21" i="11"/>
  <c r="F163" i="11" l="1"/>
  <c r="F186" i="11"/>
  <c r="F86" i="11"/>
  <c r="G94" i="11"/>
  <c r="F148" i="11"/>
  <c r="G95" i="11"/>
  <c r="F95" i="11"/>
  <c r="G107" i="11"/>
  <c r="F21" i="11"/>
  <c r="F116" i="11"/>
  <c r="B109" i="11"/>
  <c r="B164" i="11" l="1"/>
  <c r="F164" i="11" l="1"/>
  <c r="B187" i="11"/>
  <c r="F187" i="11"/>
  <c r="P172" i="9" l="1"/>
  <c r="O172" i="9"/>
  <c r="N172" i="9"/>
  <c r="E172" i="9" l="1"/>
  <c r="P84" i="9" l="1"/>
  <c r="O84" i="9"/>
  <c r="N84" i="9"/>
  <c r="E84" i="9" l="1"/>
  <c r="I144" i="9" l="1"/>
  <c r="J141" i="9" s="1"/>
  <c r="I117" i="9"/>
  <c r="I110" i="9"/>
  <c r="J98" i="9" s="1"/>
  <c r="I87" i="9"/>
  <c r="J66" i="9" s="1"/>
  <c r="I54" i="9"/>
  <c r="J44" i="9" l="1"/>
  <c r="J30" i="9"/>
  <c r="J85" i="9"/>
  <c r="J80" i="9"/>
  <c r="J142" i="9"/>
  <c r="J124" i="9"/>
  <c r="J42" i="9"/>
  <c r="J50" i="9"/>
  <c r="J47" i="9"/>
  <c r="J43" i="9"/>
  <c r="J51" i="9"/>
  <c r="J49" i="9"/>
  <c r="J52" i="9"/>
  <c r="J46" i="9"/>
  <c r="J48" i="9"/>
  <c r="J45" i="9"/>
  <c r="J53" i="9"/>
  <c r="J129" i="9"/>
  <c r="J138" i="9"/>
  <c r="J84" i="9"/>
  <c r="J72" i="9"/>
  <c r="P97" i="9"/>
  <c r="O97" i="9"/>
  <c r="N97" i="9"/>
  <c r="J97" i="9"/>
  <c r="P163" i="9"/>
  <c r="O163" i="9"/>
  <c r="N163" i="9"/>
  <c r="P141" i="9"/>
  <c r="O141" i="9"/>
  <c r="N141" i="9"/>
  <c r="E141" i="9"/>
  <c r="E97" i="9"/>
  <c r="E163" i="9" l="1"/>
  <c r="I192" i="9" l="1"/>
  <c r="J180" i="9" s="1"/>
  <c r="I175" i="9"/>
  <c r="J172" i="9" s="1"/>
  <c r="I165" i="9"/>
  <c r="J163" i="9" l="1"/>
  <c r="I166" i="9"/>
  <c r="I193" i="9" s="1"/>
  <c r="J190" i="9" l="1"/>
  <c r="P191" i="9"/>
  <c r="O191" i="9"/>
  <c r="N191" i="9"/>
  <c r="E191" i="9"/>
  <c r="P190" i="9"/>
  <c r="O190" i="9"/>
  <c r="N190" i="9"/>
  <c r="E190" i="9"/>
  <c r="P189" i="9"/>
  <c r="O189" i="9"/>
  <c r="N189" i="9"/>
  <c r="E189" i="9"/>
  <c r="P188" i="9"/>
  <c r="O188" i="9"/>
  <c r="N188" i="9"/>
  <c r="E188" i="9"/>
  <c r="P187" i="9"/>
  <c r="O187" i="9"/>
  <c r="N187" i="9"/>
  <c r="E187" i="9"/>
  <c r="P186" i="9"/>
  <c r="O186" i="9"/>
  <c r="N186" i="9"/>
  <c r="E186" i="9"/>
  <c r="P185" i="9"/>
  <c r="O185" i="9"/>
  <c r="N185" i="9"/>
  <c r="E185" i="9"/>
  <c r="P184" i="9"/>
  <c r="O184" i="9"/>
  <c r="N184" i="9"/>
  <c r="E184" i="9"/>
  <c r="P183" i="9"/>
  <c r="O183" i="9"/>
  <c r="N183" i="9"/>
  <c r="E183" i="9"/>
  <c r="P182" i="9"/>
  <c r="O182" i="9"/>
  <c r="N182" i="9"/>
  <c r="E182" i="9"/>
  <c r="P181" i="9"/>
  <c r="O181" i="9"/>
  <c r="N181" i="9"/>
  <c r="E181" i="9"/>
  <c r="P180" i="9"/>
  <c r="O180" i="9"/>
  <c r="N180" i="9"/>
  <c r="E180" i="9"/>
  <c r="P175" i="9"/>
  <c r="N175" i="9"/>
  <c r="P174" i="9"/>
  <c r="O174" i="9"/>
  <c r="N174" i="9"/>
  <c r="J174" i="9"/>
  <c r="E174" i="9"/>
  <c r="P171" i="9"/>
  <c r="O171" i="9"/>
  <c r="N171" i="9"/>
  <c r="J171" i="9"/>
  <c r="E171" i="9"/>
  <c r="P165" i="9"/>
  <c r="J158" i="9"/>
  <c r="E155" i="9"/>
  <c r="P164" i="9"/>
  <c r="O164" i="9"/>
  <c r="N164" i="9"/>
  <c r="P162" i="9"/>
  <c r="O162" i="9"/>
  <c r="N162" i="9"/>
  <c r="P161" i="9"/>
  <c r="O161" i="9"/>
  <c r="N161" i="9"/>
  <c r="P160" i="9"/>
  <c r="O160" i="9"/>
  <c r="N160" i="9"/>
  <c r="P159" i="9"/>
  <c r="O159" i="9"/>
  <c r="N159" i="9"/>
  <c r="E159" i="9"/>
  <c r="P158" i="9"/>
  <c r="O158" i="9"/>
  <c r="N158" i="9"/>
  <c r="P155" i="9"/>
  <c r="O155" i="9"/>
  <c r="N155" i="9"/>
  <c r="J155" i="9"/>
  <c r="P154" i="9"/>
  <c r="O154" i="9"/>
  <c r="N154" i="9"/>
  <c r="P150" i="9"/>
  <c r="N150" i="9"/>
  <c r="P149" i="9"/>
  <c r="O149" i="9"/>
  <c r="N149" i="9"/>
  <c r="J149" i="9"/>
  <c r="E149" i="9"/>
  <c r="P148" i="9"/>
  <c r="O148" i="9"/>
  <c r="N148" i="9"/>
  <c r="J148" i="9"/>
  <c r="E148" i="9"/>
  <c r="P147" i="9"/>
  <c r="O147" i="9"/>
  <c r="N147" i="9"/>
  <c r="J147" i="9"/>
  <c r="E147" i="9"/>
  <c r="P144" i="9"/>
  <c r="E137" i="9"/>
  <c r="P143" i="9"/>
  <c r="O143" i="9"/>
  <c r="N143" i="9"/>
  <c r="E143" i="9"/>
  <c r="P140" i="9"/>
  <c r="O140" i="9"/>
  <c r="N140" i="9"/>
  <c r="P139" i="9"/>
  <c r="O139" i="9"/>
  <c r="N139" i="9"/>
  <c r="E139" i="9"/>
  <c r="P138" i="9"/>
  <c r="O138" i="9"/>
  <c r="N138" i="9"/>
  <c r="P137" i="9"/>
  <c r="O137" i="9"/>
  <c r="N137" i="9"/>
  <c r="P136" i="9"/>
  <c r="O136" i="9"/>
  <c r="N136" i="9"/>
  <c r="E136" i="9"/>
  <c r="P135" i="9"/>
  <c r="O135" i="9"/>
  <c r="N135" i="9"/>
  <c r="P134" i="9"/>
  <c r="O134" i="9"/>
  <c r="N134" i="9"/>
  <c r="E134" i="9"/>
  <c r="P133" i="9"/>
  <c r="O133" i="9"/>
  <c r="N133" i="9"/>
  <c r="E133" i="9"/>
  <c r="P132" i="9"/>
  <c r="O132" i="9"/>
  <c r="N132" i="9"/>
  <c r="P131" i="9"/>
  <c r="O131" i="9"/>
  <c r="N131" i="9"/>
  <c r="E131" i="9"/>
  <c r="P130" i="9"/>
  <c r="O130" i="9"/>
  <c r="N130" i="9"/>
  <c r="P129" i="9"/>
  <c r="O129" i="9"/>
  <c r="N129" i="9"/>
  <c r="P128" i="9"/>
  <c r="O128" i="9"/>
  <c r="N128" i="9"/>
  <c r="E128" i="9"/>
  <c r="P127" i="9"/>
  <c r="O127" i="9"/>
  <c r="N127" i="9"/>
  <c r="P126" i="9"/>
  <c r="O126" i="9"/>
  <c r="N126" i="9"/>
  <c r="E126" i="9"/>
  <c r="P125" i="9"/>
  <c r="O125" i="9"/>
  <c r="N125" i="9"/>
  <c r="E125" i="9"/>
  <c r="P124" i="9"/>
  <c r="O124" i="9"/>
  <c r="N124" i="9"/>
  <c r="P123" i="9"/>
  <c r="O123" i="9"/>
  <c r="N123" i="9"/>
  <c r="E123" i="9"/>
  <c r="P122" i="9"/>
  <c r="O122" i="9"/>
  <c r="N122" i="9"/>
  <c r="P121" i="9"/>
  <c r="O121" i="9"/>
  <c r="N121" i="9"/>
  <c r="P120" i="9"/>
  <c r="O120" i="9"/>
  <c r="N120" i="9"/>
  <c r="E120" i="9"/>
  <c r="P117" i="9"/>
  <c r="N117" i="9"/>
  <c r="E116" i="9"/>
  <c r="P116" i="9"/>
  <c r="O116" i="9"/>
  <c r="N116" i="9"/>
  <c r="P115" i="9"/>
  <c r="O115" i="9"/>
  <c r="N115" i="9"/>
  <c r="E115" i="9"/>
  <c r="P114" i="9"/>
  <c r="O114" i="9"/>
  <c r="N114" i="9"/>
  <c r="P113" i="9"/>
  <c r="O113" i="9"/>
  <c r="N113" i="9"/>
  <c r="E113" i="9"/>
  <c r="P110" i="9"/>
  <c r="P109" i="9"/>
  <c r="O109" i="9"/>
  <c r="P108" i="9"/>
  <c r="O108" i="9"/>
  <c r="N108" i="9"/>
  <c r="P107" i="9"/>
  <c r="O107" i="9"/>
  <c r="N107" i="9"/>
  <c r="P106" i="9"/>
  <c r="O106" i="9"/>
  <c r="N106" i="9"/>
  <c r="P105" i="9"/>
  <c r="O105" i="9"/>
  <c r="N105" i="9"/>
  <c r="P104" i="9"/>
  <c r="O104" i="9"/>
  <c r="N104" i="9"/>
  <c r="P103" i="9"/>
  <c r="O103" i="9"/>
  <c r="N103" i="9"/>
  <c r="P102" i="9"/>
  <c r="O102" i="9"/>
  <c r="N102" i="9"/>
  <c r="P99" i="9"/>
  <c r="O99" i="9"/>
  <c r="N99" i="9"/>
  <c r="P96" i="9"/>
  <c r="O96" i="9"/>
  <c r="P95" i="9"/>
  <c r="N95" i="9"/>
  <c r="O95" i="9"/>
  <c r="P94" i="9"/>
  <c r="N94" i="9"/>
  <c r="P93" i="9"/>
  <c r="O93" i="9"/>
  <c r="N93" i="9"/>
  <c r="P92" i="9"/>
  <c r="O92" i="9"/>
  <c r="N92" i="9"/>
  <c r="P91" i="9"/>
  <c r="O91" i="9"/>
  <c r="N91" i="9"/>
  <c r="P87" i="9"/>
  <c r="N87" i="9"/>
  <c r="E86" i="9"/>
  <c r="P86" i="9"/>
  <c r="O86" i="9"/>
  <c r="N86" i="9"/>
  <c r="P83" i="9"/>
  <c r="O83" i="9"/>
  <c r="N83" i="9"/>
  <c r="E83" i="9"/>
  <c r="P82" i="9"/>
  <c r="O82" i="9"/>
  <c r="N82" i="9"/>
  <c r="P81" i="9"/>
  <c r="O81" i="9"/>
  <c r="N81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P59" i="9"/>
  <c r="O59" i="9"/>
  <c r="N59" i="9"/>
  <c r="E59" i="9"/>
  <c r="P58" i="9"/>
  <c r="O58" i="9"/>
  <c r="N58" i="9"/>
  <c r="E58" i="9"/>
  <c r="P57" i="9"/>
  <c r="O57" i="9"/>
  <c r="N57" i="9"/>
  <c r="E57" i="9"/>
  <c r="P54" i="9"/>
  <c r="E46" i="9"/>
  <c r="P53" i="9"/>
  <c r="O53" i="9"/>
  <c r="N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P32" i="9"/>
  <c r="O32" i="9"/>
  <c r="N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2" i="9"/>
  <c r="N22" i="9"/>
  <c r="E12" i="9"/>
  <c r="P21" i="9"/>
  <c r="O21" i="9"/>
  <c r="N21" i="9"/>
  <c r="P19" i="9"/>
  <c r="O19" i="9"/>
  <c r="P18" i="9"/>
  <c r="O18" i="9"/>
  <c r="N18" i="9"/>
  <c r="P17" i="9"/>
  <c r="O17" i="9"/>
  <c r="N17" i="9"/>
  <c r="E17" i="9"/>
  <c r="P16" i="9"/>
  <c r="O16" i="9"/>
  <c r="N16" i="9"/>
  <c r="P15" i="9"/>
  <c r="O15" i="9"/>
  <c r="N15" i="9"/>
  <c r="P14" i="9"/>
  <c r="O14" i="9"/>
  <c r="N14" i="9"/>
  <c r="E14" i="9"/>
  <c r="P13" i="9"/>
  <c r="O13" i="9"/>
  <c r="N13" i="9"/>
  <c r="P12" i="9"/>
  <c r="O12" i="9"/>
  <c r="N12" i="9"/>
  <c r="P11" i="9"/>
  <c r="O11" i="9"/>
  <c r="N11" i="9"/>
  <c r="E11" i="9"/>
  <c r="P10" i="9"/>
  <c r="O10" i="9"/>
  <c r="N10" i="9"/>
  <c r="P9" i="9"/>
  <c r="O9" i="9"/>
  <c r="N9" i="9"/>
  <c r="E9" i="9"/>
  <c r="P8" i="9"/>
  <c r="O8" i="9"/>
  <c r="N8" i="9"/>
  <c r="P7" i="9"/>
  <c r="O7" i="9"/>
  <c r="N7" i="9"/>
  <c r="P6" i="9"/>
  <c r="N6" i="9"/>
  <c r="E6" i="9"/>
  <c r="J189" i="9" l="1"/>
  <c r="J182" i="9"/>
  <c r="J184" i="9"/>
  <c r="J186" i="9"/>
  <c r="J181" i="9"/>
  <c r="J188" i="9"/>
  <c r="N192" i="9"/>
  <c r="J187" i="9"/>
  <c r="J191" i="9"/>
  <c r="J185" i="9"/>
  <c r="J160" i="9"/>
  <c r="J154" i="9"/>
  <c r="J159" i="9"/>
  <c r="J161" i="9"/>
  <c r="J162" i="9"/>
  <c r="J164" i="9"/>
  <c r="J123" i="9"/>
  <c r="J74" i="9"/>
  <c r="J58" i="9"/>
  <c r="J63" i="9"/>
  <c r="J69" i="9"/>
  <c r="J83" i="9"/>
  <c r="J62" i="9"/>
  <c r="J71" i="9"/>
  <c r="J61" i="9"/>
  <c r="J76" i="9"/>
  <c r="J78" i="9"/>
  <c r="J81" i="9"/>
  <c r="J70" i="9"/>
  <c r="J105" i="9"/>
  <c r="J39" i="9"/>
  <c r="J31" i="9"/>
  <c r="J29" i="9"/>
  <c r="J27" i="9"/>
  <c r="J37" i="9"/>
  <c r="J33" i="9"/>
  <c r="J25" i="9"/>
  <c r="J41" i="9"/>
  <c r="J35" i="9"/>
  <c r="N54" i="9"/>
  <c r="J7" i="9"/>
  <c r="J9" i="9"/>
  <c r="J11" i="9"/>
  <c r="J18" i="9"/>
  <c r="J6" i="9"/>
  <c r="J14" i="9"/>
  <c r="J15" i="9"/>
  <c r="J13" i="9"/>
  <c r="J17" i="9"/>
  <c r="J8" i="9"/>
  <c r="J126" i="9"/>
  <c r="J139" i="9"/>
  <c r="J131" i="9"/>
  <c r="J134" i="9"/>
  <c r="J114" i="9"/>
  <c r="J115" i="9"/>
  <c r="J113" i="9"/>
  <c r="J19" i="9"/>
  <c r="J10" i="9"/>
  <c r="J12" i="9"/>
  <c r="J16" i="9"/>
  <c r="E154" i="9"/>
  <c r="E162" i="9"/>
  <c r="N165" i="9"/>
  <c r="E19" i="9"/>
  <c r="J60" i="9"/>
  <c r="J68" i="9"/>
  <c r="J75" i="9"/>
  <c r="E122" i="9"/>
  <c r="J125" i="9"/>
  <c r="E130" i="9"/>
  <c r="J133" i="9"/>
  <c r="E138" i="9"/>
  <c r="J143" i="9"/>
  <c r="N144" i="9"/>
  <c r="E161" i="9"/>
  <c r="E8" i="9"/>
  <c r="E16" i="9"/>
  <c r="E13" i="9"/>
  <c r="J26" i="9"/>
  <c r="J28" i="9"/>
  <c r="J32" i="9"/>
  <c r="J34" i="9"/>
  <c r="J36" i="9"/>
  <c r="J38" i="9"/>
  <c r="J40" i="9"/>
  <c r="J57" i="9"/>
  <c r="J65" i="9"/>
  <c r="J73" i="9"/>
  <c r="E82" i="9"/>
  <c r="E114" i="9"/>
  <c r="J122" i="9"/>
  <c r="E127" i="9"/>
  <c r="J130" i="9"/>
  <c r="E135" i="9"/>
  <c r="E158" i="9"/>
  <c r="N96" i="9"/>
  <c r="J128" i="9"/>
  <c r="J136" i="9"/>
  <c r="J77" i="9"/>
  <c r="J82" i="9"/>
  <c r="E124" i="9"/>
  <c r="J127" i="9"/>
  <c r="E132" i="9"/>
  <c r="J135" i="9"/>
  <c r="E140" i="9"/>
  <c r="E164" i="9"/>
  <c r="J120" i="9"/>
  <c r="E7" i="9"/>
  <c r="E15" i="9"/>
  <c r="E21" i="9"/>
  <c r="J59" i="9"/>
  <c r="J67" i="9"/>
  <c r="J79" i="9"/>
  <c r="E121" i="9"/>
  <c r="E129" i="9"/>
  <c r="J132" i="9"/>
  <c r="J140" i="9"/>
  <c r="E160" i="9"/>
  <c r="E96" i="9"/>
  <c r="E10" i="9"/>
  <c r="E18" i="9"/>
  <c r="J64" i="9"/>
  <c r="E81" i="9"/>
  <c r="J86" i="9"/>
  <c r="J116" i="9"/>
  <c r="J121" i="9"/>
  <c r="E102" i="9" l="1"/>
  <c r="E105" i="9"/>
  <c r="E108" i="9"/>
  <c r="E103" i="9"/>
  <c r="E93" i="9"/>
  <c r="E106" i="9"/>
  <c r="E94" i="9"/>
  <c r="E107" i="9"/>
  <c r="E91" i="9"/>
  <c r="E99" i="9"/>
  <c r="E95" i="9"/>
  <c r="E104" i="9"/>
  <c r="E92" i="9"/>
  <c r="E144" i="9" l="1"/>
  <c r="E117" i="9"/>
  <c r="E150" i="9"/>
  <c r="E165" i="9"/>
  <c r="E54" i="9"/>
  <c r="E22" i="9"/>
  <c r="E87" i="9"/>
  <c r="E110" i="9"/>
  <c r="K10" i="1" l="1"/>
  <c r="K12" i="1" s="1"/>
  <c r="AT138" i="11" l="1"/>
  <c r="AT133" i="11"/>
  <c r="AQ133" i="11"/>
  <c r="AS133" i="11" s="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Q122" i="11"/>
  <c r="AQ138" i="11" s="1"/>
  <c r="AS138" i="11" s="1"/>
  <c r="AT121" i="11"/>
  <c r="AQ121" i="11"/>
  <c r="AS121" i="11" s="1"/>
  <c r="AT117" i="11"/>
  <c r="AS117" i="11"/>
  <c r="AT116" i="11"/>
  <c r="AS116" i="11"/>
  <c r="AT115" i="11"/>
  <c r="AS115" i="11"/>
  <c r="AT114" i="11"/>
  <c r="AS114" i="11"/>
  <c r="AT113" i="11"/>
  <c r="AS113" i="11"/>
  <c r="AT112" i="11"/>
  <c r="AS112" i="11"/>
  <c r="AT111" i="11"/>
  <c r="AQ111" i="11"/>
  <c r="AS111" i="11" s="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5" i="11"/>
  <c r="AS95" i="11"/>
  <c r="AT94" i="11"/>
  <c r="AS94" i="11"/>
  <c r="AT93" i="11"/>
  <c r="AS93" i="11"/>
  <c r="AT92" i="11"/>
  <c r="AS92" i="11"/>
  <c r="AT91" i="11"/>
  <c r="AQ91" i="11"/>
  <c r="AS91" i="11" s="1"/>
  <c r="AT90" i="11"/>
  <c r="AS90" i="11"/>
  <c r="AT86" i="11"/>
  <c r="AS86" i="11"/>
  <c r="AT70" i="11"/>
  <c r="AS70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8" i="11"/>
  <c r="AS58" i="11"/>
  <c r="AT57" i="11"/>
  <c r="AS57" i="11"/>
  <c r="AT56" i="11"/>
  <c r="AS56" i="11"/>
  <c r="AT55" i="11"/>
  <c r="AS55" i="11"/>
  <c r="AT53" i="11"/>
  <c r="AQ53" i="11"/>
  <c r="AS53" i="11" s="1"/>
  <c r="AT52" i="11"/>
  <c r="AS52" i="11"/>
  <c r="AT29" i="11"/>
  <c r="AS29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1" i="11"/>
  <c r="AQ21" i="11"/>
  <c r="AS21" i="11" s="1"/>
  <c r="AT20" i="11"/>
  <c r="AS20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F14" i="12"/>
  <c r="F13" i="12"/>
  <c r="F12" i="12"/>
  <c r="F11" i="12"/>
  <c r="F10" i="12"/>
  <c r="F9" i="12"/>
  <c r="F8" i="12"/>
  <c r="F7" i="12"/>
  <c r="AS122" i="11" l="1"/>
  <c r="R175" i="9"/>
  <c r="R193" i="9"/>
  <c r="N109" i="9"/>
  <c r="J106" i="9"/>
  <c r="N166" i="9" l="1"/>
  <c r="J94" i="9"/>
  <c r="J96" i="9"/>
  <c r="J108" i="9"/>
  <c r="J102" i="9"/>
  <c r="J99" i="9"/>
  <c r="J104" i="9"/>
  <c r="J107" i="9"/>
  <c r="J93" i="9"/>
  <c r="J109" i="9"/>
  <c r="N110" i="9"/>
  <c r="J92" i="9"/>
  <c r="E109" i="9"/>
  <c r="J91" i="9"/>
  <c r="J95" i="9"/>
  <c r="J103" i="9"/>
  <c r="J54" i="9" l="1"/>
  <c r="J87" i="9"/>
  <c r="R166" i="9"/>
  <c r="J150" i="9"/>
  <c r="J22" i="9"/>
  <c r="J110" i="9"/>
  <c r="J165" i="9"/>
  <c r="J144" i="9"/>
  <c r="J117" i="9"/>
</calcChain>
</file>

<file path=xl/sharedStrings.xml><?xml version="1.0" encoding="utf-8"?>
<sst xmlns="http://schemas.openxmlformats.org/spreadsheetml/2006/main" count="723" uniqueCount="292">
  <si>
    <t>EQUITY BASED FUNDS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</si>
  <si>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</si>
  <si>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</si>
  <si>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</si>
  <si>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</si>
  <si>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</si>
  <si>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</si>
  <si>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</si>
  <si>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</si>
  <si>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</si>
  <si>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</si>
  <si>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</si>
  <si>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</si>
  <si>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</si>
  <si>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</si>
  <si>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</si>
  <si>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</si>
  <si>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</si>
  <si>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</si>
  <si>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</si>
  <si>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</si>
  <si>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</si>
  <si>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</si>
  <si>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</si>
  <si>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</si>
  <si>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</si>
  <si>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</si>
  <si>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</si>
  <si>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</si>
  <si>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</si>
  <si>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</si>
  <si>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</si>
  <si>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</si>
  <si>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</si>
  <si>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</si>
  <si>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</si>
  <si>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</si>
  <si>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</si>
  <si>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</si>
  <si>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</si>
  <si>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</si>
  <si>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</si>
  <si>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</si>
  <si>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</si>
  <si>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</si>
  <si>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</si>
  <si>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</si>
  <si>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</si>
  <si>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</si>
  <si>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</si>
  <si>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</si>
  <si>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</si>
  <si>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</si>
  <si>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</si>
  <si>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</si>
  <si>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</si>
  <si>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</si>
  <si>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</si>
  <si>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</si>
  <si>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</si>
  <si>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</si>
  <si>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</si>
  <si>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</si>
  <si>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</si>
  <si>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</si>
  <si>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</si>
  <si>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</si>
  <si>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</si>
  <si>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</si>
  <si>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</si>
  <si>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</si>
  <si>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</si>
  <si>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</si>
  <si>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</si>
  <si>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</si>
  <si>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</si>
  <si>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</si>
  <si>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</si>
  <si>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</si>
  <si>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</si>
  <si>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</si>
  <si>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</si>
  <si>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</si>
  <si>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</si>
  <si>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</si>
  <si>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</si>
  <si>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</si>
  <si>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</si>
  <si>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</si>
  <si>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</si>
  <si>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</si>
  <si>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</si>
  <si>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</si>
  <si>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</si>
  <si>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</si>
  <si>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</si>
  <si>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</si>
  <si>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</si>
  <si>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</si>
  <si>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</si>
  <si>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</si>
  <si>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</si>
  <si>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</si>
  <si>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</si>
  <si>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</si>
  <si>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</si>
  <si>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</si>
  <si>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</si>
  <si>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</si>
  <si>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</si>
  <si>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</si>
  <si>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</si>
  <si>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</si>
  <si>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</si>
  <si>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</si>
  <si>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</si>
  <si>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</si>
  <si>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</si>
  <si>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</si>
  <si>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</si>
  <si>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</si>
  <si>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</si>
  <si>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</si>
  <si>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</si>
  <si>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</si>
  <si>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</si>
  <si>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</si>
  <si>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</si>
  <si>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</si>
  <si>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</si>
  <si>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</si>
  <si>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</si>
  <si>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</si>
  <si>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</si>
  <si>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</si>
  <si>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</si>
  <si>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</si>
  <si>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</si>
  <si>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</si>
  <si>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</si>
  <si>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</si>
  <si>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</si>
  <si>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</si>
  <si>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</si>
  <si>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</si>
  <si>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</si>
  <si>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</si>
  <si>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</si>
  <si>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</si>
  <si>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</si>
  <si>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</si>
  <si>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</si>
  <si>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</si>
  <si>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</si>
  <si>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</si>
  <si>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</si>
  <si>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</si>
  <si>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</si>
  <si>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</si>
  <si>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</si>
  <si>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</si>
  <si>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</si>
  <si>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</si>
  <si>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</si>
  <si>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</si>
  <si>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</si>
  <si>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</si>
  <si>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</si>
  <si>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</si>
  <si>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</si>
  <si>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</si>
  <si>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</si>
  <si>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</si>
  <si>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</si>
  <si>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</si>
  <si>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</si>
  <si>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</si>
  <si>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</si>
  <si>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</si>
  <si>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</si>
  <si>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</si>
  <si>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</si>
  <si>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</si>
  <si>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</si>
  <si>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</si>
  <si>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</si>
  <si>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</si>
  <si>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</si>
  <si>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</si>
  <si>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</si>
  <si>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</si>
  <si>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</si>
  <si>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</si>
  <si>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</si>
  <si>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</si>
  <si>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</si>
  <si>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</si>
  <si>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</si>
  <si>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</si>
  <si>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</si>
  <si>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</si>
  <si>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</si>
  <si>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</si>
  <si>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</si>
  <si>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</si>
  <si>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</si>
  <si>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</si>
  <si>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FBN Balanced Fund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</si>
  <si>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</si>
  <si>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</si>
  <si>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</si>
  <si>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</si>
  <si>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</si>
  <si>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</si>
  <si>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</si>
  <si>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</si>
  <si>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</si>
  <si>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</si>
  <si>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</si>
  <si>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</si>
  <si>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</si>
  <si>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</si>
  <si>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</si>
  <si>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</si>
  <si>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</si>
  <si>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</si>
  <si>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</si>
  <si>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</si>
  <si>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</si>
  <si>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</si>
  <si>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</si>
  <si>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</si>
  <si>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</si>
  <si>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</si>
  <si>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</si>
  <si>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</si>
  <si>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</si>
  <si>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</si>
  <si>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</si>
  <si>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</si>
  <si>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</si>
  <si>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Nigerian Bond Fund</t>
  </si>
  <si>
    <t>BALANCED FUNDS</t>
  </si>
  <si>
    <t>Cordros Fixed Income Fund</t>
  </si>
  <si>
    <t>Greenwich ALPHA ETF</t>
  </si>
  <si>
    <t>Nigeria Real Estate Investment Trust</t>
  </si>
  <si>
    <t>Stanbic IBTC Nigerian Equity Fund</t>
  </si>
  <si>
    <t>ARM Short Term Bond Fund</t>
  </si>
  <si>
    <t>AXA Mansard Dollar Bond Fund</t>
  </si>
  <si>
    <t>CapitalTrust Halal Fixed Income Fund</t>
  </si>
  <si>
    <t>CapitalTrust Investments &amp; Asset Management Ltd.</t>
  </si>
  <si>
    <t>Coral Money Market Fund</t>
  </si>
  <si>
    <t>Cordros Halal Fixed Income Fund</t>
  </si>
  <si>
    <t>Nigeria Bond Fund</t>
  </si>
  <si>
    <t>Women's Balanced Fund</t>
  </si>
  <si>
    <t>Greenwich Balanced  Fund (Nigeria Entertainment)</t>
  </si>
  <si>
    <t>EDC Balanced Fund</t>
  </si>
  <si>
    <t>EDC Halal Fund</t>
  </si>
  <si>
    <t>Futureview Dollar Fund</t>
  </si>
  <si>
    <t>DLM Asset Management Limited</t>
  </si>
  <si>
    <t>DLM Fixed Income Fund</t>
  </si>
  <si>
    <t>FBN Dollar Fund (Retail)</t>
  </si>
  <si>
    <t>United Capital Wealth for Women Fund</t>
  </si>
  <si>
    <t>Balanced Strategy Fund</t>
  </si>
  <si>
    <t>ESG Impact Fund</t>
  </si>
  <si>
    <t>Guaranty Trust Fund Managers</t>
  </si>
  <si>
    <t>United Capital Infrastructure Fund</t>
  </si>
  <si>
    <t>NAV and Unit Price as at Week Ended December 16, 2022</t>
  </si>
  <si>
    <t>UBA Nom-Cowry Equity Fund</t>
  </si>
  <si>
    <t>Cowry Treasurers Limited</t>
  </si>
  <si>
    <t>UBA Nom-Cowry Fixed Income Fund</t>
  </si>
  <si>
    <t>UBA Nom-Cowry Balanced Fund</t>
  </si>
  <si>
    <t>NAV and Unit Price as at Week Ended December 23, 2022</t>
  </si>
  <si>
    <t>NAV and Unit Price as at Week Ended December 30, 2022</t>
  </si>
  <si>
    <t>TOTAL</t>
  </si>
  <si>
    <t>NAV and Unit Price as at Week Ended January 6, 2023</t>
  </si>
  <si>
    <t>Norrenberger Dollar Fund</t>
  </si>
  <si>
    <t>NAV and Unit Price as at Week Ended January 13, 2023</t>
  </si>
  <si>
    <t>FBN Bond Fund</t>
  </si>
  <si>
    <t>NAV and Unit Price as at Week Ended January 20, 2023</t>
  </si>
  <si>
    <t>NAV and Unit Price as at Week Ended January 27, 2023</t>
  </si>
  <si>
    <t>NAV, Unit Price and Yield as at Week Ended February 3, 2023</t>
  </si>
  <si>
    <t>46.3224 </t>
  </si>
  <si>
    <t>47.7191 </t>
  </si>
  <si>
    <t>Stanbic IBTC Infrastructure Fund Series 2</t>
  </si>
  <si>
    <t>NAV and Unit Price as at Week Ended February 3, 2023</t>
  </si>
  <si>
    <t>NAV, Unit Price and Yield as at Week Ended February 10, 2023</t>
  </si>
  <si>
    <t>(7.1o%)</t>
  </si>
  <si>
    <t>     0.2271%</t>
  </si>
  <si>
    <t>NAV and Unit Price as at Week Ended February 10, 2023</t>
  </si>
  <si>
    <t>The chart above shows that Money Market Fund category has 48.54% share of the Net Asset Value (NAV), followed by Bond/Fixed Income Fund with 22.37%, Dollar Fund (Eurobonds and Fixed Income) at 21.06%, Real Estate Investment Trust at 3.06%.  Next is Balanced Fund at 2.06%, Shari'ah Compliant Fund at 1.57%, Equity Fund at 1.13% and Ethical Fund at 0.20%.</t>
  </si>
  <si>
    <t>NET ASSET VALUES AND UNIT PRICES OF COLLECTIVE INVESTMENT SCHEMES AS AT WEEK ENDED FEBRUARY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</si>
</sst>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  <numFmt numFmtId="169" formatCode="_-* #,##0.0000_-;\-* #,##0.0000_-;_-* &quot;-&quot;??_-;_-@_-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4"/>
      <color rgb="FF002060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9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783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14" borderId="0" applyNumberFormat="0" applyBorder="0" applyAlignment="0" applyProtection="0"/>
    <xf numFmtId="0" fontId="47" fillId="16" borderId="15" applyNumberFormat="0" applyAlignment="0" applyProtection="0"/>
    <xf numFmtId="0" fontId="48" fillId="17" borderId="16" applyNumberFormat="0" applyAlignment="0" applyProtection="0"/>
    <xf numFmtId="0" fontId="49" fillId="17" borderId="15" applyNumberFormat="0" applyAlignment="0" applyProtection="0"/>
    <xf numFmtId="0" fontId="50" fillId="0" borderId="17" applyNumberFormat="0" applyFill="0" applyAlignment="0" applyProtection="0"/>
    <xf numFmtId="0" fontId="51" fillId="18" borderId="18" applyNumberFormat="0" applyAlignment="0" applyProtection="0"/>
    <xf numFmtId="0" fontId="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3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3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3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3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3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1" fillId="0" borderId="0"/>
    <xf numFmtId="0" fontId="73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" fillId="19" borderId="19" applyNumberFormat="0" applyFont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0" fontId="56" fillId="0" borderId="0"/>
    <xf numFmtId="0" fontId="56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79" fillId="0" borderId="0">
      <alignment vertical="top"/>
    </xf>
    <xf numFmtId="0" fontId="79" fillId="0" borderId="0">
      <alignment vertical="top"/>
    </xf>
    <xf numFmtId="0" fontId="54" fillId="0" borderId="0">
      <alignment wrapText="1"/>
    </xf>
    <xf numFmtId="0" fontId="56" fillId="0" borderId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/>
    <xf numFmtId="164" fontId="54" fillId="0" borderId="0" applyFont="0" applyFill="0" applyBorder="0" applyAlignment="0" applyProtection="0"/>
    <xf numFmtId="0" fontId="81" fillId="48" borderId="0" applyNumberFormat="0" applyBorder="0" applyAlignment="0" applyProtection="0"/>
    <xf numFmtId="0" fontId="82" fillId="16" borderId="15" applyNumberFormat="0" applyAlignment="0" applyProtection="0"/>
    <xf numFmtId="0" fontId="83" fillId="17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8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3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9" borderId="1" xfId="2" applyNumberFormat="1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19" fillId="9" borderId="1" xfId="0" applyNumberFormat="1" applyFont="1" applyFill="1" applyBorder="1" applyAlignment="1">
      <alignment vertical="center"/>
    </xf>
    <xf numFmtId="10" fontId="13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4" fontId="19" fillId="9" borderId="1" xfId="0" applyNumberFormat="1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vertical="center" wrapText="1"/>
    </xf>
    <xf numFmtId="4" fontId="19" fillId="9" borderId="1" xfId="2" applyNumberFormat="1" applyFont="1" applyFill="1" applyBorder="1" applyAlignment="1">
      <alignment horizontal="right" vertical="center"/>
    </xf>
    <xf numFmtId="165" fontId="20" fillId="9" borderId="1" xfId="1" applyNumberFormat="1" applyFont="1" applyFill="1" applyBorder="1" applyAlignment="1">
      <alignment horizontal="right" vertical="center"/>
    </xf>
    <xf numFmtId="4" fontId="20" fillId="9" borderId="1" xfId="1" applyNumberFormat="1" applyFont="1" applyFill="1" applyBorder="1" applyAlignment="1">
      <alignment horizontal="right" vertical="center"/>
    </xf>
    <xf numFmtId="165" fontId="19" fillId="9" borderId="1" xfId="2" applyFont="1" applyFill="1" applyBorder="1" applyAlignment="1">
      <alignment vertical="center"/>
    </xf>
    <xf numFmtId="165" fontId="19" fillId="9" borderId="1" xfId="2" applyFont="1" applyFill="1" applyBorder="1" applyAlignment="1">
      <alignment vertical="center" wrapText="1"/>
    </xf>
    <xf numFmtId="165" fontId="17" fillId="9" borderId="1" xfId="2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vertical="center" wrapText="1"/>
    </xf>
    <xf numFmtId="4" fontId="19" fillId="9" borderId="1" xfId="0" applyNumberFormat="1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/>
    </xf>
    <xf numFmtId="4" fontId="19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19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7" fillId="9" borderId="1" xfId="2" applyFont="1" applyFill="1" applyBorder="1" applyAlignment="1">
      <alignment horizontal="right" vertical="center"/>
    </xf>
    <xf numFmtId="165" fontId="17" fillId="0" borderId="1" xfId="2" applyFont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horizontal="right" vertical="center" wrapText="1"/>
    </xf>
    <xf numFmtId="165" fontId="15" fillId="9" borderId="2" xfId="2" applyFont="1" applyFill="1" applyBorder="1" applyAlignment="1">
      <alignment horizontal="right" vertical="center" wrapText="1"/>
    </xf>
    <xf numFmtId="4" fontId="17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3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165" fontId="0" fillId="0" borderId="0" xfId="2" applyFont="1"/>
    <xf numFmtId="3" fontId="2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3" fillId="0" borderId="0" xfId="0" applyFont="1" applyAlignment="1"/>
    <xf numFmtId="0" fontId="60" fillId="0" borderId="0" xfId="0" applyFont="1" applyBorder="1"/>
    <xf numFmtId="0" fontId="60" fillId="0" borderId="0" xfId="0" applyFont="1" applyAlignment="1">
      <alignment horizontal="right"/>
    </xf>
    <xf numFmtId="4" fontId="61" fillId="0" borderId="0" xfId="0" applyNumberFormat="1" applyFont="1"/>
    <xf numFmtId="0" fontId="34" fillId="0" borderId="0" xfId="0" applyFont="1"/>
    <xf numFmtId="0" fontId="63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4" fontId="30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6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3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4" fillId="6" borderId="0" xfId="0" applyNumberFormat="1" applyFont="1" applyFill="1" applyBorder="1"/>
    <xf numFmtId="0" fontId="24" fillId="6" borderId="0" xfId="0" applyFont="1" applyFill="1" applyBorder="1" applyAlignment="1">
      <alignment vertical="top" wrapText="1"/>
    </xf>
    <xf numFmtId="0" fontId="13" fillId="6" borderId="0" xfId="0" applyFont="1" applyFill="1" applyBorder="1"/>
    <xf numFmtId="4" fontId="13" fillId="6" borderId="0" xfId="0" applyNumberFormat="1" applyFont="1" applyFill="1" applyBorder="1"/>
    <xf numFmtId="165" fontId="30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3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2" fillId="6" borderId="0" xfId="0" applyNumberFormat="1" applyFont="1" applyFill="1" applyBorder="1" applyAlignment="1">
      <alignment horizontal="justify" vertical="center" wrapText="1"/>
    </xf>
    <xf numFmtId="0" fontId="32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5" fillId="6" borderId="0" xfId="0" quotePrefix="1" applyFont="1" applyFill="1" applyBorder="1" applyAlignment="1">
      <alignment horizontal="center"/>
    </xf>
    <xf numFmtId="10" fontId="64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68" fillId="6" borderId="0" xfId="2" applyFont="1" applyFill="1" applyBorder="1"/>
    <xf numFmtId="4" fontId="35" fillId="6" borderId="11" xfId="0" applyNumberFormat="1" applyFont="1" applyFill="1" applyBorder="1" applyAlignment="1">
      <alignment vertical="center" wrapText="1"/>
    </xf>
    <xf numFmtId="4" fontId="35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4" fontId="2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0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7" fillId="6" borderId="0" xfId="2" applyNumberFormat="1" applyFont="1" applyFill="1" applyBorder="1" applyAlignment="1"/>
    <xf numFmtId="0" fontId="31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6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top" wrapText="1"/>
    </xf>
    <xf numFmtId="4" fontId="29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1" fillId="6" borderId="0" xfId="0" applyFont="1" applyFill="1" applyBorder="1" applyAlignment="1">
      <alignment vertical="center" wrapText="1"/>
    </xf>
    <xf numFmtId="4" fontId="28" fillId="6" borderId="0" xfId="0" applyNumberFormat="1" applyFont="1" applyFill="1" applyBorder="1"/>
    <xf numFmtId="4" fontId="70" fillId="6" borderId="0" xfId="0" applyNumberFormat="1" applyFont="1" applyFill="1" applyBorder="1"/>
    <xf numFmtId="0" fontId="0" fillId="6" borderId="0" xfId="0" applyFill="1" applyBorder="1"/>
    <xf numFmtId="0" fontId="24" fillId="6" borderId="0" xfId="0" applyFont="1" applyFill="1" applyBorder="1"/>
    <xf numFmtId="0" fontId="35" fillId="6" borderId="0" xfId="0" applyFont="1" applyFill="1" applyBorder="1"/>
    <xf numFmtId="0" fontId="35" fillId="6" borderId="0" xfId="0" applyFont="1" applyFill="1" applyBorder="1" applyAlignment="1">
      <alignment vertical="top" wrapText="1"/>
    </xf>
    <xf numFmtId="0" fontId="25" fillId="6" borderId="0" xfId="0" applyFont="1" applyFill="1" applyBorder="1" applyAlignment="1">
      <alignment wrapText="1"/>
    </xf>
    <xf numFmtId="0" fontId="69" fillId="6" borderId="0" xfId="0" applyFont="1" applyFill="1" applyBorder="1" applyAlignment="1">
      <alignment vertical="center"/>
    </xf>
    <xf numFmtId="4" fontId="69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0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top"/>
    </xf>
    <xf numFmtId="4" fontId="39" fillId="6" borderId="0" xfId="0" applyNumberFormat="1" applyFont="1" applyFill="1" applyBorder="1"/>
    <xf numFmtId="0" fontId="27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6" fillId="6" borderId="0" xfId="0" applyFont="1" applyFill="1" applyBorder="1"/>
    <xf numFmtId="4" fontId="35" fillId="6" borderId="0" xfId="0" applyNumberFormat="1" applyFont="1" applyFill="1" applyBorder="1"/>
    <xf numFmtId="0" fontId="41" fillId="6" borderId="0" xfId="0" applyFont="1" applyFill="1" applyBorder="1"/>
    <xf numFmtId="4" fontId="41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5" fillId="6" borderId="0" xfId="0" applyFont="1" applyFill="1" applyBorder="1" applyAlignment="1">
      <alignment vertical="center" wrapText="1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2" fillId="44" borderId="1" xfId="0" applyFont="1" applyFill="1" applyBorder="1" applyAlignment="1">
      <alignment horizontal="center" vertical="top"/>
    </xf>
    <xf numFmtId="0" fontId="12" fillId="44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3" fillId="0" borderId="0" xfId="0" applyFont="1" applyBorder="1"/>
    <xf numFmtId="4" fontId="53" fillId="0" borderId="0" xfId="0" applyNumberFormat="1" applyFont="1"/>
    <xf numFmtId="0" fontId="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center" vertical="center" wrapText="1"/>
    </xf>
    <xf numFmtId="0" fontId="7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3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0" fillId="6" borderId="1" xfId="2" applyFont="1" applyFill="1" applyBorder="1"/>
    <xf numFmtId="165" fontId="10" fillId="0" borderId="0" xfId="2" applyFont="1" applyBorder="1"/>
    <xf numFmtId="4" fontId="39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65" fontId="15" fillId="6" borderId="1" xfId="2" applyFont="1" applyFill="1" applyBorder="1" applyAlignment="1">
      <alignment horizontal="right" vertical="top" wrapText="1"/>
    </xf>
    <xf numFmtId="2" fontId="74" fillId="6" borderId="0" xfId="0" applyNumberFormat="1" applyFont="1" applyFill="1" applyBorder="1" applyAlignment="1">
      <alignment horizontal="center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47" borderId="1" xfId="2" applyNumberFormat="1" applyFont="1" applyFill="1" applyBorder="1" applyAlignment="1">
      <alignment horizontal="center" vertical="top" wrapText="1"/>
    </xf>
    <xf numFmtId="165" fontId="13" fillId="6" borderId="1" xfId="2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 wrapText="1"/>
    </xf>
    <xf numFmtId="165" fontId="75" fillId="6" borderId="1" xfId="2" applyFont="1" applyFill="1" applyBorder="1" applyAlignment="1">
      <alignment horizontal="right" vertical="top" wrapText="1"/>
    </xf>
    <xf numFmtId="165" fontId="75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6" fillId="0" borderId="0" xfId="0" applyFont="1" applyBorder="1"/>
    <xf numFmtId="0" fontId="22" fillId="0" borderId="0" xfId="0" applyFont="1"/>
    <xf numFmtId="9" fontId="22" fillId="0" borderId="0" xfId="6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3" fontId="13" fillId="0" borderId="0" xfId="0" applyNumberFormat="1" applyFont="1" applyBorder="1"/>
    <xf numFmtId="165" fontId="13" fillId="0" borderId="0" xfId="2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2" fillId="7" borderId="6" xfId="0" applyFont="1" applyFill="1" applyBorder="1" applyAlignment="1"/>
    <xf numFmtId="0" fontId="12" fillId="7" borderId="1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7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9" fontId="12" fillId="7" borderId="1" xfId="6" applyFont="1" applyFill="1" applyBorder="1" applyAlignment="1">
      <alignment horizontal="center" vertical="top" wrapText="1"/>
    </xf>
    <xf numFmtId="165" fontId="12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7" borderId="1" xfId="2" applyNumberFormat="1" applyFont="1" applyFill="1" applyBorder="1" applyAlignment="1">
      <alignment horizontal="center" vertical="top" wrapText="1"/>
    </xf>
    <xf numFmtId="10" fontId="12" fillId="8" borderId="1" xfId="6" applyNumberFormat="1" applyFont="1" applyFill="1" applyBorder="1" applyAlignment="1">
      <alignment horizontal="center" vertical="top" wrapText="1"/>
    </xf>
    <xf numFmtId="10" fontId="12" fillId="8" borderId="3" xfId="6" applyNumberFormat="1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center" wrapText="1"/>
    </xf>
    <xf numFmtId="0" fontId="2" fillId="46" borderId="1" xfId="0" applyFont="1" applyFill="1" applyBorder="1" applyAlignment="1">
      <alignment wrapText="1"/>
    </xf>
    <xf numFmtId="0" fontId="2" fillId="46" borderId="1" xfId="0" applyFont="1" applyFill="1" applyBorder="1" applyAlignment="1">
      <alignment horizontal="right" vertical="center"/>
    </xf>
    <xf numFmtId="165" fontId="2" fillId="46" borderId="1" xfId="2" applyFont="1" applyFill="1" applyBorder="1" applyAlignment="1">
      <alignment horizontal="right" vertical="center" wrapText="1"/>
    </xf>
    <xf numFmtId="10" fontId="2" fillId="46" borderId="1" xfId="2" applyNumberFormat="1" applyFont="1" applyFill="1" applyBorder="1" applyAlignment="1">
      <alignment horizontal="right" vertical="center" wrapText="1"/>
    </xf>
    <xf numFmtId="4" fontId="2" fillId="46" borderId="1" xfId="2" applyNumberFormat="1" applyFont="1" applyFill="1" applyBorder="1" applyAlignment="1">
      <alignment horizontal="right" vertical="center" wrapText="1"/>
    </xf>
    <xf numFmtId="9" fontId="2" fillId="46" borderId="1" xfId="6" applyFont="1" applyFill="1" applyBorder="1" applyAlignment="1">
      <alignment horizontal="center" vertical="center" wrapText="1"/>
    </xf>
    <xf numFmtId="4" fontId="2" fillId="46" borderId="1" xfId="2" applyNumberFormat="1" applyFont="1" applyFill="1" applyBorder="1" applyAlignment="1">
      <alignment horizontal="center" vertical="center" wrapText="1"/>
    </xf>
    <xf numFmtId="10" fontId="12" fillId="46" borderId="1" xfId="6" applyNumberFormat="1" applyFont="1" applyFill="1" applyBorder="1" applyAlignment="1">
      <alignment horizontal="center" vertical="top" wrapText="1"/>
    </xf>
    <xf numFmtId="10" fontId="12" fillId="46" borderId="3" xfId="6" applyNumberFormat="1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/>
    </xf>
    <xf numFmtId="165" fontId="2" fillId="47" borderId="1" xfId="0" applyNumberFormat="1" applyFont="1" applyFill="1" applyBorder="1" applyAlignment="1">
      <alignment horizontal="center"/>
    </xf>
    <xf numFmtId="4" fontId="2" fillId="47" borderId="1" xfId="2" applyNumberFormat="1" applyFont="1" applyFill="1" applyBorder="1" applyAlignment="1">
      <alignment horizontal="center"/>
    </xf>
    <xf numFmtId="10" fontId="2" fillId="47" borderId="1" xfId="6" applyNumberFormat="1" applyFont="1" applyFill="1" applyBorder="1" applyAlignment="1">
      <alignment horizontal="center" wrapText="1"/>
    </xf>
    <xf numFmtId="10" fontId="2" fillId="47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7" borderId="1" xfId="6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0" fillId="0" borderId="0" xfId="0"/>
    <xf numFmtId="0" fontId="2" fillId="0" borderId="1" xfId="0" applyFont="1" applyFill="1" applyBorder="1" applyAlignment="1">
      <alignment horizontal="right"/>
    </xf>
    <xf numFmtId="10" fontId="12" fillId="6" borderId="0" xfId="6" applyNumberFormat="1" applyFont="1" applyFill="1" applyBorder="1" applyAlignment="1">
      <alignment horizontal="right" vertical="top" wrapText="1"/>
    </xf>
    <xf numFmtId="0" fontId="0" fillId="0" borderId="0" xfId="0"/>
    <xf numFmtId="10" fontId="2" fillId="6" borderId="0" xfId="6" applyNumberFormat="1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12" fillId="6" borderId="1" xfId="0" applyFont="1" applyFill="1" applyBorder="1"/>
    <xf numFmtId="0" fontId="36" fillId="6" borderId="0" xfId="0" applyFont="1" applyFill="1" applyBorder="1" applyAlignment="1">
      <alignment wrapText="1"/>
    </xf>
    <xf numFmtId="0" fontId="35" fillId="6" borderId="0" xfId="0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9" fontId="12" fillId="8" borderId="1" xfId="6" applyFont="1" applyFill="1" applyBorder="1" applyAlignment="1">
      <alignment horizontal="center" vertical="top" wrapText="1"/>
    </xf>
    <xf numFmtId="165" fontId="12" fillId="8" borderId="1" xfId="2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0" fillId="0" borderId="0" xfId="0"/>
    <xf numFmtId="165" fontId="2" fillId="6" borderId="1" xfId="2" applyFont="1" applyFill="1" applyBorder="1" applyAlignment="1">
      <alignment horizontal="right" vertical="center" wrapText="1"/>
    </xf>
    <xf numFmtId="16" fontId="0" fillId="0" borderId="0" xfId="0" applyNumberFormat="1"/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0" fillId="10" borderId="0" xfId="0" applyFill="1"/>
    <xf numFmtId="10" fontId="1" fillId="6" borderId="7" xfId="6" applyNumberFormat="1" applyFont="1" applyFill="1" applyBorder="1" applyAlignment="1">
      <alignment horizontal="center" vertical="center" wrapText="1"/>
    </xf>
    <xf numFmtId="0" fontId="0" fillId="6" borderId="0" xfId="0" applyFill="1"/>
    <xf numFmtId="4" fontId="1" fillId="6" borderId="1" xfId="0" applyNumberFormat="1" applyFont="1" applyFill="1" applyBorder="1"/>
    <xf numFmtId="43" fontId="1" fillId="6" borderId="1" xfId="13398" applyFont="1" applyFill="1" applyBorder="1"/>
    <xf numFmtId="169" fontId="84" fillId="6" borderId="0" xfId="13398" applyNumberFormat="1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3" fontId="1" fillId="6" borderId="1" xfId="13398" applyFont="1" applyFill="1" applyBorder="1" applyAlignment="1">
      <alignment horizontal="right"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3" fontId="1" fillId="6" borderId="1" xfId="13398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wrapText="1"/>
    </xf>
    <xf numFmtId="43" fontId="1" fillId="6" borderId="1" xfId="13398" applyFont="1" applyFill="1" applyBorder="1" applyAlignment="1">
      <alignment wrapText="1"/>
    </xf>
    <xf numFmtId="43" fontId="1" fillId="6" borderId="1" xfId="13398" applyFont="1" applyFill="1" applyBorder="1"/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43" fontId="1" fillId="6" borderId="1" xfId="13398" applyFont="1" applyFill="1" applyBorder="1"/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right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13398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10" fontId="13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wrapText="1"/>
    </xf>
    <xf numFmtId="10" fontId="13" fillId="8" borderId="1" xfId="6" applyNumberFormat="1" applyFont="1" applyFill="1" applyBorder="1" applyAlignment="1">
      <alignment horizontal="center" vertical="top" wrapText="1"/>
    </xf>
    <xf numFmtId="4" fontId="1" fillId="6" borderId="1" xfId="13398" applyNumberFormat="1" applyFont="1" applyFill="1" applyBorder="1" applyAlignment="1">
      <alignment horizontal="right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left" wrapText="1"/>
    </xf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" fontId="1" fillId="6" borderId="1" xfId="13398" applyNumberFormat="1" applyFont="1" applyFill="1" applyBorder="1" applyAlignment="1">
      <alignment horizontal="right"/>
    </xf>
    <xf numFmtId="2" fontId="1" fillId="6" borderId="1" xfId="0" applyNumberFormat="1" applyFont="1" applyFill="1" applyBorder="1"/>
    <xf numFmtId="10" fontId="1" fillId="47" borderId="1" xfId="6" quotePrefix="1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vertical="top" wrapText="1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4" fontId="1" fillId="6" borderId="1" xfId="13398" applyNumberFormat="1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0" fillId="6" borderId="0" xfId="0" applyFont="1" applyFill="1" applyBorder="1"/>
    <xf numFmtId="0" fontId="27" fillId="6" borderId="0" xfId="0" applyFont="1" applyFill="1" applyBorder="1"/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165" fontId="15" fillId="9" borderId="0" xfId="2" applyFont="1" applyFill="1" applyBorder="1" applyAlignment="1">
      <alignment horizontal="right" vertical="center" wrapText="1"/>
    </xf>
    <xf numFmtId="4" fontId="17" fillId="9" borderId="0" xfId="0" applyNumberFormat="1" applyFont="1" applyFill="1" applyBorder="1" applyAlignment="1">
      <alignment horizontal="right" vertical="center"/>
    </xf>
    <xf numFmtId="0" fontId="36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4" fontId="85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16" fontId="86" fillId="6" borderId="1" xfId="0" applyNumberFormat="1" applyFont="1" applyFill="1" applyBorder="1"/>
    <xf numFmtId="4" fontId="67" fillId="6" borderId="1" xfId="0" applyNumberFormat="1" applyFont="1" applyFill="1" applyBorder="1"/>
    <xf numFmtId="4" fontId="67" fillId="6" borderId="1" xfId="0" applyNumberFormat="1" applyFont="1" applyFill="1" applyBorder="1" applyAlignment="1">
      <alignment horizontal="right"/>
    </xf>
    <xf numFmtId="165" fontId="87" fillId="6" borderId="1" xfId="2" applyFont="1" applyFill="1" applyBorder="1" applyAlignment="1">
      <alignment horizontal="right" vertical="top" wrapText="1"/>
    </xf>
    <xf numFmtId="165" fontId="87" fillId="6" borderId="1" xfId="2" applyFont="1" applyFill="1" applyBorder="1" applyAlignment="1">
      <alignment horizontal="right"/>
    </xf>
    <xf numFmtId="0" fontId="67" fillId="0" borderId="0" xfId="0" applyFont="1"/>
    <xf numFmtId="165" fontId="67" fillId="0" borderId="0" xfId="2" applyFont="1"/>
    <xf numFmtId="0" fontId="88" fillId="0" borderId="1" xfId="0" applyFont="1" applyBorder="1" applyAlignment="1">
      <alignment horizontal="right"/>
    </xf>
    <xf numFmtId="0" fontId="86" fillId="0" borderId="1" xfId="0" applyFont="1" applyBorder="1" applyAlignment="1">
      <alignment horizontal="right"/>
    </xf>
    <xf numFmtId="0" fontId="89" fillId="44" borderId="1" xfId="0" applyFont="1" applyFill="1" applyBorder="1" applyAlignment="1">
      <alignment horizontal="right"/>
    </xf>
    <xf numFmtId="165" fontId="89" fillId="44" borderId="1" xfId="0" applyNumberFormat="1" applyFont="1" applyFill="1" applyBorder="1"/>
    <xf numFmtId="0" fontId="88" fillId="50" borderId="1" xfId="0" applyFont="1" applyFill="1" applyBorder="1" applyAlignment="1">
      <alignment horizontal="right"/>
    </xf>
    <xf numFmtId="165" fontId="88" fillId="50" borderId="1" xfId="0" quotePrefix="1" applyNumberFormat="1" applyFont="1" applyFill="1" applyBorder="1" applyAlignment="1">
      <alignment horizontal="center"/>
    </xf>
    <xf numFmtId="165" fontId="88" fillId="50" borderId="1" xfId="0" applyNumberFormat="1" applyFont="1" applyFill="1" applyBorder="1"/>
    <xf numFmtId="165" fontId="88" fillId="50" borderId="1" xfId="2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>
      <alignment wrapText="1"/>
    </xf>
    <xf numFmtId="4" fontId="90" fillId="0" borderId="0" xfId="0" applyNumberFormat="1" applyFont="1"/>
    <xf numFmtId="0" fontId="1" fillId="6" borderId="28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2" fillId="44" borderId="6" xfId="0" applyFont="1" applyFill="1" applyBorder="1" applyAlignment="1">
      <alignment horizontal="center" wrapText="1"/>
    </xf>
    <xf numFmtId="0" fontId="72" fillId="44" borderId="1" xfId="0" applyFont="1" applyFill="1" applyBorder="1" applyAlignment="1">
      <alignment horizontal="center" wrapText="1"/>
    </xf>
    <xf numFmtId="0" fontId="72" fillId="44" borderId="3" xfId="0" applyFont="1" applyFill="1" applyBorder="1" applyAlignment="1">
      <alignment horizontal="center" wrapText="1"/>
    </xf>
    <xf numFmtId="0" fontId="72" fillId="44" borderId="6" xfId="0" applyFont="1" applyFill="1" applyBorder="1" applyAlignment="1">
      <alignment horizontal="center"/>
    </xf>
    <xf numFmtId="0" fontId="72" fillId="44" borderId="1" xfId="0" applyFont="1" applyFill="1" applyBorder="1" applyAlignment="1">
      <alignment horizontal="center"/>
    </xf>
    <xf numFmtId="0" fontId="72" fillId="44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4" fontId="35" fillId="6" borderId="0" xfId="0" applyNumberFormat="1" applyFont="1" applyFill="1" applyBorder="1" applyAlignment="1">
      <alignment vertical="center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78" fillId="45" borderId="6" xfId="0" applyFont="1" applyFill="1" applyBorder="1" applyAlignment="1">
      <alignment horizontal="center"/>
    </xf>
    <xf numFmtId="0" fontId="78" fillId="45" borderId="1" xfId="0" applyFont="1" applyFill="1" applyBorder="1" applyAlignment="1">
      <alignment horizontal="center"/>
    </xf>
    <xf numFmtId="0" fontId="78" fillId="45" borderId="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5" fillId="6" borderId="0" xfId="0" applyFont="1" applyFill="1" applyBorder="1" applyAlignment="1">
      <alignment vertical="center" wrapText="1"/>
    </xf>
    <xf numFmtId="0" fontId="37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77" fillId="49" borderId="21" xfId="0" applyFont="1" applyFill="1" applyBorder="1" applyAlignment="1">
      <alignment horizontal="center"/>
    </xf>
    <xf numFmtId="0" fontId="77" fillId="49" borderId="22" xfId="0" applyFont="1" applyFill="1" applyBorder="1" applyAlignment="1">
      <alignment horizontal="center"/>
    </xf>
    <xf numFmtId="0" fontId="77" fillId="49" borderId="2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center" vertical="top" wrapText="1"/>
    </xf>
    <xf numFmtId="0" fontId="72" fillId="44" borderId="6" xfId="0" applyFont="1" applyFill="1" applyBorder="1" applyAlignment="1">
      <alignment horizontal="center" vertical="top" wrapText="1"/>
    </xf>
    <xf numFmtId="0" fontId="72" fillId="44" borderId="1" xfId="0" applyFont="1" applyFill="1" applyBorder="1" applyAlignment="1">
      <alignment horizontal="center" vertical="top" wrapText="1"/>
    </xf>
    <xf numFmtId="0" fontId="72" fillId="44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2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7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8" fillId="6" borderId="21" xfId="0" applyFont="1" applyFill="1" applyBorder="1" applyAlignment="1">
      <alignment horizontal="center"/>
    </xf>
    <xf numFmtId="0" fontId="38" fillId="6" borderId="22" xfId="0" applyFont="1" applyFill="1" applyBorder="1" applyAlignment="1">
      <alignment horizontal="center"/>
    </xf>
    <xf numFmtId="0" fontId="38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</cellXfs>
  <cellStyles count="19783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13" xfId="13398"/>
    <cellStyle name="Comma 10 13 2" xfId="19776"/>
    <cellStyle name="Comma 10 2" xfId="2902"/>
    <cellStyle name="Comma 10 2 2" xfId="10862"/>
    <cellStyle name="Comma 10 2 2 2" xfId="17401"/>
    <cellStyle name="Comma 10 2 3" xfId="13191"/>
    <cellStyle name="Comma 10 2 3 2" xfId="19700"/>
    <cellStyle name="Comma 10 2 4" xfId="14549"/>
    <cellStyle name="Comma 10 3" xfId="2337"/>
    <cellStyle name="Comma 10 3 2" xfId="13985"/>
    <cellStyle name="Comma 10 4" xfId="10298"/>
    <cellStyle name="Comma 10 4 2" xfId="16837"/>
    <cellStyle name="Comma 10 5" xfId="13190"/>
    <cellStyle name="Comma 10 5 2" xfId="19699"/>
    <cellStyle name="Comma 10 6" xfId="13409"/>
    <cellStyle name="Comma 11" xfId="226"/>
    <cellStyle name="Comma 11 2" xfId="2941"/>
    <cellStyle name="Comma 11 2 2" xfId="10899"/>
    <cellStyle name="Comma 11 2 2 2" xfId="17438"/>
    <cellStyle name="Comma 11 2 3" xfId="13193"/>
    <cellStyle name="Comma 11 2 3 2" xfId="19702"/>
    <cellStyle name="Comma 11 2 4" xfId="14586"/>
    <cellStyle name="Comma 11 3" xfId="2373"/>
    <cellStyle name="Comma 11 3 2" xfId="13186"/>
    <cellStyle name="Comma 11 3 2 2" xfId="19696"/>
    <cellStyle name="Comma 11 3 3" xfId="14021"/>
    <cellStyle name="Comma 11 4" xfId="10334"/>
    <cellStyle name="Comma 11 4 2" xfId="16873"/>
    <cellStyle name="Comma 11 5" xfId="13192"/>
    <cellStyle name="Comma 11 5 2" xfId="19701"/>
    <cellStyle name="Comma 11 6" xfId="13446"/>
    <cellStyle name="Comma 12" xfId="211"/>
    <cellStyle name="Comma 12 10" xfId="13194"/>
    <cellStyle name="Comma 12 10 2" xfId="19703"/>
    <cellStyle name="Comma 12 11" xfId="13445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2 2 2" xfId="18465"/>
    <cellStyle name="Comma 12 2 2 2 2 3" xfId="15613"/>
    <cellStyle name="Comma 12 2 2 2 3" xfId="7730"/>
    <cellStyle name="Comma 12 2 2 2 3 2" xfId="12497"/>
    <cellStyle name="Comma 12 2 2 2 3 2 2" xfId="19036"/>
    <cellStyle name="Comma 12 2 2 2 3 3" xfId="16184"/>
    <cellStyle name="Comma 12 2 2 2 4" xfId="10002"/>
    <cellStyle name="Comma 12 2 2 2 4 2" xfId="13068"/>
    <cellStyle name="Comma 12 2 2 2 4 2 2" xfId="19607"/>
    <cellStyle name="Comma 12 2 2 2 4 3" xfId="16755"/>
    <cellStyle name="Comma 12 2 2 2 5" xfId="3398"/>
    <cellStyle name="Comma 12 2 2 2 5 2" xfId="11355"/>
    <cellStyle name="Comma 12 2 2 2 5 2 2" xfId="17894"/>
    <cellStyle name="Comma 12 2 2 2 5 3" xfId="15042"/>
    <cellStyle name="Comma 12 2 2 2 6" xfId="13902"/>
    <cellStyle name="Comma 12 2 2 3" xfId="4323"/>
    <cellStyle name="Comma 12 2 2 3 2" xfId="11641"/>
    <cellStyle name="Comma 12 2 2 3 2 2" xfId="18180"/>
    <cellStyle name="Comma 12 2 2 3 3" xfId="15328"/>
    <cellStyle name="Comma 12 2 2 4" xfId="6595"/>
    <cellStyle name="Comma 12 2 2 4 2" xfId="12212"/>
    <cellStyle name="Comma 12 2 2 4 2 2" xfId="18751"/>
    <cellStyle name="Comma 12 2 2 4 3" xfId="15899"/>
    <cellStyle name="Comma 12 2 2 5" xfId="8867"/>
    <cellStyle name="Comma 12 2 2 5 2" xfId="12783"/>
    <cellStyle name="Comma 12 2 2 5 2 2" xfId="19322"/>
    <cellStyle name="Comma 12 2 2 5 3" xfId="16470"/>
    <cellStyle name="Comma 12 2 2 6" xfId="3113"/>
    <cellStyle name="Comma 12 2 2 6 2" xfId="11070"/>
    <cellStyle name="Comma 12 2 2 6 2 2" xfId="17609"/>
    <cellStyle name="Comma 12 2 2 6 3" xfId="14757"/>
    <cellStyle name="Comma 12 2 2 7" xfId="13617"/>
    <cellStyle name="Comma 12 2 3" xfId="1584"/>
    <cellStyle name="Comma 12 2 3 2" xfId="5004"/>
    <cellStyle name="Comma 12 2 3 2 2" xfId="11812"/>
    <cellStyle name="Comma 12 2 3 2 2 2" xfId="18351"/>
    <cellStyle name="Comma 12 2 3 2 3" xfId="15499"/>
    <cellStyle name="Comma 12 2 3 3" xfId="7276"/>
    <cellStyle name="Comma 12 2 3 3 2" xfId="12383"/>
    <cellStyle name="Comma 12 2 3 3 2 2" xfId="18922"/>
    <cellStyle name="Comma 12 2 3 3 3" xfId="16070"/>
    <cellStyle name="Comma 12 2 3 4" xfId="9548"/>
    <cellStyle name="Comma 12 2 3 4 2" xfId="12954"/>
    <cellStyle name="Comma 12 2 3 4 2 2" xfId="19493"/>
    <cellStyle name="Comma 12 2 3 4 3" xfId="16641"/>
    <cellStyle name="Comma 12 2 3 5" xfId="3284"/>
    <cellStyle name="Comma 12 2 3 5 2" xfId="11241"/>
    <cellStyle name="Comma 12 2 3 5 2 2" xfId="17780"/>
    <cellStyle name="Comma 12 2 3 5 3" xfId="14928"/>
    <cellStyle name="Comma 12 2 3 6" xfId="13788"/>
    <cellStyle name="Comma 12 2 4" xfId="3869"/>
    <cellStyle name="Comma 12 2 4 2" xfId="11527"/>
    <cellStyle name="Comma 12 2 4 2 2" xfId="18066"/>
    <cellStyle name="Comma 12 2 4 3" xfId="15214"/>
    <cellStyle name="Comma 12 2 5" xfId="6141"/>
    <cellStyle name="Comma 12 2 5 2" xfId="12098"/>
    <cellStyle name="Comma 12 2 5 2 2" xfId="18637"/>
    <cellStyle name="Comma 12 2 5 3" xfId="15785"/>
    <cellStyle name="Comma 12 2 6" xfId="8413"/>
    <cellStyle name="Comma 12 2 6 2" xfId="12669"/>
    <cellStyle name="Comma 12 2 6 2 2" xfId="19208"/>
    <cellStyle name="Comma 12 2 6 3" xfId="16356"/>
    <cellStyle name="Comma 12 2 7" xfId="2999"/>
    <cellStyle name="Comma 12 2 7 2" xfId="10956"/>
    <cellStyle name="Comma 12 2 7 2 2" xfId="17495"/>
    <cellStyle name="Comma 12 2 7 3" xfId="14643"/>
    <cellStyle name="Comma 12 2 8" xfId="13195"/>
    <cellStyle name="Comma 12 2 8 2" xfId="19704"/>
    <cellStyle name="Comma 12 2 9" xfId="13503"/>
    <cellStyle name="Comma 12 3" xfId="1130"/>
    <cellStyle name="Comma 12 3 2" xfId="2265"/>
    <cellStyle name="Comma 12 3 2 2" xfId="5685"/>
    <cellStyle name="Comma 12 3 2 2 2" xfId="11983"/>
    <cellStyle name="Comma 12 3 2 2 2 2" xfId="18522"/>
    <cellStyle name="Comma 12 3 2 2 3" xfId="15670"/>
    <cellStyle name="Comma 12 3 2 3" xfId="7957"/>
    <cellStyle name="Comma 12 3 2 3 2" xfId="12554"/>
    <cellStyle name="Comma 12 3 2 3 2 2" xfId="19093"/>
    <cellStyle name="Comma 12 3 2 3 3" xfId="16241"/>
    <cellStyle name="Comma 12 3 2 4" xfId="10229"/>
    <cellStyle name="Comma 12 3 2 4 2" xfId="13125"/>
    <cellStyle name="Comma 12 3 2 4 2 2" xfId="19664"/>
    <cellStyle name="Comma 12 3 2 4 3" xfId="16812"/>
    <cellStyle name="Comma 12 3 2 5" xfId="3455"/>
    <cellStyle name="Comma 12 3 2 5 2" xfId="11412"/>
    <cellStyle name="Comma 12 3 2 5 2 2" xfId="17951"/>
    <cellStyle name="Comma 12 3 2 5 3" xfId="15099"/>
    <cellStyle name="Comma 12 3 2 6" xfId="13959"/>
    <cellStyle name="Comma 12 3 3" xfId="4550"/>
    <cellStyle name="Comma 12 3 3 2" xfId="11698"/>
    <cellStyle name="Comma 12 3 3 2 2" xfId="18237"/>
    <cellStyle name="Comma 12 3 3 3" xfId="15385"/>
    <cellStyle name="Comma 12 3 4" xfId="6822"/>
    <cellStyle name="Comma 12 3 4 2" xfId="12269"/>
    <cellStyle name="Comma 12 3 4 2 2" xfId="18808"/>
    <cellStyle name="Comma 12 3 4 3" xfId="15956"/>
    <cellStyle name="Comma 12 3 5" xfId="9094"/>
    <cellStyle name="Comma 12 3 5 2" xfId="12840"/>
    <cellStyle name="Comma 12 3 5 2 2" xfId="19379"/>
    <cellStyle name="Comma 12 3 5 3" xfId="16527"/>
    <cellStyle name="Comma 12 3 6" xfId="3170"/>
    <cellStyle name="Comma 12 3 6 2" xfId="11127"/>
    <cellStyle name="Comma 12 3 6 2 2" xfId="17666"/>
    <cellStyle name="Comma 12 3 6 3" xfId="14814"/>
    <cellStyle name="Comma 12 3 7" xfId="13674"/>
    <cellStyle name="Comma 12 4" xfId="676"/>
    <cellStyle name="Comma 12 4 2" xfId="1811"/>
    <cellStyle name="Comma 12 4 2 2" xfId="5231"/>
    <cellStyle name="Comma 12 4 2 2 2" xfId="11869"/>
    <cellStyle name="Comma 12 4 2 2 2 2" xfId="18408"/>
    <cellStyle name="Comma 12 4 2 2 3" xfId="15556"/>
    <cellStyle name="Comma 12 4 2 3" xfId="7503"/>
    <cellStyle name="Comma 12 4 2 3 2" xfId="12440"/>
    <cellStyle name="Comma 12 4 2 3 2 2" xfId="18979"/>
    <cellStyle name="Comma 12 4 2 3 3" xfId="16127"/>
    <cellStyle name="Comma 12 4 2 4" xfId="9775"/>
    <cellStyle name="Comma 12 4 2 4 2" xfId="13011"/>
    <cellStyle name="Comma 12 4 2 4 2 2" xfId="19550"/>
    <cellStyle name="Comma 12 4 2 4 3" xfId="16698"/>
    <cellStyle name="Comma 12 4 2 5" xfId="3341"/>
    <cellStyle name="Comma 12 4 2 5 2" xfId="11298"/>
    <cellStyle name="Comma 12 4 2 5 2 2" xfId="17837"/>
    <cellStyle name="Comma 12 4 2 5 3" xfId="14985"/>
    <cellStyle name="Comma 12 4 2 6" xfId="13845"/>
    <cellStyle name="Comma 12 4 3" xfId="4096"/>
    <cellStyle name="Comma 12 4 3 2" xfId="11584"/>
    <cellStyle name="Comma 12 4 3 2 2" xfId="18123"/>
    <cellStyle name="Comma 12 4 3 3" xfId="15271"/>
    <cellStyle name="Comma 12 4 4" xfId="6368"/>
    <cellStyle name="Comma 12 4 4 2" xfId="12155"/>
    <cellStyle name="Comma 12 4 4 2 2" xfId="18694"/>
    <cellStyle name="Comma 12 4 4 3" xfId="15842"/>
    <cellStyle name="Comma 12 4 5" xfId="8640"/>
    <cellStyle name="Comma 12 4 5 2" xfId="12726"/>
    <cellStyle name="Comma 12 4 5 2 2" xfId="19265"/>
    <cellStyle name="Comma 12 4 5 3" xfId="16413"/>
    <cellStyle name="Comma 12 4 6" xfId="3056"/>
    <cellStyle name="Comma 12 4 6 2" xfId="11013"/>
    <cellStyle name="Comma 12 4 6 2 2" xfId="17552"/>
    <cellStyle name="Comma 12 4 6 3" xfId="14700"/>
    <cellStyle name="Comma 12 4 7" xfId="13560"/>
    <cellStyle name="Comma 12 5" xfId="1357"/>
    <cellStyle name="Comma 12 5 2" xfId="4777"/>
    <cellStyle name="Comma 12 5 2 2" xfId="11755"/>
    <cellStyle name="Comma 12 5 2 2 2" xfId="18294"/>
    <cellStyle name="Comma 12 5 2 3" xfId="15442"/>
    <cellStyle name="Comma 12 5 3" xfId="7049"/>
    <cellStyle name="Comma 12 5 3 2" xfId="12326"/>
    <cellStyle name="Comma 12 5 3 2 2" xfId="18865"/>
    <cellStyle name="Comma 12 5 3 3" xfId="16013"/>
    <cellStyle name="Comma 12 5 4" xfId="9321"/>
    <cellStyle name="Comma 12 5 4 2" xfId="12897"/>
    <cellStyle name="Comma 12 5 4 2 2" xfId="19436"/>
    <cellStyle name="Comma 12 5 4 3" xfId="16584"/>
    <cellStyle name="Comma 12 5 5" xfId="3227"/>
    <cellStyle name="Comma 12 5 5 2" xfId="11184"/>
    <cellStyle name="Comma 12 5 5 2 2" xfId="17723"/>
    <cellStyle name="Comma 12 5 5 3" xfId="14871"/>
    <cellStyle name="Comma 12 5 6" xfId="13731"/>
    <cellStyle name="Comma 12 6" xfId="3642"/>
    <cellStyle name="Comma 12 6 2" xfId="11470"/>
    <cellStyle name="Comma 12 6 2 2" xfId="18009"/>
    <cellStyle name="Comma 12 6 3" xfId="15157"/>
    <cellStyle name="Comma 12 7" xfId="5914"/>
    <cellStyle name="Comma 12 7 2" xfId="12041"/>
    <cellStyle name="Comma 12 7 2 2" xfId="18580"/>
    <cellStyle name="Comma 12 7 3" xfId="15728"/>
    <cellStyle name="Comma 12 8" xfId="8186"/>
    <cellStyle name="Comma 12 8 2" xfId="12612"/>
    <cellStyle name="Comma 12 8 2 2" xfId="19151"/>
    <cellStyle name="Comma 12 8 3" xfId="16299"/>
    <cellStyle name="Comma 12 9" xfId="2939"/>
    <cellStyle name="Comma 12 9 2" xfId="10898"/>
    <cellStyle name="Comma 12 9 2 2" xfId="17437"/>
    <cellStyle name="Comma 12 9 3" xfId="14585"/>
    <cellStyle name="Comma 13" xfId="39"/>
    <cellStyle name="Comma 13 2" xfId="5744"/>
    <cellStyle name="Comma 13 2 2" xfId="11998"/>
    <cellStyle name="Comma 13 2 2 2" xfId="18537"/>
    <cellStyle name="Comma 13 2 3" xfId="15685"/>
    <cellStyle name="Comma 13 3" xfId="8016"/>
    <cellStyle name="Comma 13 3 2" xfId="12569"/>
    <cellStyle name="Comma 13 3 2 2" xfId="19108"/>
    <cellStyle name="Comma 13 3 3" xfId="16256"/>
    <cellStyle name="Comma 13 4" xfId="10288"/>
    <cellStyle name="Comma 13 4 2" xfId="13140"/>
    <cellStyle name="Comma 13 4 2 2" xfId="19679"/>
    <cellStyle name="Comma 13 4 3" xfId="16827"/>
    <cellStyle name="Comma 13 5" xfId="3471"/>
    <cellStyle name="Comma 13 5 2" xfId="11427"/>
    <cellStyle name="Comma 13 5 2 2" xfId="17966"/>
    <cellStyle name="Comma 13 5 3" xfId="15114"/>
    <cellStyle name="Comma 13 6" xfId="2328"/>
    <cellStyle name="Comma 13 6 2" xfId="13976"/>
    <cellStyle name="Comma 13 7" xfId="10289"/>
    <cellStyle name="Comma 13 7 2" xfId="16828"/>
    <cellStyle name="Comma 13 8" xfId="13196"/>
    <cellStyle name="Comma 13 8 2" xfId="19705"/>
    <cellStyle name="Comma 13 9" xfId="13400"/>
    <cellStyle name="Comma 14" xfId="2892"/>
    <cellStyle name="Comma 14 2" xfId="10853"/>
    <cellStyle name="Comma 14 2 2" xfId="17392"/>
    <cellStyle name="Comma 14 3" xfId="13197"/>
    <cellStyle name="Comma 14 3 2" xfId="19706"/>
    <cellStyle name="Comma 14 4" xfId="14540"/>
    <cellStyle name="Comma 15" xfId="13153"/>
    <cellStyle name="Comma 15 2" xfId="13198"/>
    <cellStyle name="Comma 15 2 2" xfId="19707"/>
    <cellStyle name="Comma 15 3" xfId="19682"/>
    <cellStyle name="Comma 16" xfId="13154"/>
    <cellStyle name="Comma 16 2" xfId="13199"/>
    <cellStyle name="Comma 16 2 2" xfId="19708"/>
    <cellStyle name="Comma 16 3" xfId="19683"/>
    <cellStyle name="Comma 17" xfId="13180"/>
    <cellStyle name="Comma 17 2" xfId="13200"/>
    <cellStyle name="Comma 17 2 2" xfId="19709"/>
    <cellStyle name="Comma 17 3" xfId="19691"/>
    <cellStyle name="Comma 18" xfId="13201"/>
    <cellStyle name="Comma 18 2" xfId="19710"/>
    <cellStyle name="Comma 19" xfId="13202"/>
    <cellStyle name="Comma 19 2" xfId="19711"/>
    <cellStyle name="Comma 2" xfId="3"/>
    <cellStyle name="Comma 2 10" xfId="13203"/>
    <cellStyle name="Comma 2 10 2" xfId="19712"/>
    <cellStyle name="Comma 2 11" xfId="13399"/>
    <cellStyle name="Comma 2 12" xfId="19778"/>
    <cellStyle name="Comma 2 2" xfId="41"/>
    <cellStyle name="Comma 2 2 2" xfId="2894"/>
    <cellStyle name="Comma 2 2 2 2" xfId="14541"/>
    <cellStyle name="Comma 2 2 3" xfId="10854"/>
    <cellStyle name="Comma 2 2 3 2" xfId="17393"/>
    <cellStyle name="Comma 2 2 4" xfId="13177"/>
    <cellStyle name="Comma 2 2 4 2" xfId="19688"/>
    <cellStyle name="Comma 2 2 5" xfId="13204"/>
    <cellStyle name="Comma 2 2 5 2" xfId="19713"/>
    <cellStyle name="Comma 2 2 6" xfId="13401"/>
    <cellStyle name="Comma 2 2 7" xfId="19780"/>
    <cellStyle name="Comma 2 3" xfId="2323"/>
    <cellStyle name="Comma 2 3 2" xfId="13179"/>
    <cellStyle name="Comma 2 3 2 2" xfId="19690"/>
    <cellStyle name="Comma 2 3 3" xfId="13974"/>
    <cellStyle name="Comma 2 3 4" xfId="19782"/>
    <cellStyle name="Comma 2 4" xfId="2329"/>
    <cellStyle name="Comma 2 4 2" xfId="13977"/>
    <cellStyle name="Comma 2 5" xfId="10290"/>
    <cellStyle name="Comma 2 5 2" xfId="16829"/>
    <cellStyle name="Comma 2 6" xfId="13141"/>
    <cellStyle name="Comma 2 6 2" xfId="19680"/>
    <cellStyle name="Comma 2 7" xfId="13170"/>
    <cellStyle name="Comma 2 7 2" xfId="19686"/>
    <cellStyle name="Comma 2 8" xfId="13181"/>
    <cellStyle name="Comma 2 8 2" xfId="19692"/>
    <cellStyle name="Comma 2 9" xfId="13183"/>
    <cellStyle name="Comma 2 9 2" xfId="19694"/>
    <cellStyle name="Comma 20" xfId="13205"/>
    <cellStyle name="Comma 20 2" xfId="19714"/>
    <cellStyle name="Comma 21" xfId="13206"/>
    <cellStyle name="Comma 21 2" xfId="19715"/>
    <cellStyle name="Comma 22" xfId="13207"/>
    <cellStyle name="Comma 22 2" xfId="19716"/>
    <cellStyle name="Comma 23" xfId="13208"/>
    <cellStyle name="Comma 23 2" xfId="19717"/>
    <cellStyle name="Comma 24" xfId="13209"/>
    <cellStyle name="Comma 24 2" xfId="19718"/>
    <cellStyle name="Comma 25" xfId="13210"/>
    <cellStyle name="Comma 25 2" xfId="19719"/>
    <cellStyle name="Comma 26" xfId="13211"/>
    <cellStyle name="Comma 26 2" xfId="19720"/>
    <cellStyle name="Comma 27" xfId="13212"/>
    <cellStyle name="Comma 27 2" xfId="19721"/>
    <cellStyle name="Comma 28" xfId="13213"/>
    <cellStyle name="Comma 28 2" xfId="19722"/>
    <cellStyle name="Comma 29" xfId="13214"/>
    <cellStyle name="Comma 29 2" xfId="19723"/>
    <cellStyle name="Comma 3" xfId="54"/>
    <cellStyle name="Comma 3 10" xfId="3488"/>
    <cellStyle name="Comma 3 10 2" xfId="11428"/>
    <cellStyle name="Comma 3 10 2 2" xfId="17967"/>
    <cellStyle name="Comma 3 10 3" xfId="15115"/>
    <cellStyle name="Comma 3 11" xfId="5760"/>
    <cellStyle name="Comma 3 11 2" xfId="11999"/>
    <cellStyle name="Comma 3 11 2 2" xfId="18538"/>
    <cellStyle name="Comma 3 11 3" xfId="15686"/>
    <cellStyle name="Comma 3 12" xfId="8032"/>
    <cellStyle name="Comma 3 12 2" xfId="12570"/>
    <cellStyle name="Comma 3 12 2 2" xfId="19109"/>
    <cellStyle name="Comma 3 12 3" xfId="16257"/>
    <cellStyle name="Comma 3 13" xfId="2895"/>
    <cellStyle name="Comma 3 13 2" xfId="10855"/>
    <cellStyle name="Comma 3 13 2 2" xfId="17394"/>
    <cellStyle name="Comma 3 13 3" xfId="14542"/>
    <cellStyle name="Comma 3 14" xfId="2330"/>
    <cellStyle name="Comma 3 14 2" xfId="13978"/>
    <cellStyle name="Comma 3 15" xfId="10291"/>
    <cellStyle name="Comma 3 15 2" xfId="16830"/>
    <cellStyle name="Comma 3 16" xfId="13169"/>
    <cellStyle name="Comma 3 16 2" xfId="19685"/>
    <cellStyle name="Comma 3 17" xfId="13215"/>
    <cellStyle name="Comma 3 17 2" xfId="19724"/>
    <cellStyle name="Comma 3 18" xfId="13402"/>
    <cellStyle name="Comma 3 19" xfId="19777"/>
    <cellStyle name="Comma 3 2" xfId="4"/>
    <cellStyle name="Comma 3 2 10" xfId="5788"/>
    <cellStyle name="Comma 3 2 10 2" xfId="12006"/>
    <cellStyle name="Comma 3 2 10 2 2" xfId="18545"/>
    <cellStyle name="Comma 3 2 10 3" xfId="15693"/>
    <cellStyle name="Comma 3 2 11" xfId="8060"/>
    <cellStyle name="Comma 3 2 11 2" xfId="12577"/>
    <cellStyle name="Comma 3 2 11 2 2" xfId="19116"/>
    <cellStyle name="Comma 3 2 11 3" xfId="16264"/>
    <cellStyle name="Comma 3 2 12" xfId="2904"/>
    <cellStyle name="Comma 3 2 12 2" xfId="10863"/>
    <cellStyle name="Comma 3 2 12 2 2" xfId="17402"/>
    <cellStyle name="Comma 3 2 12 3" xfId="14550"/>
    <cellStyle name="Comma 3 2 13" xfId="2338"/>
    <cellStyle name="Comma 3 2 13 2" xfId="13986"/>
    <cellStyle name="Comma 3 2 14" xfId="10299"/>
    <cellStyle name="Comma 3 2 14 2" xfId="16838"/>
    <cellStyle name="Comma 3 2 15" xfId="13216"/>
    <cellStyle name="Comma 3 2 15 2" xfId="19725"/>
    <cellStyle name="Comma 3 2 2" xfId="197"/>
    <cellStyle name="Comma 3 2 2 10" xfId="2366"/>
    <cellStyle name="Comma 3 2 2 10 2" xfId="14014"/>
    <cellStyle name="Comma 3 2 2 11" xfId="10327"/>
    <cellStyle name="Comma 3 2 2 11 2" xfId="16866"/>
    <cellStyle name="Comma 3 2 2 12" xfId="13142"/>
    <cellStyle name="Comma 3 2 2 12 2" xfId="19681"/>
    <cellStyle name="Comma 3 2 2 13" xfId="13182"/>
    <cellStyle name="Comma 3 2 2 13 2" xfId="19693"/>
    <cellStyle name="Comma 3 2 2 14" xfId="13184"/>
    <cellStyle name="Comma 3 2 2 14 2" xfId="19695"/>
    <cellStyle name="Comma 3 2 2 15" xfId="13438"/>
    <cellStyle name="Comma 3 2 2 2" xfId="435"/>
    <cellStyle name="Comma 3 2 2 2 10" xfId="13496"/>
    <cellStyle name="Comma 3 2 2 2 2" xfId="889"/>
    <cellStyle name="Comma 3 2 2 2 2 2" xfId="2024"/>
    <cellStyle name="Comma 3 2 2 2 2 2 2" xfId="5444"/>
    <cellStyle name="Comma 3 2 2 2 2 2 2 2" xfId="11919"/>
    <cellStyle name="Comma 3 2 2 2 2 2 2 2 2" xfId="18458"/>
    <cellStyle name="Comma 3 2 2 2 2 2 2 3" xfId="15606"/>
    <cellStyle name="Comma 3 2 2 2 2 2 3" xfId="7716"/>
    <cellStyle name="Comma 3 2 2 2 2 2 3 2" xfId="12490"/>
    <cellStyle name="Comma 3 2 2 2 2 2 3 2 2" xfId="19029"/>
    <cellStyle name="Comma 3 2 2 2 2 2 3 3" xfId="16177"/>
    <cellStyle name="Comma 3 2 2 2 2 2 4" xfId="9988"/>
    <cellStyle name="Comma 3 2 2 2 2 2 4 2" xfId="13061"/>
    <cellStyle name="Comma 3 2 2 2 2 2 4 2 2" xfId="19600"/>
    <cellStyle name="Comma 3 2 2 2 2 2 4 3" xfId="16748"/>
    <cellStyle name="Comma 3 2 2 2 2 2 5" xfId="3391"/>
    <cellStyle name="Comma 3 2 2 2 2 2 5 2" xfId="11348"/>
    <cellStyle name="Comma 3 2 2 2 2 2 5 2 2" xfId="17887"/>
    <cellStyle name="Comma 3 2 2 2 2 2 5 3" xfId="15035"/>
    <cellStyle name="Comma 3 2 2 2 2 2 6" xfId="2815"/>
    <cellStyle name="Comma 3 2 2 2 2 2 6 2" xfId="14463"/>
    <cellStyle name="Comma 3 2 2 2 2 2 7" xfId="10776"/>
    <cellStyle name="Comma 3 2 2 2 2 2 7 2" xfId="17315"/>
    <cellStyle name="Comma 3 2 2 2 2 2 8" xfId="13895"/>
    <cellStyle name="Comma 3 2 2 2 2 3" xfId="4309"/>
    <cellStyle name="Comma 3 2 2 2 2 3 2" xfId="11634"/>
    <cellStyle name="Comma 3 2 2 2 2 3 2 2" xfId="18173"/>
    <cellStyle name="Comma 3 2 2 2 2 3 3" xfId="15321"/>
    <cellStyle name="Comma 3 2 2 2 2 4" xfId="6581"/>
    <cellStyle name="Comma 3 2 2 2 2 4 2" xfId="12205"/>
    <cellStyle name="Comma 3 2 2 2 2 4 2 2" xfId="18744"/>
    <cellStyle name="Comma 3 2 2 2 2 4 3" xfId="15892"/>
    <cellStyle name="Comma 3 2 2 2 2 5" xfId="8853"/>
    <cellStyle name="Comma 3 2 2 2 2 5 2" xfId="12776"/>
    <cellStyle name="Comma 3 2 2 2 2 5 2 2" xfId="19315"/>
    <cellStyle name="Comma 3 2 2 2 2 5 3" xfId="16463"/>
    <cellStyle name="Comma 3 2 2 2 2 6" xfId="3106"/>
    <cellStyle name="Comma 3 2 2 2 2 6 2" xfId="11063"/>
    <cellStyle name="Comma 3 2 2 2 2 6 2 2" xfId="17602"/>
    <cellStyle name="Comma 3 2 2 2 2 6 3" xfId="14750"/>
    <cellStyle name="Comma 3 2 2 2 2 7" xfId="2535"/>
    <cellStyle name="Comma 3 2 2 2 2 7 2" xfId="14183"/>
    <cellStyle name="Comma 3 2 2 2 2 8" xfId="10496"/>
    <cellStyle name="Comma 3 2 2 2 2 8 2" xfId="17035"/>
    <cellStyle name="Comma 3 2 2 2 2 9" xfId="13610"/>
    <cellStyle name="Comma 3 2 2 2 3" xfId="1570"/>
    <cellStyle name="Comma 3 2 2 2 3 2" xfId="4990"/>
    <cellStyle name="Comma 3 2 2 2 3 2 2" xfId="11805"/>
    <cellStyle name="Comma 3 2 2 2 3 2 2 2" xfId="18344"/>
    <cellStyle name="Comma 3 2 2 2 3 2 3" xfId="15492"/>
    <cellStyle name="Comma 3 2 2 2 3 3" xfId="7262"/>
    <cellStyle name="Comma 3 2 2 2 3 3 2" xfId="12376"/>
    <cellStyle name="Comma 3 2 2 2 3 3 2 2" xfId="18915"/>
    <cellStyle name="Comma 3 2 2 2 3 3 3" xfId="16063"/>
    <cellStyle name="Comma 3 2 2 2 3 4" xfId="9534"/>
    <cellStyle name="Comma 3 2 2 2 3 4 2" xfId="12947"/>
    <cellStyle name="Comma 3 2 2 2 3 4 2 2" xfId="19486"/>
    <cellStyle name="Comma 3 2 2 2 3 4 3" xfId="16634"/>
    <cellStyle name="Comma 3 2 2 2 3 5" xfId="3277"/>
    <cellStyle name="Comma 3 2 2 2 3 5 2" xfId="11234"/>
    <cellStyle name="Comma 3 2 2 2 3 5 2 2" xfId="17773"/>
    <cellStyle name="Comma 3 2 2 2 3 5 3" xfId="14921"/>
    <cellStyle name="Comma 3 2 2 2 3 6" xfId="2703"/>
    <cellStyle name="Comma 3 2 2 2 3 6 2" xfId="14351"/>
    <cellStyle name="Comma 3 2 2 2 3 7" xfId="10664"/>
    <cellStyle name="Comma 3 2 2 2 3 7 2" xfId="17203"/>
    <cellStyle name="Comma 3 2 2 2 3 8" xfId="13781"/>
    <cellStyle name="Comma 3 2 2 2 4" xfId="3855"/>
    <cellStyle name="Comma 3 2 2 2 4 2" xfId="11520"/>
    <cellStyle name="Comma 3 2 2 2 4 2 2" xfId="18059"/>
    <cellStyle name="Comma 3 2 2 2 4 3" xfId="15207"/>
    <cellStyle name="Comma 3 2 2 2 5" xfId="6127"/>
    <cellStyle name="Comma 3 2 2 2 5 2" xfId="12091"/>
    <cellStyle name="Comma 3 2 2 2 5 2 2" xfId="18630"/>
    <cellStyle name="Comma 3 2 2 2 5 3" xfId="15778"/>
    <cellStyle name="Comma 3 2 2 2 6" xfId="8399"/>
    <cellStyle name="Comma 3 2 2 2 6 2" xfId="12662"/>
    <cellStyle name="Comma 3 2 2 2 6 2 2" xfId="19201"/>
    <cellStyle name="Comma 3 2 2 2 6 3" xfId="16349"/>
    <cellStyle name="Comma 3 2 2 2 7" xfId="2992"/>
    <cellStyle name="Comma 3 2 2 2 7 2" xfId="10949"/>
    <cellStyle name="Comma 3 2 2 2 7 2 2" xfId="17488"/>
    <cellStyle name="Comma 3 2 2 2 7 3" xfId="14636"/>
    <cellStyle name="Comma 3 2 2 2 8" xfId="2423"/>
    <cellStyle name="Comma 3 2 2 2 8 2" xfId="14071"/>
    <cellStyle name="Comma 3 2 2 2 9" xfId="10384"/>
    <cellStyle name="Comma 3 2 2 2 9 2" xfId="16923"/>
    <cellStyle name="Comma 3 2 2 3" xfId="1116"/>
    <cellStyle name="Comma 3 2 2 3 2" xfId="2251"/>
    <cellStyle name="Comma 3 2 2 3 2 2" xfId="5671"/>
    <cellStyle name="Comma 3 2 2 3 2 2 2" xfId="11976"/>
    <cellStyle name="Comma 3 2 2 3 2 2 2 2" xfId="18515"/>
    <cellStyle name="Comma 3 2 2 3 2 2 3" xfId="15663"/>
    <cellStyle name="Comma 3 2 2 3 2 3" xfId="7943"/>
    <cellStyle name="Comma 3 2 2 3 2 3 2" xfId="12547"/>
    <cellStyle name="Comma 3 2 2 3 2 3 2 2" xfId="19086"/>
    <cellStyle name="Comma 3 2 2 3 2 3 3" xfId="16234"/>
    <cellStyle name="Comma 3 2 2 3 2 4" xfId="10215"/>
    <cellStyle name="Comma 3 2 2 3 2 4 2" xfId="13118"/>
    <cellStyle name="Comma 3 2 2 3 2 4 2 2" xfId="19657"/>
    <cellStyle name="Comma 3 2 2 3 2 4 3" xfId="16805"/>
    <cellStyle name="Comma 3 2 2 3 2 5" xfId="3448"/>
    <cellStyle name="Comma 3 2 2 3 2 5 2" xfId="11405"/>
    <cellStyle name="Comma 3 2 2 3 2 5 2 2" xfId="17944"/>
    <cellStyle name="Comma 3 2 2 3 2 5 3" xfId="15092"/>
    <cellStyle name="Comma 3 2 2 3 2 6" xfId="2871"/>
    <cellStyle name="Comma 3 2 2 3 2 6 2" xfId="14519"/>
    <cellStyle name="Comma 3 2 2 3 2 7" xfId="10832"/>
    <cellStyle name="Comma 3 2 2 3 2 7 2" xfId="17371"/>
    <cellStyle name="Comma 3 2 2 3 2 8" xfId="13952"/>
    <cellStyle name="Comma 3 2 2 3 3" xfId="4536"/>
    <cellStyle name="Comma 3 2 2 3 3 2" xfId="11691"/>
    <cellStyle name="Comma 3 2 2 3 3 2 2" xfId="18230"/>
    <cellStyle name="Comma 3 2 2 3 3 3" xfId="15378"/>
    <cellStyle name="Comma 3 2 2 3 4" xfId="6808"/>
    <cellStyle name="Comma 3 2 2 3 4 2" xfId="12262"/>
    <cellStyle name="Comma 3 2 2 3 4 2 2" xfId="18801"/>
    <cellStyle name="Comma 3 2 2 3 4 3" xfId="15949"/>
    <cellStyle name="Comma 3 2 2 3 5" xfId="9080"/>
    <cellStyle name="Comma 3 2 2 3 5 2" xfId="12833"/>
    <cellStyle name="Comma 3 2 2 3 5 2 2" xfId="19372"/>
    <cellStyle name="Comma 3 2 2 3 5 3" xfId="16520"/>
    <cellStyle name="Comma 3 2 2 3 6" xfId="3163"/>
    <cellStyle name="Comma 3 2 2 3 6 2" xfId="11120"/>
    <cellStyle name="Comma 3 2 2 3 6 2 2" xfId="17659"/>
    <cellStyle name="Comma 3 2 2 3 6 3" xfId="14807"/>
    <cellStyle name="Comma 3 2 2 3 7" xfId="2591"/>
    <cellStyle name="Comma 3 2 2 3 7 2" xfId="14239"/>
    <cellStyle name="Comma 3 2 2 3 8" xfId="10552"/>
    <cellStyle name="Comma 3 2 2 3 8 2" xfId="17091"/>
    <cellStyle name="Comma 3 2 2 3 9" xfId="13667"/>
    <cellStyle name="Comma 3 2 2 4" xfId="662"/>
    <cellStyle name="Comma 3 2 2 4 2" xfId="1797"/>
    <cellStyle name="Comma 3 2 2 4 2 2" xfId="5217"/>
    <cellStyle name="Comma 3 2 2 4 2 2 2" xfId="11862"/>
    <cellStyle name="Comma 3 2 2 4 2 2 2 2" xfId="18401"/>
    <cellStyle name="Comma 3 2 2 4 2 2 3" xfId="15549"/>
    <cellStyle name="Comma 3 2 2 4 2 3" xfId="7489"/>
    <cellStyle name="Comma 3 2 2 4 2 3 2" xfId="12433"/>
    <cellStyle name="Comma 3 2 2 4 2 3 2 2" xfId="18972"/>
    <cellStyle name="Comma 3 2 2 4 2 3 3" xfId="16120"/>
    <cellStyle name="Comma 3 2 2 4 2 4" xfId="9761"/>
    <cellStyle name="Comma 3 2 2 4 2 4 2" xfId="13004"/>
    <cellStyle name="Comma 3 2 2 4 2 4 2 2" xfId="19543"/>
    <cellStyle name="Comma 3 2 2 4 2 4 3" xfId="16691"/>
    <cellStyle name="Comma 3 2 2 4 2 5" xfId="3334"/>
    <cellStyle name="Comma 3 2 2 4 2 5 2" xfId="11291"/>
    <cellStyle name="Comma 3 2 2 4 2 5 2 2" xfId="17830"/>
    <cellStyle name="Comma 3 2 2 4 2 5 3" xfId="14978"/>
    <cellStyle name="Comma 3 2 2 4 2 6" xfId="2759"/>
    <cellStyle name="Comma 3 2 2 4 2 6 2" xfId="14407"/>
    <cellStyle name="Comma 3 2 2 4 2 7" xfId="10720"/>
    <cellStyle name="Comma 3 2 2 4 2 7 2" xfId="17259"/>
    <cellStyle name="Comma 3 2 2 4 2 8" xfId="13838"/>
    <cellStyle name="Comma 3 2 2 4 3" xfId="4082"/>
    <cellStyle name="Comma 3 2 2 4 3 2" xfId="11577"/>
    <cellStyle name="Comma 3 2 2 4 3 2 2" xfId="18116"/>
    <cellStyle name="Comma 3 2 2 4 3 3" xfId="15264"/>
    <cellStyle name="Comma 3 2 2 4 4" xfId="6354"/>
    <cellStyle name="Comma 3 2 2 4 4 2" xfId="12148"/>
    <cellStyle name="Comma 3 2 2 4 4 2 2" xfId="18687"/>
    <cellStyle name="Comma 3 2 2 4 4 3" xfId="15835"/>
    <cellStyle name="Comma 3 2 2 4 5" xfId="8626"/>
    <cellStyle name="Comma 3 2 2 4 5 2" xfId="12719"/>
    <cellStyle name="Comma 3 2 2 4 5 2 2" xfId="19258"/>
    <cellStyle name="Comma 3 2 2 4 5 3" xfId="16406"/>
    <cellStyle name="Comma 3 2 2 4 6" xfId="3049"/>
    <cellStyle name="Comma 3 2 2 4 6 2" xfId="11006"/>
    <cellStyle name="Comma 3 2 2 4 6 2 2" xfId="17545"/>
    <cellStyle name="Comma 3 2 2 4 6 3" xfId="14693"/>
    <cellStyle name="Comma 3 2 2 4 7" xfId="2479"/>
    <cellStyle name="Comma 3 2 2 4 7 2" xfId="14127"/>
    <cellStyle name="Comma 3 2 2 4 8" xfId="10440"/>
    <cellStyle name="Comma 3 2 2 4 8 2" xfId="16979"/>
    <cellStyle name="Comma 3 2 2 4 9" xfId="13553"/>
    <cellStyle name="Comma 3 2 2 5" xfId="1343"/>
    <cellStyle name="Comma 3 2 2 5 2" xfId="4763"/>
    <cellStyle name="Comma 3 2 2 5 2 2" xfId="11748"/>
    <cellStyle name="Comma 3 2 2 5 2 2 2" xfId="18287"/>
    <cellStyle name="Comma 3 2 2 5 2 3" xfId="15435"/>
    <cellStyle name="Comma 3 2 2 5 3" xfId="7035"/>
    <cellStyle name="Comma 3 2 2 5 3 2" xfId="12319"/>
    <cellStyle name="Comma 3 2 2 5 3 2 2" xfId="18858"/>
    <cellStyle name="Comma 3 2 2 5 3 3" xfId="16006"/>
    <cellStyle name="Comma 3 2 2 5 4" xfId="9307"/>
    <cellStyle name="Comma 3 2 2 5 4 2" xfId="12890"/>
    <cellStyle name="Comma 3 2 2 5 4 2 2" xfId="19429"/>
    <cellStyle name="Comma 3 2 2 5 4 3" xfId="16577"/>
    <cellStyle name="Comma 3 2 2 5 5" xfId="3220"/>
    <cellStyle name="Comma 3 2 2 5 5 2" xfId="11177"/>
    <cellStyle name="Comma 3 2 2 5 5 2 2" xfId="17716"/>
    <cellStyle name="Comma 3 2 2 5 5 3" xfId="14864"/>
    <cellStyle name="Comma 3 2 2 5 6" xfId="2647"/>
    <cellStyle name="Comma 3 2 2 5 6 2" xfId="14295"/>
    <cellStyle name="Comma 3 2 2 5 7" xfId="10608"/>
    <cellStyle name="Comma 3 2 2 5 7 2" xfId="17147"/>
    <cellStyle name="Comma 3 2 2 5 8" xfId="13724"/>
    <cellStyle name="Comma 3 2 2 6" xfId="2324"/>
    <cellStyle name="Comma 3 2 2 6 2" xfId="3628"/>
    <cellStyle name="Comma 3 2 2 6 2 2" xfId="15150"/>
    <cellStyle name="Comma 3 2 2 6 3" xfId="11463"/>
    <cellStyle name="Comma 3 2 2 6 3 2" xfId="18002"/>
    <cellStyle name="Comma 3 2 2 6 4" xfId="13975"/>
    <cellStyle name="Comma 3 2 2 7" xfId="5900"/>
    <cellStyle name="Comma 3 2 2 7 2" xfId="12034"/>
    <cellStyle name="Comma 3 2 2 7 2 2" xfId="18573"/>
    <cellStyle name="Comma 3 2 2 7 3" xfId="15721"/>
    <cellStyle name="Comma 3 2 2 8" xfId="8172"/>
    <cellStyle name="Comma 3 2 2 8 2" xfId="12605"/>
    <cellStyle name="Comma 3 2 2 8 2 2" xfId="19144"/>
    <cellStyle name="Comma 3 2 2 8 3" xfId="16292"/>
    <cellStyle name="Comma 3 2 2 9" xfId="2932"/>
    <cellStyle name="Comma 3 2 2 9 2" xfId="10891"/>
    <cellStyle name="Comma 3 2 2 9 2 2" xfId="17430"/>
    <cellStyle name="Comma 3 2 2 9 3" xfId="14578"/>
    <cellStyle name="Comma 3 2 3" xfId="141"/>
    <cellStyle name="Comma 3 2 3 10" xfId="2352"/>
    <cellStyle name="Comma 3 2 3 10 2" xfId="14000"/>
    <cellStyle name="Comma 3 2 3 11" xfId="10313"/>
    <cellStyle name="Comma 3 2 3 11 2" xfId="16852"/>
    <cellStyle name="Comma 3 2 3 12" xfId="13424"/>
    <cellStyle name="Comma 3 2 3 2" xfId="379"/>
    <cellStyle name="Comma 3 2 3 2 10" xfId="13482"/>
    <cellStyle name="Comma 3 2 3 2 2" xfId="833"/>
    <cellStyle name="Comma 3 2 3 2 2 2" xfId="1968"/>
    <cellStyle name="Comma 3 2 3 2 2 2 2" xfId="5388"/>
    <cellStyle name="Comma 3 2 3 2 2 2 2 2" xfId="11905"/>
    <cellStyle name="Comma 3 2 3 2 2 2 2 2 2" xfId="18444"/>
    <cellStyle name="Comma 3 2 3 2 2 2 2 3" xfId="15592"/>
    <cellStyle name="Comma 3 2 3 2 2 2 3" xfId="7660"/>
    <cellStyle name="Comma 3 2 3 2 2 2 3 2" xfId="12476"/>
    <cellStyle name="Comma 3 2 3 2 2 2 3 2 2" xfId="19015"/>
    <cellStyle name="Comma 3 2 3 2 2 2 3 3" xfId="16163"/>
    <cellStyle name="Comma 3 2 3 2 2 2 4" xfId="9932"/>
    <cellStyle name="Comma 3 2 3 2 2 2 4 2" xfId="13047"/>
    <cellStyle name="Comma 3 2 3 2 2 2 4 2 2" xfId="19586"/>
    <cellStyle name="Comma 3 2 3 2 2 2 4 3" xfId="16734"/>
    <cellStyle name="Comma 3 2 3 2 2 2 5" xfId="3377"/>
    <cellStyle name="Comma 3 2 3 2 2 2 5 2" xfId="11334"/>
    <cellStyle name="Comma 3 2 3 2 2 2 5 2 2" xfId="17873"/>
    <cellStyle name="Comma 3 2 3 2 2 2 5 3" xfId="15021"/>
    <cellStyle name="Comma 3 2 3 2 2 2 6" xfId="2801"/>
    <cellStyle name="Comma 3 2 3 2 2 2 6 2" xfId="14449"/>
    <cellStyle name="Comma 3 2 3 2 2 2 7" xfId="10762"/>
    <cellStyle name="Comma 3 2 3 2 2 2 7 2" xfId="17301"/>
    <cellStyle name="Comma 3 2 3 2 2 2 8" xfId="13881"/>
    <cellStyle name="Comma 3 2 3 2 2 3" xfId="4253"/>
    <cellStyle name="Comma 3 2 3 2 2 3 2" xfId="11620"/>
    <cellStyle name="Comma 3 2 3 2 2 3 2 2" xfId="18159"/>
    <cellStyle name="Comma 3 2 3 2 2 3 3" xfId="15307"/>
    <cellStyle name="Comma 3 2 3 2 2 4" xfId="6525"/>
    <cellStyle name="Comma 3 2 3 2 2 4 2" xfId="12191"/>
    <cellStyle name="Comma 3 2 3 2 2 4 2 2" xfId="18730"/>
    <cellStyle name="Comma 3 2 3 2 2 4 3" xfId="15878"/>
    <cellStyle name="Comma 3 2 3 2 2 5" xfId="8797"/>
    <cellStyle name="Comma 3 2 3 2 2 5 2" xfId="12762"/>
    <cellStyle name="Comma 3 2 3 2 2 5 2 2" xfId="19301"/>
    <cellStyle name="Comma 3 2 3 2 2 5 3" xfId="16449"/>
    <cellStyle name="Comma 3 2 3 2 2 6" xfId="3092"/>
    <cellStyle name="Comma 3 2 3 2 2 6 2" xfId="11049"/>
    <cellStyle name="Comma 3 2 3 2 2 6 2 2" xfId="17588"/>
    <cellStyle name="Comma 3 2 3 2 2 6 3" xfId="14736"/>
    <cellStyle name="Comma 3 2 3 2 2 7" xfId="2521"/>
    <cellStyle name="Comma 3 2 3 2 2 7 2" xfId="14169"/>
    <cellStyle name="Comma 3 2 3 2 2 8" xfId="10482"/>
    <cellStyle name="Comma 3 2 3 2 2 8 2" xfId="17021"/>
    <cellStyle name="Comma 3 2 3 2 2 9" xfId="13596"/>
    <cellStyle name="Comma 3 2 3 2 3" xfId="1514"/>
    <cellStyle name="Comma 3 2 3 2 3 2" xfId="4934"/>
    <cellStyle name="Comma 3 2 3 2 3 2 2" xfId="11791"/>
    <cellStyle name="Comma 3 2 3 2 3 2 2 2" xfId="18330"/>
    <cellStyle name="Comma 3 2 3 2 3 2 3" xfId="15478"/>
    <cellStyle name="Comma 3 2 3 2 3 3" xfId="7206"/>
    <cellStyle name="Comma 3 2 3 2 3 3 2" xfId="12362"/>
    <cellStyle name="Comma 3 2 3 2 3 3 2 2" xfId="18901"/>
    <cellStyle name="Comma 3 2 3 2 3 3 3" xfId="16049"/>
    <cellStyle name="Comma 3 2 3 2 3 4" xfId="9478"/>
    <cellStyle name="Comma 3 2 3 2 3 4 2" xfId="12933"/>
    <cellStyle name="Comma 3 2 3 2 3 4 2 2" xfId="19472"/>
    <cellStyle name="Comma 3 2 3 2 3 4 3" xfId="16620"/>
    <cellStyle name="Comma 3 2 3 2 3 5" xfId="3263"/>
    <cellStyle name="Comma 3 2 3 2 3 5 2" xfId="11220"/>
    <cellStyle name="Comma 3 2 3 2 3 5 2 2" xfId="17759"/>
    <cellStyle name="Comma 3 2 3 2 3 5 3" xfId="14907"/>
    <cellStyle name="Comma 3 2 3 2 3 6" xfId="2689"/>
    <cellStyle name="Comma 3 2 3 2 3 6 2" xfId="14337"/>
    <cellStyle name="Comma 3 2 3 2 3 7" xfId="10650"/>
    <cellStyle name="Comma 3 2 3 2 3 7 2" xfId="17189"/>
    <cellStyle name="Comma 3 2 3 2 3 8" xfId="13767"/>
    <cellStyle name="Comma 3 2 3 2 4" xfId="3799"/>
    <cellStyle name="Comma 3 2 3 2 4 2" xfId="11506"/>
    <cellStyle name="Comma 3 2 3 2 4 2 2" xfId="18045"/>
    <cellStyle name="Comma 3 2 3 2 4 3" xfId="15193"/>
    <cellStyle name="Comma 3 2 3 2 5" xfId="6071"/>
    <cellStyle name="Comma 3 2 3 2 5 2" xfId="12077"/>
    <cellStyle name="Comma 3 2 3 2 5 2 2" xfId="18616"/>
    <cellStyle name="Comma 3 2 3 2 5 3" xfId="15764"/>
    <cellStyle name="Comma 3 2 3 2 6" xfId="8343"/>
    <cellStyle name="Comma 3 2 3 2 6 2" xfId="12648"/>
    <cellStyle name="Comma 3 2 3 2 6 2 2" xfId="19187"/>
    <cellStyle name="Comma 3 2 3 2 6 3" xfId="16335"/>
    <cellStyle name="Comma 3 2 3 2 7" xfId="2978"/>
    <cellStyle name="Comma 3 2 3 2 7 2" xfId="10935"/>
    <cellStyle name="Comma 3 2 3 2 7 2 2" xfId="17474"/>
    <cellStyle name="Comma 3 2 3 2 7 3" xfId="14622"/>
    <cellStyle name="Comma 3 2 3 2 8" xfId="2409"/>
    <cellStyle name="Comma 3 2 3 2 8 2" xfId="14057"/>
    <cellStyle name="Comma 3 2 3 2 9" xfId="10370"/>
    <cellStyle name="Comma 3 2 3 2 9 2" xfId="16909"/>
    <cellStyle name="Comma 3 2 3 3" xfId="1060"/>
    <cellStyle name="Comma 3 2 3 3 2" xfId="2195"/>
    <cellStyle name="Comma 3 2 3 3 2 2" xfId="5615"/>
    <cellStyle name="Comma 3 2 3 3 2 2 2" xfId="11962"/>
    <cellStyle name="Comma 3 2 3 3 2 2 2 2" xfId="18501"/>
    <cellStyle name="Comma 3 2 3 3 2 2 3" xfId="15649"/>
    <cellStyle name="Comma 3 2 3 3 2 3" xfId="7887"/>
    <cellStyle name="Comma 3 2 3 3 2 3 2" xfId="12533"/>
    <cellStyle name="Comma 3 2 3 3 2 3 2 2" xfId="19072"/>
    <cellStyle name="Comma 3 2 3 3 2 3 3" xfId="16220"/>
    <cellStyle name="Comma 3 2 3 3 2 4" xfId="10159"/>
    <cellStyle name="Comma 3 2 3 3 2 4 2" xfId="13104"/>
    <cellStyle name="Comma 3 2 3 3 2 4 2 2" xfId="19643"/>
    <cellStyle name="Comma 3 2 3 3 2 4 3" xfId="16791"/>
    <cellStyle name="Comma 3 2 3 3 2 5" xfId="3434"/>
    <cellStyle name="Comma 3 2 3 3 2 5 2" xfId="11391"/>
    <cellStyle name="Comma 3 2 3 3 2 5 2 2" xfId="17930"/>
    <cellStyle name="Comma 3 2 3 3 2 5 3" xfId="15078"/>
    <cellStyle name="Comma 3 2 3 3 2 6" xfId="2857"/>
    <cellStyle name="Comma 3 2 3 3 2 6 2" xfId="14505"/>
    <cellStyle name="Comma 3 2 3 3 2 7" xfId="10818"/>
    <cellStyle name="Comma 3 2 3 3 2 7 2" xfId="17357"/>
    <cellStyle name="Comma 3 2 3 3 2 8" xfId="13938"/>
    <cellStyle name="Comma 3 2 3 3 3" xfId="4480"/>
    <cellStyle name="Comma 3 2 3 3 3 2" xfId="11677"/>
    <cellStyle name="Comma 3 2 3 3 3 2 2" xfId="18216"/>
    <cellStyle name="Comma 3 2 3 3 3 3" xfId="15364"/>
    <cellStyle name="Comma 3 2 3 3 4" xfId="6752"/>
    <cellStyle name="Comma 3 2 3 3 4 2" xfId="12248"/>
    <cellStyle name="Comma 3 2 3 3 4 2 2" xfId="18787"/>
    <cellStyle name="Comma 3 2 3 3 4 3" xfId="15935"/>
    <cellStyle name="Comma 3 2 3 3 5" xfId="9024"/>
    <cellStyle name="Comma 3 2 3 3 5 2" xfId="12819"/>
    <cellStyle name="Comma 3 2 3 3 5 2 2" xfId="19358"/>
    <cellStyle name="Comma 3 2 3 3 5 3" xfId="16506"/>
    <cellStyle name="Comma 3 2 3 3 6" xfId="3149"/>
    <cellStyle name="Comma 3 2 3 3 6 2" xfId="11106"/>
    <cellStyle name="Comma 3 2 3 3 6 2 2" xfId="17645"/>
    <cellStyle name="Comma 3 2 3 3 6 3" xfId="14793"/>
    <cellStyle name="Comma 3 2 3 3 7" xfId="2577"/>
    <cellStyle name="Comma 3 2 3 3 7 2" xfId="14225"/>
    <cellStyle name="Comma 3 2 3 3 8" xfId="10538"/>
    <cellStyle name="Comma 3 2 3 3 8 2" xfId="17077"/>
    <cellStyle name="Comma 3 2 3 3 9" xfId="13653"/>
    <cellStyle name="Comma 3 2 3 4" xfId="606"/>
    <cellStyle name="Comma 3 2 3 4 2" xfId="1741"/>
    <cellStyle name="Comma 3 2 3 4 2 2" xfId="5161"/>
    <cellStyle name="Comma 3 2 3 4 2 2 2" xfId="11848"/>
    <cellStyle name="Comma 3 2 3 4 2 2 2 2" xfId="18387"/>
    <cellStyle name="Comma 3 2 3 4 2 2 3" xfId="15535"/>
    <cellStyle name="Comma 3 2 3 4 2 3" xfId="7433"/>
    <cellStyle name="Comma 3 2 3 4 2 3 2" xfId="12419"/>
    <cellStyle name="Comma 3 2 3 4 2 3 2 2" xfId="18958"/>
    <cellStyle name="Comma 3 2 3 4 2 3 3" xfId="16106"/>
    <cellStyle name="Comma 3 2 3 4 2 4" xfId="9705"/>
    <cellStyle name="Comma 3 2 3 4 2 4 2" xfId="12990"/>
    <cellStyle name="Comma 3 2 3 4 2 4 2 2" xfId="19529"/>
    <cellStyle name="Comma 3 2 3 4 2 4 3" xfId="16677"/>
    <cellStyle name="Comma 3 2 3 4 2 5" xfId="3320"/>
    <cellStyle name="Comma 3 2 3 4 2 5 2" xfId="11277"/>
    <cellStyle name="Comma 3 2 3 4 2 5 2 2" xfId="17816"/>
    <cellStyle name="Comma 3 2 3 4 2 5 3" xfId="14964"/>
    <cellStyle name="Comma 3 2 3 4 2 6" xfId="2745"/>
    <cellStyle name="Comma 3 2 3 4 2 6 2" xfId="14393"/>
    <cellStyle name="Comma 3 2 3 4 2 7" xfId="10706"/>
    <cellStyle name="Comma 3 2 3 4 2 7 2" xfId="17245"/>
    <cellStyle name="Comma 3 2 3 4 2 8" xfId="13824"/>
    <cellStyle name="Comma 3 2 3 4 3" xfId="4026"/>
    <cellStyle name="Comma 3 2 3 4 3 2" xfId="11563"/>
    <cellStyle name="Comma 3 2 3 4 3 2 2" xfId="18102"/>
    <cellStyle name="Comma 3 2 3 4 3 3" xfId="15250"/>
    <cellStyle name="Comma 3 2 3 4 4" xfId="6298"/>
    <cellStyle name="Comma 3 2 3 4 4 2" xfId="12134"/>
    <cellStyle name="Comma 3 2 3 4 4 2 2" xfId="18673"/>
    <cellStyle name="Comma 3 2 3 4 4 3" xfId="15821"/>
    <cellStyle name="Comma 3 2 3 4 5" xfId="8570"/>
    <cellStyle name="Comma 3 2 3 4 5 2" xfId="12705"/>
    <cellStyle name="Comma 3 2 3 4 5 2 2" xfId="19244"/>
    <cellStyle name="Comma 3 2 3 4 5 3" xfId="16392"/>
    <cellStyle name="Comma 3 2 3 4 6" xfId="3035"/>
    <cellStyle name="Comma 3 2 3 4 6 2" xfId="10992"/>
    <cellStyle name="Comma 3 2 3 4 6 2 2" xfId="17531"/>
    <cellStyle name="Comma 3 2 3 4 6 3" xfId="14679"/>
    <cellStyle name="Comma 3 2 3 4 7" xfId="2465"/>
    <cellStyle name="Comma 3 2 3 4 7 2" xfId="14113"/>
    <cellStyle name="Comma 3 2 3 4 8" xfId="10426"/>
    <cellStyle name="Comma 3 2 3 4 8 2" xfId="16965"/>
    <cellStyle name="Comma 3 2 3 4 9" xfId="13539"/>
    <cellStyle name="Comma 3 2 3 5" xfId="1287"/>
    <cellStyle name="Comma 3 2 3 5 2" xfId="4707"/>
    <cellStyle name="Comma 3 2 3 5 2 2" xfId="11734"/>
    <cellStyle name="Comma 3 2 3 5 2 2 2" xfId="18273"/>
    <cellStyle name="Comma 3 2 3 5 2 3" xfId="15421"/>
    <cellStyle name="Comma 3 2 3 5 3" xfId="6979"/>
    <cellStyle name="Comma 3 2 3 5 3 2" xfId="12305"/>
    <cellStyle name="Comma 3 2 3 5 3 2 2" xfId="18844"/>
    <cellStyle name="Comma 3 2 3 5 3 3" xfId="15992"/>
    <cellStyle name="Comma 3 2 3 5 4" xfId="9251"/>
    <cellStyle name="Comma 3 2 3 5 4 2" xfId="12876"/>
    <cellStyle name="Comma 3 2 3 5 4 2 2" xfId="19415"/>
    <cellStyle name="Comma 3 2 3 5 4 3" xfId="16563"/>
    <cellStyle name="Comma 3 2 3 5 5" xfId="3206"/>
    <cellStyle name="Comma 3 2 3 5 5 2" xfId="11163"/>
    <cellStyle name="Comma 3 2 3 5 5 2 2" xfId="17702"/>
    <cellStyle name="Comma 3 2 3 5 5 3" xfId="14850"/>
    <cellStyle name="Comma 3 2 3 5 6" xfId="2633"/>
    <cellStyle name="Comma 3 2 3 5 6 2" xfId="14281"/>
    <cellStyle name="Comma 3 2 3 5 7" xfId="10594"/>
    <cellStyle name="Comma 3 2 3 5 7 2" xfId="17133"/>
    <cellStyle name="Comma 3 2 3 5 8" xfId="13710"/>
    <cellStyle name="Comma 3 2 3 6" xfId="3572"/>
    <cellStyle name="Comma 3 2 3 6 2" xfId="11449"/>
    <cellStyle name="Comma 3 2 3 6 2 2" xfId="17988"/>
    <cellStyle name="Comma 3 2 3 6 3" xfId="15136"/>
    <cellStyle name="Comma 3 2 3 7" xfId="5844"/>
    <cellStyle name="Comma 3 2 3 7 2" xfId="12020"/>
    <cellStyle name="Comma 3 2 3 7 2 2" xfId="18559"/>
    <cellStyle name="Comma 3 2 3 7 3" xfId="15707"/>
    <cellStyle name="Comma 3 2 3 8" xfId="8116"/>
    <cellStyle name="Comma 3 2 3 8 2" xfId="12591"/>
    <cellStyle name="Comma 3 2 3 8 2 2" xfId="19130"/>
    <cellStyle name="Comma 3 2 3 8 3" xfId="16278"/>
    <cellStyle name="Comma 3 2 3 9" xfId="2918"/>
    <cellStyle name="Comma 3 2 3 9 2" xfId="10877"/>
    <cellStyle name="Comma 3 2 3 9 2 2" xfId="17416"/>
    <cellStyle name="Comma 3 2 3 9 3" xfId="14564"/>
    <cellStyle name="Comma 3 2 4" xfId="267"/>
    <cellStyle name="Comma 3 2 4 10" xfId="2381"/>
    <cellStyle name="Comma 3 2 4 10 2" xfId="14029"/>
    <cellStyle name="Comma 3 2 4 11" xfId="10342"/>
    <cellStyle name="Comma 3 2 4 11 2" xfId="16881"/>
    <cellStyle name="Comma 3 2 4 12" xfId="13454"/>
    <cellStyle name="Comma 3 2 4 2" xfId="494"/>
    <cellStyle name="Comma 3 2 4 2 10" xfId="13511"/>
    <cellStyle name="Comma 3 2 4 2 2" xfId="948"/>
    <cellStyle name="Comma 3 2 4 2 2 2" xfId="2083"/>
    <cellStyle name="Comma 3 2 4 2 2 2 2" xfId="5503"/>
    <cellStyle name="Comma 3 2 4 2 2 2 2 2" xfId="11934"/>
    <cellStyle name="Comma 3 2 4 2 2 2 2 2 2" xfId="18473"/>
    <cellStyle name="Comma 3 2 4 2 2 2 2 3" xfId="15621"/>
    <cellStyle name="Comma 3 2 4 2 2 2 3" xfId="7775"/>
    <cellStyle name="Comma 3 2 4 2 2 2 3 2" xfId="12505"/>
    <cellStyle name="Comma 3 2 4 2 2 2 3 2 2" xfId="19044"/>
    <cellStyle name="Comma 3 2 4 2 2 2 3 3" xfId="16192"/>
    <cellStyle name="Comma 3 2 4 2 2 2 4" xfId="10047"/>
    <cellStyle name="Comma 3 2 4 2 2 2 4 2" xfId="13076"/>
    <cellStyle name="Comma 3 2 4 2 2 2 4 2 2" xfId="19615"/>
    <cellStyle name="Comma 3 2 4 2 2 2 4 3" xfId="16763"/>
    <cellStyle name="Comma 3 2 4 2 2 2 5" xfId="3406"/>
    <cellStyle name="Comma 3 2 4 2 2 2 5 2" xfId="11363"/>
    <cellStyle name="Comma 3 2 4 2 2 2 5 2 2" xfId="17902"/>
    <cellStyle name="Comma 3 2 4 2 2 2 5 3" xfId="15050"/>
    <cellStyle name="Comma 3 2 4 2 2 2 6" xfId="2829"/>
    <cellStyle name="Comma 3 2 4 2 2 2 6 2" xfId="14477"/>
    <cellStyle name="Comma 3 2 4 2 2 2 7" xfId="10790"/>
    <cellStyle name="Comma 3 2 4 2 2 2 7 2" xfId="17329"/>
    <cellStyle name="Comma 3 2 4 2 2 2 8" xfId="13910"/>
    <cellStyle name="Comma 3 2 4 2 2 3" xfId="4368"/>
    <cellStyle name="Comma 3 2 4 2 2 3 2" xfId="11649"/>
    <cellStyle name="Comma 3 2 4 2 2 3 2 2" xfId="18188"/>
    <cellStyle name="Comma 3 2 4 2 2 3 3" xfId="15336"/>
    <cellStyle name="Comma 3 2 4 2 2 4" xfId="6640"/>
    <cellStyle name="Comma 3 2 4 2 2 4 2" xfId="12220"/>
    <cellStyle name="Comma 3 2 4 2 2 4 2 2" xfId="18759"/>
    <cellStyle name="Comma 3 2 4 2 2 4 3" xfId="15907"/>
    <cellStyle name="Comma 3 2 4 2 2 5" xfId="8912"/>
    <cellStyle name="Comma 3 2 4 2 2 5 2" xfId="12791"/>
    <cellStyle name="Comma 3 2 4 2 2 5 2 2" xfId="19330"/>
    <cellStyle name="Comma 3 2 4 2 2 5 3" xfId="16478"/>
    <cellStyle name="Comma 3 2 4 2 2 6" xfId="3121"/>
    <cellStyle name="Comma 3 2 4 2 2 6 2" xfId="11078"/>
    <cellStyle name="Comma 3 2 4 2 2 6 2 2" xfId="17617"/>
    <cellStyle name="Comma 3 2 4 2 2 6 3" xfId="14765"/>
    <cellStyle name="Comma 3 2 4 2 2 7" xfId="2549"/>
    <cellStyle name="Comma 3 2 4 2 2 7 2" xfId="14197"/>
    <cellStyle name="Comma 3 2 4 2 2 8" xfId="10510"/>
    <cellStyle name="Comma 3 2 4 2 2 8 2" xfId="17049"/>
    <cellStyle name="Comma 3 2 4 2 2 9" xfId="13625"/>
    <cellStyle name="Comma 3 2 4 2 3" xfId="1629"/>
    <cellStyle name="Comma 3 2 4 2 3 2" xfId="5049"/>
    <cellStyle name="Comma 3 2 4 2 3 2 2" xfId="11820"/>
    <cellStyle name="Comma 3 2 4 2 3 2 2 2" xfId="18359"/>
    <cellStyle name="Comma 3 2 4 2 3 2 3" xfId="15507"/>
    <cellStyle name="Comma 3 2 4 2 3 3" xfId="7321"/>
    <cellStyle name="Comma 3 2 4 2 3 3 2" xfId="12391"/>
    <cellStyle name="Comma 3 2 4 2 3 3 2 2" xfId="18930"/>
    <cellStyle name="Comma 3 2 4 2 3 3 3" xfId="16078"/>
    <cellStyle name="Comma 3 2 4 2 3 4" xfId="9593"/>
    <cellStyle name="Comma 3 2 4 2 3 4 2" xfId="12962"/>
    <cellStyle name="Comma 3 2 4 2 3 4 2 2" xfId="19501"/>
    <cellStyle name="Comma 3 2 4 2 3 4 3" xfId="16649"/>
    <cellStyle name="Comma 3 2 4 2 3 5" xfId="3292"/>
    <cellStyle name="Comma 3 2 4 2 3 5 2" xfId="11249"/>
    <cellStyle name="Comma 3 2 4 2 3 5 2 2" xfId="17788"/>
    <cellStyle name="Comma 3 2 4 2 3 5 3" xfId="14936"/>
    <cellStyle name="Comma 3 2 4 2 3 6" xfId="2717"/>
    <cellStyle name="Comma 3 2 4 2 3 6 2" xfId="14365"/>
    <cellStyle name="Comma 3 2 4 2 3 7" xfId="10678"/>
    <cellStyle name="Comma 3 2 4 2 3 7 2" xfId="17217"/>
    <cellStyle name="Comma 3 2 4 2 3 8" xfId="13796"/>
    <cellStyle name="Comma 3 2 4 2 4" xfId="3914"/>
    <cellStyle name="Comma 3 2 4 2 4 2" xfId="11535"/>
    <cellStyle name="Comma 3 2 4 2 4 2 2" xfId="18074"/>
    <cellStyle name="Comma 3 2 4 2 4 3" xfId="15222"/>
    <cellStyle name="Comma 3 2 4 2 5" xfId="6186"/>
    <cellStyle name="Comma 3 2 4 2 5 2" xfId="12106"/>
    <cellStyle name="Comma 3 2 4 2 5 2 2" xfId="18645"/>
    <cellStyle name="Comma 3 2 4 2 5 3" xfId="15793"/>
    <cellStyle name="Comma 3 2 4 2 6" xfId="8458"/>
    <cellStyle name="Comma 3 2 4 2 6 2" xfId="12677"/>
    <cellStyle name="Comma 3 2 4 2 6 2 2" xfId="19216"/>
    <cellStyle name="Comma 3 2 4 2 6 3" xfId="16364"/>
    <cellStyle name="Comma 3 2 4 2 7" xfId="3007"/>
    <cellStyle name="Comma 3 2 4 2 7 2" xfId="10964"/>
    <cellStyle name="Comma 3 2 4 2 7 2 2" xfId="17503"/>
    <cellStyle name="Comma 3 2 4 2 7 3" xfId="14651"/>
    <cellStyle name="Comma 3 2 4 2 8" xfId="2437"/>
    <cellStyle name="Comma 3 2 4 2 8 2" xfId="14085"/>
    <cellStyle name="Comma 3 2 4 2 9" xfId="10398"/>
    <cellStyle name="Comma 3 2 4 2 9 2" xfId="16937"/>
    <cellStyle name="Comma 3 2 4 3" xfId="1175"/>
    <cellStyle name="Comma 3 2 4 3 2" xfId="2310"/>
    <cellStyle name="Comma 3 2 4 3 2 2" xfId="5730"/>
    <cellStyle name="Comma 3 2 4 3 2 2 2" xfId="11991"/>
    <cellStyle name="Comma 3 2 4 3 2 2 2 2" xfId="18530"/>
    <cellStyle name="Comma 3 2 4 3 2 2 3" xfId="15678"/>
    <cellStyle name="Comma 3 2 4 3 2 3" xfId="8002"/>
    <cellStyle name="Comma 3 2 4 3 2 3 2" xfId="12562"/>
    <cellStyle name="Comma 3 2 4 3 2 3 2 2" xfId="19101"/>
    <cellStyle name="Comma 3 2 4 3 2 3 3" xfId="16249"/>
    <cellStyle name="Comma 3 2 4 3 2 4" xfId="10274"/>
    <cellStyle name="Comma 3 2 4 3 2 4 2" xfId="13133"/>
    <cellStyle name="Comma 3 2 4 3 2 4 2 2" xfId="19672"/>
    <cellStyle name="Comma 3 2 4 3 2 4 3" xfId="16820"/>
    <cellStyle name="Comma 3 2 4 3 2 5" xfId="3463"/>
    <cellStyle name="Comma 3 2 4 3 2 5 2" xfId="11420"/>
    <cellStyle name="Comma 3 2 4 3 2 5 2 2" xfId="17959"/>
    <cellStyle name="Comma 3 2 4 3 2 5 3" xfId="15107"/>
    <cellStyle name="Comma 3 2 4 3 2 6" xfId="2885"/>
    <cellStyle name="Comma 3 2 4 3 2 6 2" xfId="14533"/>
    <cellStyle name="Comma 3 2 4 3 2 7" xfId="10846"/>
    <cellStyle name="Comma 3 2 4 3 2 7 2" xfId="17385"/>
    <cellStyle name="Comma 3 2 4 3 2 8" xfId="13967"/>
    <cellStyle name="Comma 3 2 4 3 3" xfId="4595"/>
    <cellStyle name="Comma 3 2 4 3 3 2" xfId="11706"/>
    <cellStyle name="Comma 3 2 4 3 3 2 2" xfId="18245"/>
    <cellStyle name="Comma 3 2 4 3 3 3" xfId="15393"/>
    <cellStyle name="Comma 3 2 4 3 4" xfId="6867"/>
    <cellStyle name="Comma 3 2 4 3 4 2" xfId="12277"/>
    <cellStyle name="Comma 3 2 4 3 4 2 2" xfId="18816"/>
    <cellStyle name="Comma 3 2 4 3 4 3" xfId="15964"/>
    <cellStyle name="Comma 3 2 4 3 5" xfId="9139"/>
    <cellStyle name="Comma 3 2 4 3 5 2" xfId="12848"/>
    <cellStyle name="Comma 3 2 4 3 5 2 2" xfId="19387"/>
    <cellStyle name="Comma 3 2 4 3 5 3" xfId="16535"/>
    <cellStyle name="Comma 3 2 4 3 6" xfId="3178"/>
    <cellStyle name="Comma 3 2 4 3 6 2" xfId="11135"/>
    <cellStyle name="Comma 3 2 4 3 6 2 2" xfId="17674"/>
    <cellStyle name="Comma 3 2 4 3 6 3" xfId="14822"/>
    <cellStyle name="Comma 3 2 4 3 7" xfId="2605"/>
    <cellStyle name="Comma 3 2 4 3 7 2" xfId="14253"/>
    <cellStyle name="Comma 3 2 4 3 8" xfId="10566"/>
    <cellStyle name="Comma 3 2 4 3 8 2" xfId="17105"/>
    <cellStyle name="Comma 3 2 4 3 9" xfId="13682"/>
    <cellStyle name="Comma 3 2 4 4" xfId="721"/>
    <cellStyle name="Comma 3 2 4 4 2" xfId="1856"/>
    <cellStyle name="Comma 3 2 4 4 2 2" xfId="5276"/>
    <cellStyle name="Comma 3 2 4 4 2 2 2" xfId="11877"/>
    <cellStyle name="Comma 3 2 4 4 2 2 2 2" xfId="18416"/>
    <cellStyle name="Comma 3 2 4 4 2 2 3" xfId="15564"/>
    <cellStyle name="Comma 3 2 4 4 2 3" xfId="7548"/>
    <cellStyle name="Comma 3 2 4 4 2 3 2" xfId="12448"/>
    <cellStyle name="Comma 3 2 4 4 2 3 2 2" xfId="18987"/>
    <cellStyle name="Comma 3 2 4 4 2 3 3" xfId="16135"/>
    <cellStyle name="Comma 3 2 4 4 2 4" xfId="9820"/>
    <cellStyle name="Comma 3 2 4 4 2 4 2" xfId="13019"/>
    <cellStyle name="Comma 3 2 4 4 2 4 2 2" xfId="19558"/>
    <cellStyle name="Comma 3 2 4 4 2 4 3" xfId="16706"/>
    <cellStyle name="Comma 3 2 4 4 2 5" xfId="3349"/>
    <cellStyle name="Comma 3 2 4 4 2 5 2" xfId="11306"/>
    <cellStyle name="Comma 3 2 4 4 2 5 2 2" xfId="17845"/>
    <cellStyle name="Comma 3 2 4 4 2 5 3" xfId="14993"/>
    <cellStyle name="Comma 3 2 4 4 2 6" xfId="2773"/>
    <cellStyle name="Comma 3 2 4 4 2 6 2" xfId="14421"/>
    <cellStyle name="Comma 3 2 4 4 2 7" xfId="10734"/>
    <cellStyle name="Comma 3 2 4 4 2 7 2" xfId="17273"/>
    <cellStyle name="Comma 3 2 4 4 2 8" xfId="13853"/>
    <cellStyle name="Comma 3 2 4 4 3" xfId="4141"/>
    <cellStyle name="Comma 3 2 4 4 3 2" xfId="11592"/>
    <cellStyle name="Comma 3 2 4 4 3 2 2" xfId="18131"/>
    <cellStyle name="Comma 3 2 4 4 3 3" xfId="15279"/>
    <cellStyle name="Comma 3 2 4 4 4" xfId="6413"/>
    <cellStyle name="Comma 3 2 4 4 4 2" xfId="12163"/>
    <cellStyle name="Comma 3 2 4 4 4 2 2" xfId="18702"/>
    <cellStyle name="Comma 3 2 4 4 4 3" xfId="15850"/>
    <cellStyle name="Comma 3 2 4 4 5" xfId="8685"/>
    <cellStyle name="Comma 3 2 4 4 5 2" xfId="12734"/>
    <cellStyle name="Comma 3 2 4 4 5 2 2" xfId="19273"/>
    <cellStyle name="Comma 3 2 4 4 5 3" xfId="16421"/>
    <cellStyle name="Comma 3 2 4 4 6" xfId="3064"/>
    <cellStyle name="Comma 3 2 4 4 6 2" xfId="11021"/>
    <cellStyle name="Comma 3 2 4 4 6 2 2" xfId="17560"/>
    <cellStyle name="Comma 3 2 4 4 6 3" xfId="14708"/>
    <cellStyle name="Comma 3 2 4 4 7" xfId="2493"/>
    <cellStyle name="Comma 3 2 4 4 7 2" xfId="14141"/>
    <cellStyle name="Comma 3 2 4 4 8" xfId="10454"/>
    <cellStyle name="Comma 3 2 4 4 8 2" xfId="16993"/>
    <cellStyle name="Comma 3 2 4 4 9" xfId="13568"/>
    <cellStyle name="Comma 3 2 4 5" xfId="1402"/>
    <cellStyle name="Comma 3 2 4 5 2" xfId="4822"/>
    <cellStyle name="Comma 3 2 4 5 2 2" xfId="11763"/>
    <cellStyle name="Comma 3 2 4 5 2 2 2" xfId="18302"/>
    <cellStyle name="Comma 3 2 4 5 2 3" xfId="15450"/>
    <cellStyle name="Comma 3 2 4 5 3" xfId="7094"/>
    <cellStyle name="Comma 3 2 4 5 3 2" xfId="12334"/>
    <cellStyle name="Comma 3 2 4 5 3 2 2" xfId="18873"/>
    <cellStyle name="Comma 3 2 4 5 3 3" xfId="16021"/>
    <cellStyle name="Comma 3 2 4 5 4" xfId="9366"/>
    <cellStyle name="Comma 3 2 4 5 4 2" xfId="12905"/>
    <cellStyle name="Comma 3 2 4 5 4 2 2" xfId="19444"/>
    <cellStyle name="Comma 3 2 4 5 4 3" xfId="16592"/>
    <cellStyle name="Comma 3 2 4 5 5" xfId="3235"/>
    <cellStyle name="Comma 3 2 4 5 5 2" xfId="11192"/>
    <cellStyle name="Comma 3 2 4 5 5 2 2" xfId="17731"/>
    <cellStyle name="Comma 3 2 4 5 5 3" xfId="14879"/>
    <cellStyle name="Comma 3 2 4 5 6" xfId="2661"/>
    <cellStyle name="Comma 3 2 4 5 6 2" xfId="14309"/>
    <cellStyle name="Comma 3 2 4 5 7" xfId="10622"/>
    <cellStyle name="Comma 3 2 4 5 7 2" xfId="17161"/>
    <cellStyle name="Comma 3 2 4 5 8" xfId="13739"/>
    <cellStyle name="Comma 3 2 4 6" xfId="3687"/>
    <cellStyle name="Comma 3 2 4 6 2" xfId="11478"/>
    <cellStyle name="Comma 3 2 4 6 2 2" xfId="18017"/>
    <cellStyle name="Comma 3 2 4 6 3" xfId="15165"/>
    <cellStyle name="Comma 3 2 4 7" xfId="5959"/>
    <cellStyle name="Comma 3 2 4 7 2" xfId="12049"/>
    <cellStyle name="Comma 3 2 4 7 2 2" xfId="18588"/>
    <cellStyle name="Comma 3 2 4 7 3" xfId="15736"/>
    <cellStyle name="Comma 3 2 4 8" xfId="8231"/>
    <cellStyle name="Comma 3 2 4 8 2" xfId="12620"/>
    <cellStyle name="Comma 3 2 4 8 2 2" xfId="19159"/>
    <cellStyle name="Comma 3 2 4 8 3" xfId="16307"/>
    <cellStyle name="Comma 3 2 4 9" xfId="2950"/>
    <cellStyle name="Comma 3 2 4 9 2" xfId="10907"/>
    <cellStyle name="Comma 3 2 4 9 2 2" xfId="17446"/>
    <cellStyle name="Comma 3 2 4 9 3" xfId="14594"/>
    <cellStyle name="Comma 3 2 5" xfId="323"/>
    <cellStyle name="Comma 3 2 5 10" xfId="13468"/>
    <cellStyle name="Comma 3 2 5 2" xfId="777"/>
    <cellStyle name="Comma 3 2 5 2 2" xfId="1912"/>
    <cellStyle name="Comma 3 2 5 2 2 2" xfId="5332"/>
    <cellStyle name="Comma 3 2 5 2 2 2 2" xfId="11891"/>
    <cellStyle name="Comma 3 2 5 2 2 2 2 2" xfId="18430"/>
    <cellStyle name="Comma 3 2 5 2 2 2 3" xfId="15578"/>
    <cellStyle name="Comma 3 2 5 2 2 3" xfId="7604"/>
    <cellStyle name="Comma 3 2 5 2 2 3 2" xfId="12462"/>
    <cellStyle name="Comma 3 2 5 2 2 3 2 2" xfId="19001"/>
    <cellStyle name="Comma 3 2 5 2 2 3 3" xfId="16149"/>
    <cellStyle name="Comma 3 2 5 2 2 4" xfId="9876"/>
    <cellStyle name="Comma 3 2 5 2 2 4 2" xfId="13033"/>
    <cellStyle name="Comma 3 2 5 2 2 4 2 2" xfId="19572"/>
    <cellStyle name="Comma 3 2 5 2 2 4 3" xfId="16720"/>
    <cellStyle name="Comma 3 2 5 2 2 5" xfId="3363"/>
    <cellStyle name="Comma 3 2 5 2 2 5 2" xfId="11320"/>
    <cellStyle name="Comma 3 2 5 2 2 5 2 2" xfId="17859"/>
    <cellStyle name="Comma 3 2 5 2 2 5 3" xfId="15007"/>
    <cellStyle name="Comma 3 2 5 2 2 6" xfId="2787"/>
    <cellStyle name="Comma 3 2 5 2 2 6 2" xfId="14435"/>
    <cellStyle name="Comma 3 2 5 2 2 7" xfId="10748"/>
    <cellStyle name="Comma 3 2 5 2 2 7 2" xfId="17287"/>
    <cellStyle name="Comma 3 2 5 2 2 8" xfId="13867"/>
    <cellStyle name="Comma 3 2 5 2 3" xfId="4197"/>
    <cellStyle name="Comma 3 2 5 2 3 2" xfId="11606"/>
    <cellStyle name="Comma 3 2 5 2 3 2 2" xfId="18145"/>
    <cellStyle name="Comma 3 2 5 2 3 3" xfId="15293"/>
    <cellStyle name="Comma 3 2 5 2 4" xfId="6469"/>
    <cellStyle name="Comma 3 2 5 2 4 2" xfId="12177"/>
    <cellStyle name="Comma 3 2 5 2 4 2 2" xfId="18716"/>
    <cellStyle name="Comma 3 2 5 2 4 3" xfId="15864"/>
    <cellStyle name="Comma 3 2 5 2 5" xfId="8741"/>
    <cellStyle name="Comma 3 2 5 2 5 2" xfId="12748"/>
    <cellStyle name="Comma 3 2 5 2 5 2 2" xfId="19287"/>
    <cellStyle name="Comma 3 2 5 2 5 3" xfId="16435"/>
    <cellStyle name="Comma 3 2 5 2 6" xfId="3078"/>
    <cellStyle name="Comma 3 2 5 2 6 2" xfId="11035"/>
    <cellStyle name="Comma 3 2 5 2 6 2 2" xfId="17574"/>
    <cellStyle name="Comma 3 2 5 2 6 3" xfId="14722"/>
    <cellStyle name="Comma 3 2 5 2 7" xfId="2507"/>
    <cellStyle name="Comma 3 2 5 2 7 2" xfId="14155"/>
    <cellStyle name="Comma 3 2 5 2 8" xfId="10468"/>
    <cellStyle name="Comma 3 2 5 2 8 2" xfId="17007"/>
    <cellStyle name="Comma 3 2 5 2 9" xfId="13582"/>
    <cellStyle name="Comma 3 2 5 3" xfId="1458"/>
    <cellStyle name="Comma 3 2 5 3 2" xfId="4878"/>
    <cellStyle name="Comma 3 2 5 3 2 2" xfId="11777"/>
    <cellStyle name="Comma 3 2 5 3 2 2 2" xfId="18316"/>
    <cellStyle name="Comma 3 2 5 3 2 3" xfId="15464"/>
    <cellStyle name="Comma 3 2 5 3 3" xfId="7150"/>
    <cellStyle name="Comma 3 2 5 3 3 2" xfId="12348"/>
    <cellStyle name="Comma 3 2 5 3 3 2 2" xfId="18887"/>
    <cellStyle name="Comma 3 2 5 3 3 3" xfId="16035"/>
    <cellStyle name="Comma 3 2 5 3 4" xfId="9422"/>
    <cellStyle name="Comma 3 2 5 3 4 2" xfId="12919"/>
    <cellStyle name="Comma 3 2 5 3 4 2 2" xfId="19458"/>
    <cellStyle name="Comma 3 2 5 3 4 3" xfId="16606"/>
    <cellStyle name="Comma 3 2 5 3 5" xfId="3249"/>
    <cellStyle name="Comma 3 2 5 3 5 2" xfId="11206"/>
    <cellStyle name="Comma 3 2 5 3 5 2 2" xfId="17745"/>
    <cellStyle name="Comma 3 2 5 3 5 3" xfId="14893"/>
    <cellStyle name="Comma 3 2 5 3 6" xfId="2675"/>
    <cellStyle name="Comma 3 2 5 3 6 2" xfId="14323"/>
    <cellStyle name="Comma 3 2 5 3 7" xfId="10636"/>
    <cellStyle name="Comma 3 2 5 3 7 2" xfId="17175"/>
    <cellStyle name="Comma 3 2 5 3 8" xfId="13753"/>
    <cellStyle name="Comma 3 2 5 4" xfId="3743"/>
    <cellStyle name="Comma 3 2 5 4 2" xfId="11492"/>
    <cellStyle name="Comma 3 2 5 4 2 2" xfId="18031"/>
    <cellStyle name="Comma 3 2 5 4 3" xfId="15179"/>
    <cellStyle name="Comma 3 2 5 5" xfId="6015"/>
    <cellStyle name="Comma 3 2 5 5 2" xfId="12063"/>
    <cellStyle name="Comma 3 2 5 5 2 2" xfId="18602"/>
    <cellStyle name="Comma 3 2 5 5 3" xfId="15750"/>
    <cellStyle name="Comma 3 2 5 6" xfId="8287"/>
    <cellStyle name="Comma 3 2 5 6 2" xfId="12634"/>
    <cellStyle name="Comma 3 2 5 6 2 2" xfId="19173"/>
    <cellStyle name="Comma 3 2 5 6 3" xfId="16321"/>
    <cellStyle name="Comma 3 2 5 7" xfId="2964"/>
    <cellStyle name="Comma 3 2 5 7 2" xfId="10921"/>
    <cellStyle name="Comma 3 2 5 7 2 2" xfId="17460"/>
    <cellStyle name="Comma 3 2 5 7 3" xfId="14608"/>
    <cellStyle name="Comma 3 2 5 8" xfId="2395"/>
    <cellStyle name="Comma 3 2 5 8 2" xfId="14043"/>
    <cellStyle name="Comma 3 2 5 9" xfId="10356"/>
    <cellStyle name="Comma 3 2 5 9 2" xfId="16895"/>
    <cellStyle name="Comma 3 2 6" xfId="1004"/>
    <cellStyle name="Comma 3 2 6 2" xfId="2139"/>
    <cellStyle name="Comma 3 2 6 2 2" xfId="5559"/>
    <cellStyle name="Comma 3 2 6 2 2 2" xfId="11948"/>
    <cellStyle name="Comma 3 2 6 2 2 2 2" xfId="18487"/>
    <cellStyle name="Comma 3 2 6 2 2 3" xfId="15635"/>
    <cellStyle name="Comma 3 2 6 2 3" xfId="7831"/>
    <cellStyle name="Comma 3 2 6 2 3 2" xfId="12519"/>
    <cellStyle name="Comma 3 2 6 2 3 2 2" xfId="19058"/>
    <cellStyle name="Comma 3 2 6 2 3 3" xfId="16206"/>
    <cellStyle name="Comma 3 2 6 2 4" xfId="10103"/>
    <cellStyle name="Comma 3 2 6 2 4 2" xfId="13090"/>
    <cellStyle name="Comma 3 2 6 2 4 2 2" xfId="19629"/>
    <cellStyle name="Comma 3 2 6 2 4 3" xfId="16777"/>
    <cellStyle name="Comma 3 2 6 2 5" xfId="3420"/>
    <cellStyle name="Comma 3 2 6 2 5 2" xfId="11377"/>
    <cellStyle name="Comma 3 2 6 2 5 2 2" xfId="17916"/>
    <cellStyle name="Comma 3 2 6 2 5 3" xfId="15064"/>
    <cellStyle name="Comma 3 2 6 2 6" xfId="2843"/>
    <cellStyle name="Comma 3 2 6 2 6 2" xfId="14491"/>
    <cellStyle name="Comma 3 2 6 2 7" xfId="10804"/>
    <cellStyle name="Comma 3 2 6 2 7 2" xfId="17343"/>
    <cellStyle name="Comma 3 2 6 2 8" xfId="13924"/>
    <cellStyle name="Comma 3 2 6 3" xfId="4424"/>
    <cellStyle name="Comma 3 2 6 3 2" xfId="11663"/>
    <cellStyle name="Comma 3 2 6 3 2 2" xfId="18202"/>
    <cellStyle name="Comma 3 2 6 3 3" xfId="15350"/>
    <cellStyle name="Comma 3 2 6 4" xfId="6696"/>
    <cellStyle name="Comma 3 2 6 4 2" xfId="12234"/>
    <cellStyle name="Comma 3 2 6 4 2 2" xfId="18773"/>
    <cellStyle name="Comma 3 2 6 4 3" xfId="15921"/>
    <cellStyle name="Comma 3 2 6 5" xfId="8968"/>
    <cellStyle name="Comma 3 2 6 5 2" xfId="12805"/>
    <cellStyle name="Comma 3 2 6 5 2 2" xfId="19344"/>
    <cellStyle name="Comma 3 2 6 5 3" xfId="16492"/>
    <cellStyle name="Comma 3 2 6 6" xfId="3135"/>
    <cellStyle name="Comma 3 2 6 6 2" xfId="11092"/>
    <cellStyle name="Comma 3 2 6 6 2 2" xfId="17631"/>
    <cellStyle name="Comma 3 2 6 6 3" xfId="14779"/>
    <cellStyle name="Comma 3 2 6 7" xfId="2563"/>
    <cellStyle name="Comma 3 2 6 7 2" xfId="14211"/>
    <cellStyle name="Comma 3 2 6 8" xfId="10524"/>
    <cellStyle name="Comma 3 2 6 8 2" xfId="17063"/>
    <cellStyle name="Comma 3 2 6 9" xfId="13639"/>
    <cellStyle name="Comma 3 2 7" xfId="550"/>
    <cellStyle name="Comma 3 2 7 2" xfId="1685"/>
    <cellStyle name="Comma 3 2 7 2 2" xfId="5105"/>
    <cellStyle name="Comma 3 2 7 2 2 2" xfId="11834"/>
    <cellStyle name="Comma 3 2 7 2 2 2 2" xfId="18373"/>
    <cellStyle name="Comma 3 2 7 2 2 3" xfId="15521"/>
    <cellStyle name="Comma 3 2 7 2 3" xfId="7377"/>
    <cellStyle name="Comma 3 2 7 2 3 2" xfId="12405"/>
    <cellStyle name="Comma 3 2 7 2 3 2 2" xfId="18944"/>
    <cellStyle name="Comma 3 2 7 2 3 3" xfId="16092"/>
    <cellStyle name="Comma 3 2 7 2 4" xfId="9649"/>
    <cellStyle name="Comma 3 2 7 2 4 2" xfId="12976"/>
    <cellStyle name="Comma 3 2 7 2 4 2 2" xfId="19515"/>
    <cellStyle name="Comma 3 2 7 2 4 3" xfId="16663"/>
    <cellStyle name="Comma 3 2 7 2 5" xfId="3306"/>
    <cellStyle name="Comma 3 2 7 2 5 2" xfId="11263"/>
    <cellStyle name="Comma 3 2 7 2 5 2 2" xfId="17802"/>
    <cellStyle name="Comma 3 2 7 2 5 3" xfId="14950"/>
    <cellStyle name="Comma 3 2 7 2 6" xfId="2731"/>
    <cellStyle name="Comma 3 2 7 2 6 2" xfId="14379"/>
    <cellStyle name="Comma 3 2 7 2 7" xfId="10692"/>
    <cellStyle name="Comma 3 2 7 2 7 2" xfId="17231"/>
    <cellStyle name="Comma 3 2 7 2 8" xfId="13810"/>
    <cellStyle name="Comma 3 2 7 3" xfId="3970"/>
    <cellStyle name="Comma 3 2 7 3 2" xfId="11549"/>
    <cellStyle name="Comma 3 2 7 3 2 2" xfId="18088"/>
    <cellStyle name="Comma 3 2 7 3 3" xfId="15236"/>
    <cellStyle name="Comma 3 2 7 4" xfId="6242"/>
    <cellStyle name="Comma 3 2 7 4 2" xfId="12120"/>
    <cellStyle name="Comma 3 2 7 4 2 2" xfId="18659"/>
    <cellStyle name="Comma 3 2 7 4 3" xfId="15807"/>
    <cellStyle name="Comma 3 2 7 5" xfId="8514"/>
    <cellStyle name="Comma 3 2 7 5 2" xfId="12691"/>
    <cellStyle name="Comma 3 2 7 5 2 2" xfId="19230"/>
    <cellStyle name="Comma 3 2 7 5 3" xfId="16378"/>
    <cellStyle name="Comma 3 2 7 6" xfId="3021"/>
    <cellStyle name="Comma 3 2 7 6 2" xfId="10978"/>
    <cellStyle name="Comma 3 2 7 6 2 2" xfId="17517"/>
    <cellStyle name="Comma 3 2 7 6 3" xfId="14665"/>
    <cellStyle name="Comma 3 2 7 7" xfId="2451"/>
    <cellStyle name="Comma 3 2 7 7 2" xfId="14099"/>
    <cellStyle name="Comma 3 2 7 8" xfId="10412"/>
    <cellStyle name="Comma 3 2 7 8 2" xfId="16951"/>
    <cellStyle name="Comma 3 2 7 9" xfId="13525"/>
    <cellStyle name="Comma 3 2 8" xfId="1231"/>
    <cellStyle name="Comma 3 2 8 2" xfId="4651"/>
    <cellStyle name="Comma 3 2 8 2 2" xfId="11720"/>
    <cellStyle name="Comma 3 2 8 2 2 2" xfId="18259"/>
    <cellStyle name="Comma 3 2 8 2 3" xfId="15407"/>
    <cellStyle name="Comma 3 2 8 3" xfId="6923"/>
    <cellStyle name="Comma 3 2 8 3 2" xfId="12291"/>
    <cellStyle name="Comma 3 2 8 3 2 2" xfId="18830"/>
    <cellStyle name="Comma 3 2 8 3 3" xfId="15978"/>
    <cellStyle name="Comma 3 2 8 4" xfId="9195"/>
    <cellStyle name="Comma 3 2 8 4 2" xfId="12862"/>
    <cellStyle name="Comma 3 2 8 4 2 2" xfId="19401"/>
    <cellStyle name="Comma 3 2 8 4 3" xfId="16549"/>
    <cellStyle name="Comma 3 2 8 5" xfId="3192"/>
    <cellStyle name="Comma 3 2 8 5 2" xfId="11149"/>
    <cellStyle name="Comma 3 2 8 5 2 2" xfId="17688"/>
    <cellStyle name="Comma 3 2 8 5 3" xfId="14836"/>
    <cellStyle name="Comma 3 2 8 6" xfId="2619"/>
    <cellStyle name="Comma 3 2 8 6 2" xfId="14267"/>
    <cellStyle name="Comma 3 2 8 7" xfId="10580"/>
    <cellStyle name="Comma 3 2 8 7 2" xfId="17119"/>
    <cellStyle name="Comma 3 2 8 8" xfId="13696"/>
    <cellStyle name="Comma 3 2 9" xfId="85"/>
    <cellStyle name="Comma 3 2 9 2" xfId="3516"/>
    <cellStyle name="Comma 3 2 9 2 2" xfId="15122"/>
    <cellStyle name="Comma 3 2 9 3" xfId="11435"/>
    <cellStyle name="Comma 3 2 9 3 2" xfId="17974"/>
    <cellStyle name="Comma 3 2 9 4" xfId="13410"/>
    <cellStyle name="Comma 3 3" xfId="169"/>
    <cellStyle name="Comma 3 3 10" xfId="2359"/>
    <cellStyle name="Comma 3 3 10 2" xfId="14007"/>
    <cellStyle name="Comma 3 3 11" xfId="10320"/>
    <cellStyle name="Comma 3 3 11 2" xfId="16859"/>
    <cellStyle name="Comma 3 3 12" xfId="13431"/>
    <cellStyle name="Comma 3 3 2" xfId="407"/>
    <cellStyle name="Comma 3 3 2 10" xfId="13489"/>
    <cellStyle name="Comma 3 3 2 2" xfId="861"/>
    <cellStyle name="Comma 3 3 2 2 2" xfId="1996"/>
    <cellStyle name="Comma 3 3 2 2 2 2" xfId="5416"/>
    <cellStyle name="Comma 3 3 2 2 2 2 2" xfId="11912"/>
    <cellStyle name="Comma 3 3 2 2 2 2 2 2" xfId="18451"/>
    <cellStyle name="Comma 3 3 2 2 2 2 3" xfId="15599"/>
    <cellStyle name="Comma 3 3 2 2 2 3" xfId="7688"/>
    <cellStyle name="Comma 3 3 2 2 2 3 2" xfId="12483"/>
    <cellStyle name="Comma 3 3 2 2 2 3 2 2" xfId="19022"/>
    <cellStyle name="Comma 3 3 2 2 2 3 3" xfId="16170"/>
    <cellStyle name="Comma 3 3 2 2 2 4" xfId="9960"/>
    <cellStyle name="Comma 3 3 2 2 2 4 2" xfId="13054"/>
    <cellStyle name="Comma 3 3 2 2 2 4 2 2" xfId="19593"/>
    <cellStyle name="Comma 3 3 2 2 2 4 3" xfId="16741"/>
    <cellStyle name="Comma 3 3 2 2 2 5" xfId="3384"/>
    <cellStyle name="Comma 3 3 2 2 2 5 2" xfId="11341"/>
    <cellStyle name="Comma 3 3 2 2 2 5 2 2" xfId="17880"/>
    <cellStyle name="Comma 3 3 2 2 2 5 3" xfId="15028"/>
    <cellStyle name="Comma 3 3 2 2 2 6" xfId="2808"/>
    <cellStyle name="Comma 3 3 2 2 2 6 2" xfId="14456"/>
    <cellStyle name="Comma 3 3 2 2 2 7" xfId="10769"/>
    <cellStyle name="Comma 3 3 2 2 2 7 2" xfId="17308"/>
    <cellStyle name="Comma 3 3 2 2 2 8" xfId="13888"/>
    <cellStyle name="Comma 3 3 2 2 3" xfId="4281"/>
    <cellStyle name="Comma 3 3 2 2 3 2" xfId="11627"/>
    <cellStyle name="Comma 3 3 2 2 3 2 2" xfId="18166"/>
    <cellStyle name="Comma 3 3 2 2 3 3" xfId="15314"/>
    <cellStyle name="Comma 3 3 2 2 4" xfId="6553"/>
    <cellStyle name="Comma 3 3 2 2 4 2" xfId="12198"/>
    <cellStyle name="Comma 3 3 2 2 4 2 2" xfId="18737"/>
    <cellStyle name="Comma 3 3 2 2 4 3" xfId="15885"/>
    <cellStyle name="Comma 3 3 2 2 5" xfId="8825"/>
    <cellStyle name="Comma 3 3 2 2 5 2" xfId="12769"/>
    <cellStyle name="Comma 3 3 2 2 5 2 2" xfId="19308"/>
    <cellStyle name="Comma 3 3 2 2 5 3" xfId="16456"/>
    <cellStyle name="Comma 3 3 2 2 6" xfId="3099"/>
    <cellStyle name="Comma 3 3 2 2 6 2" xfId="11056"/>
    <cellStyle name="Comma 3 3 2 2 6 2 2" xfId="17595"/>
    <cellStyle name="Comma 3 3 2 2 6 3" xfId="14743"/>
    <cellStyle name="Comma 3 3 2 2 7" xfId="2528"/>
    <cellStyle name="Comma 3 3 2 2 7 2" xfId="14176"/>
    <cellStyle name="Comma 3 3 2 2 8" xfId="10489"/>
    <cellStyle name="Comma 3 3 2 2 8 2" xfId="17028"/>
    <cellStyle name="Comma 3 3 2 2 9" xfId="13603"/>
    <cellStyle name="Comma 3 3 2 3" xfId="1542"/>
    <cellStyle name="Comma 3 3 2 3 2" xfId="4962"/>
    <cellStyle name="Comma 3 3 2 3 2 2" xfId="11798"/>
    <cellStyle name="Comma 3 3 2 3 2 2 2" xfId="18337"/>
    <cellStyle name="Comma 3 3 2 3 2 3" xfId="15485"/>
    <cellStyle name="Comma 3 3 2 3 3" xfId="7234"/>
    <cellStyle name="Comma 3 3 2 3 3 2" xfId="12369"/>
    <cellStyle name="Comma 3 3 2 3 3 2 2" xfId="18908"/>
    <cellStyle name="Comma 3 3 2 3 3 3" xfId="16056"/>
    <cellStyle name="Comma 3 3 2 3 4" xfId="9506"/>
    <cellStyle name="Comma 3 3 2 3 4 2" xfId="12940"/>
    <cellStyle name="Comma 3 3 2 3 4 2 2" xfId="19479"/>
    <cellStyle name="Comma 3 3 2 3 4 3" xfId="16627"/>
    <cellStyle name="Comma 3 3 2 3 5" xfId="3270"/>
    <cellStyle name="Comma 3 3 2 3 5 2" xfId="11227"/>
    <cellStyle name="Comma 3 3 2 3 5 2 2" xfId="17766"/>
    <cellStyle name="Comma 3 3 2 3 5 3" xfId="14914"/>
    <cellStyle name="Comma 3 3 2 3 6" xfId="2696"/>
    <cellStyle name="Comma 3 3 2 3 6 2" xfId="14344"/>
    <cellStyle name="Comma 3 3 2 3 7" xfId="10657"/>
    <cellStyle name="Comma 3 3 2 3 7 2" xfId="17196"/>
    <cellStyle name="Comma 3 3 2 3 8" xfId="13774"/>
    <cellStyle name="Comma 3 3 2 4" xfId="3827"/>
    <cellStyle name="Comma 3 3 2 4 2" xfId="11513"/>
    <cellStyle name="Comma 3 3 2 4 2 2" xfId="18052"/>
    <cellStyle name="Comma 3 3 2 4 3" xfId="15200"/>
    <cellStyle name="Comma 3 3 2 5" xfId="6099"/>
    <cellStyle name="Comma 3 3 2 5 2" xfId="12084"/>
    <cellStyle name="Comma 3 3 2 5 2 2" xfId="18623"/>
    <cellStyle name="Comma 3 3 2 5 3" xfId="15771"/>
    <cellStyle name="Comma 3 3 2 6" xfId="8371"/>
    <cellStyle name="Comma 3 3 2 6 2" xfId="12655"/>
    <cellStyle name="Comma 3 3 2 6 2 2" xfId="19194"/>
    <cellStyle name="Comma 3 3 2 6 3" xfId="16342"/>
    <cellStyle name="Comma 3 3 2 7" xfId="2985"/>
    <cellStyle name="Comma 3 3 2 7 2" xfId="10942"/>
    <cellStyle name="Comma 3 3 2 7 2 2" xfId="17481"/>
    <cellStyle name="Comma 3 3 2 7 3" xfId="14629"/>
    <cellStyle name="Comma 3 3 2 8" xfId="2416"/>
    <cellStyle name="Comma 3 3 2 8 2" xfId="14064"/>
    <cellStyle name="Comma 3 3 2 9" xfId="10377"/>
    <cellStyle name="Comma 3 3 2 9 2" xfId="16916"/>
    <cellStyle name="Comma 3 3 3" xfId="1088"/>
    <cellStyle name="Comma 3 3 3 2" xfId="2223"/>
    <cellStyle name="Comma 3 3 3 2 2" xfId="5643"/>
    <cellStyle name="Comma 3 3 3 2 2 2" xfId="11969"/>
    <cellStyle name="Comma 3 3 3 2 2 2 2" xfId="18508"/>
    <cellStyle name="Comma 3 3 3 2 2 3" xfId="15656"/>
    <cellStyle name="Comma 3 3 3 2 3" xfId="7915"/>
    <cellStyle name="Comma 3 3 3 2 3 2" xfId="12540"/>
    <cellStyle name="Comma 3 3 3 2 3 2 2" xfId="19079"/>
    <cellStyle name="Comma 3 3 3 2 3 3" xfId="16227"/>
    <cellStyle name="Comma 3 3 3 2 4" xfId="10187"/>
    <cellStyle name="Comma 3 3 3 2 4 2" xfId="13111"/>
    <cellStyle name="Comma 3 3 3 2 4 2 2" xfId="19650"/>
    <cellStyle name="Comma 3 3 3 2 4 3" xfId="16798"/>
    <cellStyle name="Comma 3 3 3 2 5" xfId="3441"/>
    <cellStyle name="Comma 3 3 3 2 5 2" xfId="11398"/>
    <cellStyle name="Comma 3 3 3 2 5 2 2" xfId="17937"/>
    <cellStyle name="Comma 3 3 3 2 5 3" xfId="15085"/>
    <cellStyle name="Comma 3 3 3 2 6" xfId="2864"/>
    <cellStyle name="Comma 3 3 3 2 6 2" xfId="14512"/>
    <cellStyle name="Comma 3 3 3 2 7" xfId="10825"/>
    <cellStyle name="Comma 3 3 3 2 7 2" xfId="17364"/>
    <cellStyle name="Comma 3 3 3 2 8" xfId="13945"/>
    <cellStyle name="Comma 3 3 3 3" xfId="4508"/>
    <cellStyle name="Comma 3 3 3 3 2" xfId="11684"/>
    <cellStyle name="Comma 3 3 3 3 2 2" xfId="18223"/>
    <cellStyle name="Comma 3 3 3 3 3" xfId="15371"/>
    <cellStyle name="Comma 3 3 3 4" xfId="6780"/>
    <cellStyle name="Comma 3 3 3 4 2" xfId="12255"/>
    <cellStyle name="Comma 3 3 3 4 2 2" xfId="18794"/>
    <cellStyle name="Comma 3 3 3 4 3" xfId="15942"/>
    <cellStyle name="Comma 3 3 3 5" xfId="9052"/>
    <cellStyle name="Comma 3 3 3 5 2" xfId="12826"/>
    <cellStyle name="Comma 3 3 3 5 2 2" xfId="19365"/>
    <cellStyle name="Comma 3 3 3 5 3" xfId="16513"/>
    <cellStyle name="Comma 3 3 3 6" xfId="3156"/>
    <cellStyle name="Comma 3 3 3 6 2" xfId="11113"/>
    <cellStyle name="Comma 3 3 3 6 2 2" xfId="17652"/>
    <cellStyle name="Comma 3 3 3 6 3" xfId="14800"/>
    <cellStyle name="Comma 3 3 3 7" xfId="2584"/>
    <cellStyle name="Comma 3 3 3 7 2" xfId="14232"/>
    <cellStyle name="Comma 3 3 3 8" xfId="10545"/>
    <cellStyle name="Comma 3 3 3 8 2" xfId="17084"/>
    <cellStyle name="Comma 3 3 3 9" xfId="13660"/>
    <cellStyle name="Comma 3 3 4" xfId="634"/>
    <cellStyle name="Comma 3 3 4 2" xfId="1769"/>
    <cellStyle name="Comma 3 3 4 2 2" xfId="5189"/>
    <cellStyle name="Comma 3 3 4 2 2 2" xfId="11855"/>
    <cellStyle name="Comma 3 3 4 2 2 2 2" xfId="18394"/>
    <cellStyle name="Comma 3 3 4 2 2 3" xfId="15542"/>
    <cellStyle name="Comma 3 3 4 2 3" xfId="7461"/>
    <cellStyle name="Comma 3 3 4 2 3 2" xfId="12426"/>
    <cellStyle name="Comma 3 3 4 2 3 2 2" xfId="18965"/>
    <cellStyle name="Comma 3 3 4 2 3 3" xfId="16113"/>
    <cellStyle name="Comma 3 3 4 2 4" xfId="9733"/>
    <cellStyle name="Comma 3 3 4 2 4 2" xfId="12997"/>
    <cellStyle name="Comma 3 3 4 2 4 2 2" xfId="19536"/>
    <cellStyle name="Comma 3 3 4 2 4 3" xfId="16684"/>
    <cellStyle name="Comma 3 3 4 2 5" xfId="3327"/>
    <cellStyle name="Comma 3 3 4 2 5 2" xfId="11284"/>
    <cellStyle name="Comma 3 3 4 2 5 2 2" xfId="17823"/>
    <cellStyle name="Comma 3 3 4 2 5 3" xfId="14971"/>
    <cellStyle name="Comma 3 3 4 2 6" xfId="2752"/>
    <cellStyle name="Comma 3 3 4 2 6 2" xfId="14400"/>
    <cellStyle name="Comma 3 3 4 2 7" xfId="10713"/>
    <cellStyle name="Comma 3 3 4 2 7 2" xfId="17252"/>
    <cellStyle name="Comma 3 3 4 2 8" xfId="13831"/>
    <cellStyle name="Comma 3 3 4 3" xfId="4054"/>
    <cellStyle name="Comma 3 3 4 3 2" xfId="11570"/>
    <cellStyle name="Comma 3 3 4 3 2 2" xfId="18109"/>
    <cellStyle name="Comma 3 3 4 3 3" xfId="15257"/>
    <cellStyle name="Comma 3 3 4 4" xfId="6326"/>
    <cellStyle name="Comma 3 3 4 4 2" xfId="12141"/>
    <cellStyle name="Comma 3 3 4 4 2 2" xfId="18680"/>
    <cellStyle name="Comma 3 3 4 4 3" xfId="15828"/>
    <cellStyle name="Comma 3 3 4 5" xfId="8598"/>
    <cellStyle name="Comma 3 3 4 5 2" xfId="12712"/>
    <cellStyle name="Comma 3 3 4 5 2 2" xfId="19251"/>
    <cellStyle name="Comma 3 3 4 5 3" xfId="16399"/>
    <cellStyle name="Comma 3 3 4 6" xfId="3042"/>
    <cellStyle name="Comma 3 3 4 6 2" xfId="10999"/>
    <cellStyle name="Comma 3 3 4 6 2 2" xfId="17538"/>
    <cellStyle name="Comma 3 3 4 6 3" xfId="14686"/>
    <cellStyle name="Comma 3 3 4 7" xfId="2472"/>
    <cellStyle name="Comma 3 3 4 7 2" xfId="14120"/>
    <cellStyle name="Comma 3 3 4 8" xfId="10433"/>
    <cellStyle name="Comma 3 3 4 8 2" xfId="16972"/>
    <cellStyle name="Comma 3 3 4 9" xfId="13546"/>
    <cellStyle name="Comma 3 3 5" xfId="1315"/>
    <cellStyle name="Comma 3 3 5 2" xfId="4735"/>
    <cellStyle name="Comma 3 3 5 2 2" xfId="11741"/>
    <cellStyle name="Comma 3 3 5 2 2 2" xfId="18280"/>
    <cellStyle name="Comma 3 3 5 2 3" xfId="15428"/>
    <cellStyle name="Comma 3 3 5 3" xfId="7007"/>
    <cellStyle name="Comma 3 3 5 3 2" xfId="12312"/>
    <cellStyle name="Comma 3 3 5 3 2 2" xfId="18851"/>
    <cellStyle name="Comma 3 3 5 3 3" xfId="15999"/>
    <cellStyle name="Comma 3 3 5 4" xfId="9279"/>
    <cellStyle name="Comma 3 3 5 4 2" xfId="12883"/>
    <cellStyle name="Comma 3 3 5 4 2 2" xfId="19422"/>
    <cellStyle name="Comma 3 3 5 4 3" xfId="16570"/>
    <cellStyle name="Comma 3 3 5 5" xfId="3213"/>
    <cellStyle name="Comma 3 3 5 5 2" xfId="11170"/>
    <cellStyle name="Comma 3 3 5 5 2 2" xfId="17709"/>
    <cellStyle name="Comma 3 3 5 5 3" xfId="14857"/>
    <cellStyle name="Comma 3 3 5 6" xfId="2640"/>
    <cellStyle name="Comma 3 3 5 6 2" xfId="14288"/>
    <cellStyle name="Comma 3 3 5 7" xfId="10601"/>
    <cellStyle name="Comma 3 3 5 7 2" xfId="17140"/>
    <cellStyle name="Comma 3 3 5 8" xfId="13717"/>
    <cellStyle name="Comma 3 3 6" xfId="3600"/>
    <cellStyle name="Comma 3 3 6 2" xfId="11456"/>
    <cellStyle name="Comma 3 3 6 2 2" xfId="17995"/>
    <cellStyle name="Comma 3 3 6 3" xfId="15143"/>
    <cellStyle name="Comma 3 3 7" xfId="5872"/>
    <cellStyle name="Comma 3 3 7 2" xfId="12027"/>
    <cellStyle name="Comma 3 3 7 2 2" xfId="18566"/>
    <cellStyle name="Comma 3 3 7 3" xfId="15714"/>
    <cellStyle name="Comma 3 3 8" xfId="8144"/>
    <cellStyle name="Comma 3 3 8 2" xfId="12598"/>
    <cellStyle name="Comma 3 3 8 2 2" xfId="19137"/>
    <cellStyle name="Comma 3 3 8 3" xfId="16285"/>
    <cellStyle name="Comma 3 3 9" xfId="2925"/>
    <cellStyle name="Comma 3 3 9 2" xfId="10884"/>
    <cellStyle name="Comma 3 3 9 2 2" xfId="17423"/>
    <cellStyle name="Comma 3 3 9 3" xfId="14571"/>
    <cellStyle name="Comma 3 4" xfId="113"/>
    <cellStyle name="Comma 3 4 10" xfId="2345"/>
    <cellStyle name="Comma 3 4 10 2" xfId="13993"/>
    <cellStyle name="Comma 3 4 11" xfId="10306"/>
    <cellStyle name="Comma 3 4 11 2" xfId="16845"/>
    <cellStyle name="Comma 3 4 12" xfId="13417"/>
    <cellStyle name="Comma 3 4 2" xfId="351"/>
    <cellStyle name="Comma 3 4 2 10" xfId="13475"/>
    <cellStyle name="Comma 3 4 2 2" xfId="805"/>
    <cellStyle name="Comma 3 4 2 2 2" xfId="1940"/>
    <cellStyle name="Comma 3 4 2 2 2 2" xfId="5360"/>
    <cellStyle name="Comma 3 4 2 2 2 2 2" xfId="11898"/>
    <cellStyle name="Comma 3 4 2 2 2 2 2 2" xfId="18437"/>
    <cellStyle name="Comma 3 4 2 2 2 2 3" xfId="15585"/>
    <cellStyle name="Comma 3 4 2 2 2 3" xfId="7632"/>
    <cellStyle name="Comma 3 4 2 2 2 3 2" xfId="12469"/>
    <cellStyle name="Comma 3 4 2 2 2 3 2 2" xfId="19008"/>
    <cellStyle name="Comma 3 4 2 2 2 3 3" xfId="16156"/>
    <cellStyle name="Comma 3 4 2 2 2 4" xfId="9904"/>
    <cellStyle name="Comma 3 4 2 2 2 4 2" xfId="13040"/>
    <cellStyle name="Comma 3 4 2 2 2 4 2 2" xfId="19579"/>
    <cellStyle name="Comma 3 4 2 2 2 4 3" xfId="16727"/>
    <cellStyle name="Comma 3 4 2 2 2 5" xfId="3370"/>
    <cellStyle name="Comma 3 4 2 2 2 5 2" xfId="11327"/>
    <cellStyle name="Comma 3 4 2 2 2 5 2 2" xfId="17866"/>
    <cellStyle name="Comma 3 4 2 2 2 5 3" xfId="15014"/>
    <cellStyle name="Comma 3 4 2 2 2 6" xfId="2794"/>
    <cellStyle name="Comma 3 4 2 2 2 6 2" xfId="14442"/>
    <cellStyle name="Comma 3 4 2 2 2 7" xfId="10755"/>
    <cellStyle name="Comma 3 4 2 2 2 7 2" xfId="17294"/>
    <cellStyle name="Comma 3 4 2 2 2 8" xfId="13874"/>
    <cellStyle name="Comma 3 4 2 2 3" xfId="4225"/>
    <cellStyle name="Comma 3 4 2 2 3 2" xfId="11613"/>
    <cellStyle name="Comma 3 4 2 2 3 2 2" xfId="18152"/>
    <cellStyle name="Comma 3 4 2 2 3 3" xfId="15300"/>
    <cellStyle name="Comma 3 4 2 2 4" xfId="6497"/>
    <cellStyle name="Comma 3 4 2 2 4 2" xfId="12184"/>
    <cellStyle name="Comma 3 4 2 2 4 2 2" xfId="18723"/>
    <cellStyle name="Comma 3 4 2 2 4 3" xfId="15871"/>
    <cellStyle name="Comma 3 4 2 2 5" xfId="8769"/>
    <cellStyle name="Comma 3 4 2 2 5 2" xfId="12755"/>
    <cellStyle name="Comma 3 4 2 2 5 2 2" xfId="19294"/>
    <cellStyle name="Comma 3 4 2 2 5 3" xfId="16442"/>
    <cellStyle name="Comma 3 4 2 2 6" xfId="3085"/>
    <cellStyle name="Comma 3 4 2 2 6 2" xfId="11042"/>
    <cellStyle name="Comma 3 4 2 2 6 2 2" xfId="17581"/>
    <cellStyle name="Comma 3 4 2 2 6 3" xfId="14729"/>
    <cellStyle name="Comma 3 4 2 2 7" xfId="2514"/>
    <cellStyle name="Comma 3 4 2 2 7 2" xfId="14162"/>
    <cellStyle name="Comma 3 4 2 2 8" xfId="10475"/>
    <cellStyle name="Comma 3 4 2 2 8 2" xfId="17014"/>
    <cellStyle name="Comma 3 4 2 2 9" xfId="13589"/>
    <cellStyle name="Comma 3 4 2 3" xfId="1486"/>
    <cellStyle name="Comma 3 4 2 3 2" xfId="4906"/>
    <cellStyle name="Comma 3 4 2 3 2 2" xfId="11784"/>
    <cellStyle name="Comma 3 4 2 3 2 2 2" xfId="18323"/>
    <cellStyle name="Comma 3 4 2 3 2 3" xfId="15471"/>
    <cellStyle name="Comma 3 4 2 3 3" xfId="7178"/>
    <cellStyle name="Comma 3 4 2 3 3 2" xfId="12355"/>
    <cellStyle name="Comma 3 4 2 3 3 2 2" xfId="18894"/>
    <cellStyle name="Comma 3 4 2 3 3 3" xfId="16042"/>
    <cellStyle name="Comma 3 4 2 3 4" xfId="9450"/>
    <cellStyle name="Comma 3 4 2 3 4 2" xfId="12926"/>
    <cellStyle name="Comma 3 4 2 3 4 2 2" xfId="19465"/>
    <cellStyle name="Comma 3 4 2 3 4 3" xfId="16613"/>
    <cellStyle name="Comma 3 4 2 3 5" xfId="3256"/>
    <cellStyle name="Comma 3 4 2 3 5 2" xfId="11213"/>
    <cellStyle name="Comma 3 4 2 3 5 2 2" xfId="17752"/>
    <cellStyle name="Comma 3 4 2 3 5 3" xfId="14900"/>
    <cellStyle name="Comma 3 4 2 3 6" xfId="2682"/>
    <cellStyle name="Comma 3 4 2 3 6 2" xfId="14330"/>
    <cellStyle name="Comma 3 4 2 3 7" xfId="10643"/>
    <cellStyle name="Comma 3 4 2 3 7 2" xfId="17182"/>
    <cellStyle name="Comma 3 4 2 3 8" xfId="13760"/>
    <cellStyle name="Comma 3 4 2 4" xfId="3771"/>
    <cellStyle name="Comma 3 4 2 4 2" xfId="11499"/>
    <cellStyle name="Comma 3 4 2 4 2 2" xfId="18038"/>
    <cellStyle name="Comma 3 4 2 4 3" xfId="15186"/>
    <cellStyle name="Comma 3 4 2 5" xfId="6043"/>
    <cellStyle name="Comma 3 4 2 5 2" xfId="12070"/>
    <cellStyle name="Comma 3 4 2 5 2 2" xfId="18609"/>
    <cellStyle name="Comma 3 4 2 5 3" xfId="15757"/>
    <cellStyle name="Comma 3 4 2 6" xfId="8315"/>
    <cellStyle name="Comma 3 4 2 6 2" xfId="12641"/>
    <cellStyle name="Comma 3 4 2 6 2 2" xfId="19180"/>
    <cellStyle name="Comma 3 4 2 6 3" xfId="16328"/>
    <cellStyle name="Comma 3 4 2 7" xfId="2971"/>
    <cellStyle name="Comma 3 4 2 7 2" xfId="10928"/>
    <cellStyle name="Comma 3 4 2 7 2 2" xfId="17467"/>
    <cellStyle name="Comma 3 4 2 7 3" xfId="14615"/>
    <cellStyle name="Comma 3 4 2 8" xfId="2402"/>
    <cellStyle name="Comma 3 4 2 8 2" xfId="14050"/>
    <cellStyle name="Comma 3 4 2 9" xfId="10363"/>
    <cellStyle name="Comma 3 4 2 9 2" xfId="16902"/>
    <cellStyle name="Comma 3 4 3" xfId="1032"/>
    <cellStyle name="Comma 3 4 3 2" xfId="2167"/>
    <cellStyle name="Comma 3 4 3 2 2" xfId="5587"/>
    <cellStyle name="Comma 3 4 3 2 2 2" xfId="11955"/>
    <cellStyle name="Comma 3 4 3 2 2 2 2" xfId="18494"/>
    <cellStyle name="Comma 3 4 3 2 2 3" xfId="15642"/>
    <cellStyle name="Comma 3 4 3 2 3" xfId="7859"/>
    <cellStyle name="Comma 3 4 3 2 3 2" xfId="12526"/>
    <cellStyle name="Comma 3 4 3 2 3 2 2" xfId="19065"/>
    <cellStyle name="Comma 3 4 3 2 3 3" xfId="16213"/>
    <cellStyle name="Comma 3 4 3 2 4" xfId="10131"/>
    <cellStyle name="Comma 3 4 3 2 4 2" xfId="13097"/>
    <cellStyle name="Comma 3 4 3 2 4 2 2" xfId="19636"/>
    <cellStyle name="Comma 3 4 3 2 4 3" xfId="16784"/>
    <cellStyle name="Comma 3 4 3 2 5" xfId="3427"/>
    <cellStyle name="Comma 3 4 3 2 5 2" xfId="11384"/>
    <cellStyle name="Comma 3 4 3 2 5 2 2" xfId="17923"/>
    <cellStyle name="Comma 3 4 3 2 5 3" xfId="15071"/>
    <cellStyle name="Comma 3 4 3 2 6" xfId="2850"/>
    <cellStyle name="Comma 3 4 3 2 6 2" xfId="14498"/>
    <cellStyle name="Comma 3 4 3 2 7" xfId="10811"/>
    <cellStyle name="Comma 3 4 3 2 7 2" xfId="17350"/>
    <cellStyle name="Comma 3 4 3 2 8" xfId="13931"/>
    <cellStyle name="Comma 3 4 3 3" xfId="4452"/>
    <cellStyle name="Comma 3 4 3 3 2" xfId="11670"/>
    <cellStyle name="Comma 3 4 3 3 2 2" xfId="18209"/>
    <cellStyle name="Comma 3 4 3 3 3" xfId="15357"/>
    <cellStyle name="Comma 3 4 3 4" xfId="6724"/>
    <cellStyle name="Comma 3 4 3 4 2" xfId="12241"/>
    <cellStyle name="Comma 3 4 3 4 2 2" xfId="18780"/>
    <cellStyle name="Comma 3 4 3 4 3" xfId="15928"/>
    <cellStyle name="Comma 3 4 3 5" xfId="8996"/>
    <cellStyle name="Comma 3 4 3 5 2" xfId="12812"/>
    <cellStyle name="Comma 3 4 3 5 2 2" xfId="19351"/>
    <cellStyle name="Comma 3 4 3 5 3" xfId="16499"/>
    <cellStyle name="Comma 3 4 3 6" xfId="3142"/>
    <cellStyle name="Comma 3 4 3 6 2" xfId="11099"/>
    <cellStyle name="Comma 3 4 3 6 2 2" xfId="17638"/>
    <cellStyle name="Comma 3 4 3 6 3" xfId="14786"/>
    <cellStyle name="Comma 3 4 3 7" xfId="2570"/>
    <cellStyle name="Comma 3 4 3 7 2" xfId="14218"/>
    <cellStyle name="Comma 3 4 3 8" xfId="10531"/>
    <cellStyle name="Comma 3 4 3 8 2" xfId="17070"/>
    <cellStyle name="Comma 3 4 3 9" xfId="13646"/>
    <cellStyle name="Comma 3 4 4" xfId="578"/>
    <cellStyle name="Comma 3 4 4 2" xfId="1713"/>
    <cellStyle name="Comma 3 4 4 2 2" xfId="5133"/>
    <cellStyle name="Comma 3 4 4 2 2 2" xfId="11841"/>
    <cellStyle name="Comma 3 4 4 2 2 2 2" xfId="18380"/>
    <cellStyle name="Comma 3 4 4 2 2 3" xfId="15528"/>
    <cellStyle name="Comma 3 4 4 2 3" xfId="7405"/>
    <cellStyle name="Comma 3 4 4 2 3 2" xfId="12412"/>
    <cellStyle name="Comma 3 4 4 2 3 2 2" xfId="18951"/>
    <cellStyle name="Comma 3 4 4 2 3 3" xfId="16099"/>
    <cellStyle name="Comma 3 4 4 2 4" xfId="9677"/>
    <cellStyle name="Comma 3 4 4 2 4 2" xfId="12983"/>
    <cellStyle name="Comma 3 4 4 2 4 2 2" xfId="19522"/>
    <cellStyle name="Comma 3 4 4 2 4 3" xfId="16670"/>
    <cellStyle name="Comma 3 4 4 2 5" xfId="3313"/>
    <cellStyle name="Comma 3 4 4 2 5 2" xfId="11270"/>
    <cellStyle name="Comma 3 4 4 2 5 2 2" xfId="17809"/>
    <cellStyle name="Comma 3 4 4 2 5 3" xfId="14957"/>
    <cellStyle name="Comma 3 4 4 2 6" xfId="2738"/>
    <cellStyle name="Comma 3 4 4 2 6 2" xfId="14386"/>
    <cellStyle name="Comma 3 4 4 2 7" xfId="10699"/>
    <cellStyle name="Comma 3 4 4 2 7 2" xfId="17238"/>
    <cellStyle name="Comma 3 4 4 2 8" xfId="13817"/>
    <cellStyle name="Comma 3 4 4 3" xfId="3998"/>
    <cellStyle name="Comma 3 4 4 3 2" xfId="11556"/>
    <cellStyle name="Comma 3 4 4 3 2 2" xfId="18095"/>
    <cellStyle name="Comma 3 4 4 3 3" xfId="15243"/>
    <cellStyle name="Comma 3 4 4 4" xfId="6270"/>
    <cellStyle name="Comma 3 4 4 4 2" xfId="12127"/>
    <cellStyle name="Comma 3 4 4 4 2 2" xfId="18666"/>
    <cellStyle name="Comma 3 4 4 4 3" xfId="15814"/>
    <cellStyle name="Comma 3 4 4 5" xfId="8542"/>
    <cellStyle name="Comma 3 4 4 5 2" xfId="12698"/>
    <cellStyle name="Comma 3 4 4 5 2 2" xfId="19237"/>
    <cellStyle name="Comma 3 4 4 5 3" xfId="16385"/>
    <cellStyle name="Comma 3 4 4 6" xfId="3028"/>
    <cellStyle name="Comma 3 4 4 6 2" xfId="10985"/>
    <cellStyle name="Comma 3 4 4 6 2 2" xfId="17524"/>
    <cellStyle name="Comma 3 4 4 6 3" xfId="14672"/>
    <cellStyle name="Comma 3 4 4 7" xfId="2458"/>
    <cellStyle name="Comma 3 4 4 7 2" xfId="14106"/>
    <cellStyle name="Comma 3 4 4 8" xfId="10419"/>
    <cellStyle name="Comma 3 4 4 8 2" xfId="16958"/>
    <cellStyle name="Comma 3 4 4 9" xfId="13532"/>
    <cellStyle name="Comma 3 4 5" xfId="1259"/>
    <cellStyle name="Comma 3 4 5 2" xfId="4679"/>
    <cellStyle name="Comma 3 4 5 2 2" xfId="11727"/>
    <cellStyle name="Comma 3 4 5 2 2 2" xfId="18266"/>
    <cellStyle name="Comma 3 4 5 2 3" xfId="15414"/>
    <cellStyle name="Comma 3 4 5 3" xfId="6951"/>
    <cellStyle name="Comma 3 4 5 3 2" xfId="12298"/>
    <cellStyle name="Comma 3 4 5 3 2 2" xfId="18837"/>
    <cellStyle name="Comma 3 4 5 3 3" xfId="15985"/>
    <cellStyle name="Comma 3 4 5 4" xfId="9223"/>
    <cellStyle name="Comma 3 4 5 4 2" xfId="12869"/>
    <cellStyle name="Comma 3 4 5 4 2 2" xfId="19408"/>
    <cellStyle name="Comma 3 4 5 4 3" xfId="16556"/>
    <cellStyle name="Comma 3 4 5 5" xfId="3199"/>
    <cellStyle name="Comma 3 4 5 5 2" xfId="11156"/>
    <cellStyle name="Comma 3 4 5 5 2 2" xfId="17695"/>
    <cellStyle name="Comma 3 4 5 5 3" xfId="14843"/>
    <cellStyle name="Comma 3 4 5 6" xfId="2626"/>
    <cellStyle name="Comma 3 4 5 6 2" xfId="14274"/>
    <cellStyle name="Comma 3 4 5 7" xfId="10587"/>
    <cellStyle name="Comma 3 4 5 7 2" xfId="17126"/>
    <cellStyle name="Comma 3 4 5 8" xfId="13703"/>
    <cellStyle name="Comma 3 4 6" xfId="3544"/>
    <cellStyle name="Comma 3 4 6 2" xfId="11442"/>
    <cellStyle name="Comma 3 4 6 2 2" xfId="17981"/>
    <cellStyle name="Comma 3 4 6 3" xfId="15129"/>
    <cellStyle name="Comma 3 4 7" xfId="5816"/>
    <cellStyle name="Comma 3 4 7 2" xfId="12013"/>
    <cellStyle name="Comma 3 4 7 2 2" xfId="18552"/>
    <cellStyle name="Comma 3 4 7 3" xfId="15700"/>
    <cellStyle name="Comma 3 4 8" xfId="8088"/>
    <cellStyle name="Comma 3 4 8 2" xfId="12584"/>
    <cellStyle name="Comma 3 4 8 2 2" xfId="19123"/>
    <cellStyle name="Comma 3 4 8 3" xfId="16271"/>
    <cellStyle name="Comma 3 4 9" xfId="2911"/>
    <cellStyle name="Comma 3 4 9 2" xfId="10870"/>
    <cellStyle name="Comma 3 4 9 2 2" xfId="17409"/>
    <cellStyle name="Comma 3 4 9 3" xfId="14557"/>
    <cellStyle name="Comma 3 5" xfId="239"/>
    <cellStyle name="Comma 3 5 10" xfId="2374"/>
    <cellStyle name="Comma 3 5 10 2" xfId="14022"/>
    <cellStyle name="Comma 3 5 11" xfId="10335"/>
    <cellStyle name="Comma 3 5 11 2" xfId="16874"/>
    <cellStyle name="Comma 3 5 12" xfId="13447"/>
    <cellStyle name="Comma 3 5 2" xfId="466"/>
    <cellStyle name="Comma 3 5 2 10" xfId="13504"/>
    <cellStyle name="Comma 3 5 2 2" xfId="920"/>
    <cellStyle name="Comma 3 5 2 2 2" xfId="2055"/>
    <cellStyle name="Comma 3 5 2 2 2 2" xfId="5475"/>
    <cellStyle name="Comma 3 5 2 2 2 2 2" xfId="11927"/>
    <cellStyle name="Comma 3 5 2 2 2 2 2 2" xfId="18466"/>
    <cellStyle name="Comma 3 5 2 2 2 2 3" xfId="15614"/>
    <cellStyle name="Comma 3 5 2 2 2 3" xfId="7747"/>
    <cellStyle name="Comma 3 5 2 2 2 3 2" xfId="12498"/>
    <cellStyle name="Comma 3 5 2 2 2 3 2 2" xfId="19037"/>
    <cellStyle name="Comma 3 5 2 2 2 3 3" xfId="16185"/>
    <cellStyle name="Comma 3 5 2 2 2 4" xfId="10019"/>
    <cellStyle name="Comma 3 5 2 2 2 4 2" xfId="13069"/>
    <cellStyle name="Comma 3 5 2 2 2 4 2 2" xfId="19608"/>
    <cellStyle name="Comma 3 5 2 2 2 4 3" xfId="16756"/>
    <cellStyle name="Comma 3 5 2 2 2 5" xfId="3399"/>
    <cellStyle name="Comma 3 5 2 2 2 5 2" xfId="11356"/>
    <cellStyle name="Comma 3 5 2 2 2 5 2 2" xfId="17895"/>
    <cellStyle name="Comma 3 5 2 2 2 5 3" xfId="15043"/>
    <cellStyle name="Comma 3 5 2 2 2 6" xfId="2822"/>
    <cellStyle name="Comma 3 5 2 2 2 6 2" xfId="14470"/>
    <cellStyle name="Comma 3 5 2 2 2 7" xfId="10783"/>
    <cellStyle name="Comma 3 5 2 2 2 7 2" xfId="17322"/>
    <cellStyle name="Comma 3 5 2 2 2 8" xfId="13903"/>
    <cellStyle name="Comma 3 5 2 2 3" xfId="4340"/>
    <cellStyle name="Comma 3 5 2 2 3 2" xfId="11642"/>
    <cellStyle name="Comma 3 5 2 2 3 2 2" xfId="18181"/>
    <cellStyle name="Comma 3 5 2 2 3 3" xfId="15329"/>
    <cellStyle name="Comma 3 5 2 2 4" xfId="6612"/>
    <cellStyle name="Comma 3 5 2 2 4 2" xfId="12213"/>
    <cellStyle name="Comma 3 5 2 2 4 2 2" xfId="18752"/>
    <cellStyle name="Comma 3 5 2 2 4 3" xfId="15900"/>
    <cellStyle name="Comma 3 5 2 2 5" xfId="8884"/>
    <cellStyle name="Comma 3 5 2 2 5 2" xfId="12784"/>
    <cellStyle name="Comma 3 5 2 2 5 2 2" xfId="19323"/>
    <cellStyle name="Comma 3 5 2 2 5 3" xfId="16471"/>
    <cellStyle name="Comma 3 5 2 2 6" xfId="3114"/>
    <cellStyle name="Comma 3 5 2 2 6 2" xfId="11071"/>
    <cellStyle name="Comma 3 5 2 2 6 2 2" xfId="17610"/>
    <cellStyle name="Comma 3 5 2 2 6 3" xfId="14758"/>
    <cellStyle name="Comma 3 5 2 2 7" xfId="2542"/>
    <cellStyle name="Comma 3 5 2 2 7 2" xfId="14190"/>
    <cellStyle name="Comma 3 5 2 2 8" xfId="10503"/>
    <cellStyle name="Comma 3 5 2 2 8 2" xfId="17042"/>
    <cellStyle name="Comma 3 5 2 2 9" xfId="13618"/>
    <cellStyle name="Comma 3 5 2 3" xfId="1601"/>
    <cellStyle name="Comma 3 5 2 3 2" xfId="5021"/>
    <cellStyle name="Comma 3 5 2 3 2 2" xfId="11813"/>
    <cellStyle name="Comma 3 5 2 3 2 2 2" xfId="18352"/>
    <cellStyle name="Comma 3 5 2 3 2 3" xfId="15500"/>
    <cellStyle name="Comma 3 5 2 3 3" xfId="7293"/>
    <cellStyle name="Comma 3 5 2 3 3 2" xfId="12384"/>
    <cellStyle name="Comma 3 5 2 3 3 2 2" xfId="18923"/>
    <cellStyle name="Comma 3 5 2 3 3 3" xfId="16071"/>
    <cellStyle name="Comma 3 5 2 3 4" xfId="9565"/>
    <cellStyle name="Comma 3 5 2 3 4 2" xfId="12955"/>
    <cellStyle name="Comma 3 5 2 3 4 2 2" xfId="19494"/>
    <cellStyle name="Comma 3 5 2 3 4 3" xfId="16642"/>
    <cellStyle name="Comma 3 5 2 3 5" xfId="3285"/>
    <cellStyle name="Comma 3 5 2 3 5 2" xfId="11242"/>
    <cellStyle name="Comma 3 5 2 3 5 2 2" xfId="17781"/>
    <cellStyle name="Comma 3 5 2 3 5 3" xfId="14929"/>
    <cellStyle name="Comma 3 5 2 3 6" xfId="2710"/>
    <cellStyle name="Comma 3 5 2 3 6 2" xfId="14358"/>
    <cellStyle name="Comma 3 5 2 3 7" xfId="10671"/>
    <cellStyle name="Comma 3 5 2 3 7 2" xfId="17210"/>
    <cellStyle name="Comma 3 5 2 3 8" xfId="13789"/>
    <cellStyle name="Comma 3 5 2 4" xfId="3886"/>
    <cellStyle name="Comma 3 5 2 4 2" xfId="11528"/>
    <cellStyle name="Comma 3 5 2 4 2 2" xfId="18067"/>
    <cellStyle name="Comma 3 5 2 4 3" xfId="15215"/>
    <cellStyle name="Comma 3 5 2 5" xfId="6158"/>
    <cellStyle name="Comma 3 5 2 5 2" xfId="12099"/>
    <cellStyle name="Comma 3 5 2 5 2 2" xfId="18638"/>
    <cellStyle name="Comma 3 5 2 5 3" xfId="15786"/>
    <cellStyle name="Comma 3 5 2 6" xfId="8430"/>
    <cellStyle name="Comma 3 5 2 6 2" xfId="12670"/>
    <cellStyle name="Comma 3 5 2 6 2 2" xfId="19209"/>
    <cellStyle name="Comma 3 5 2 6 3" xfId="16357"/>
    <cellStyle name="Comma 3 5 2 7" xfId="3000"/>
    <cellStyle name="Comma 3 5 2 7 2" xfId="10957"/>
    <cellStyle name="Comma 3 5 2 7 2 2" xfId="17496"/>
    <cellStyle name="Comma 3 5 2 7 3" xfId="14644"/>
    <cellStyle name="Comma 3 5 2 8" xfId="2430"/>
    <cellStyle name="Comma 3 5 2 8 2" xfId="14078"/>
    <cellStyle name="Comma 3 5 2 9" xfId="10391"/>
    <cellStyle name="Comma 3 5 2 9 2" xfId="16930"/>
    <cellStyle name="Comma 3 5 3" xfId="1147"/>
    <cellStyle name="Comma 3 5 3 2" xfId="2282"/>
    <cellStyle name="Comma 3 5 3 2 2" xfId="5702"/>
    <cellStyle name="Comma 3 5 3 2 2 2" xfId="11984"/>
    <cellStyle name="Comma 3 5 3 2 2 2 2" xfId="18523"/>
    <cellStyle name="Comma 3 5 3 2 2 3" xfId="15671"/>
    <cellStyle name="Comma 3 5 3 2 3" xfId="7974"/>
    <cellStyle name="Comma 3 5 3 2 3 2" xfId="12555"/>
    <cellStyle name="Comma 3 5 3 2 3 2 2" xfId="19094"/>
    <cellStyle name="Comma 3 5 3 2 3 3" xfId="16242"/>
    <cellStyle name="Comma 3 5 3 2 4" xfId="10246"/>
    <cellStyle name="Comma 3 5 3 2 4 2" xfId="13126"/>
    <cellStyle name="Comma 3 5 3 2 4 2 2" xfId="19665"/>
    <cellStyle name="Comma 3 5 3 2 4 3" xfId="16813"/>
    <cellStyle name="Comma 3 5 3 2 5" xfId="3456"/>
    <cellStyle name="Comma 3 5 3 2 5 2" xfId="11413"/>
    <cellStyle name="Comma 3 5 3 2 5 2 2" xfId="17952"/>
    <cellStyle name="Comma 3 5 3 2 5 3" xfId="15100"/>
    <cellStyle name="Comma 3 5 3 2 6" xfId="2878"/>
    <cellStyle name="Comma 3 5 3 2 6 2" xfId="14526"/>
    <cellStyle name="Comma 3 5 3 2 7" xfId="10839"/>
    <cellStyle name="Comma 3 5 3 2 7 2" xfId="17378"/>
    <cellStyle name="Comma 3 5 3 2 8" xfId="13960"/>
    <cellStyle name="Comma 3 5 3 3" xfId="4567"/>
    <cellStyle name="Comma 3 5 3 3 2" xfId="11699"/>
    <cellStyle name="Comma 3 5 3 3 2 2" xfId="18238"/>
    <cellStyle name="Comma 3 5 3 3 3" xfId="15386"/>
    <cellStyle name="Comma 3 5 3 4" xfId="6839"/>
    <cellStyle name="Comma 3 5 3 4 2" xfId="12270"/>
    <cellStyle name="Comma 3 5 3 4 2 2" xfId="18809"/>
    <cellStyle name="Comma 3 5 3 4 3" xfId="15957"/>
    <cellStyle name="Comma 3 5 3 5" xfId="9111"/>
    <cellStyle name="Comma 3 5 3 5 2" xfId="12841"/>
    <cellStyle name="Comma 3 5 3 5 2 2" xfId="19380"/>
    <cellStyle name="Comma 3 5 3 5 3" xfId="16528"/>
    <cellStyle name="Comma 3 5 3 6" xfId="3171"/>
    <cellStyle name="Comma 3 5 3 6 2" xfId="11128"/>
    <cellStyle name="Comma 3 5 3 6 2 2" xfId="17667"/>
    <cellStyle name="Comma 3 5 3 6 3" xfId="14815"/>
    <cellStyle name="Comma 3 5 3 7" xfId="2598"/>
    <cellStyle name="Comma 3 5 3 7 2" xfId="14246"/>
    <cellStyle name="Comma 3 5 3 8" xfId="10559"/>
    <cellStyle name="Comma 3 5 3 8 2" xfId="17098"/>
    <cellStyle name="Comma 3 5 3 9" xfId="13675"/>
    <cellStyle name="Comma 3 5 4" xfId="693"/>
    <cellStyle name="Comma 3 5 4 2" xfId="1828"/>
    <cellStyle name="Comma 3 5 4 2 2" xfId="5248"/>
    <cellStyle name="Comma 3 5 4 2 2 2" xfId="11870"/>
    <cellStyle name="Comma 3 5 4 2 2 2 2" xfId="18409"/>
    <cellStyle name="Comma 3 5 4 2 2 3" xfId="15557"/>
    <cellStyle name="Comma 3 5 4 2 3" xfId="7520"/>
    <cellStyle name="Comma 3 5 4 2 3 2" xfId="12441"/>
    <cellStyle name="Comma 3 5 4 2 3 2 2" xfId="18980"/>
    <cellStyle name="Comma 3 5 4 2 3 3" xfId="16128"/>
    <cellStyle name="Comma 3 5 4 2 4" xfId="9792"/>
    <cellStyle name="Comma 3 5 4 2 4 2" xfId="13012"/>
    <cellStyle name="Comma 3 5 4 2 4 2 2" xfId="19551"/>
    <cellStyle name="Comma 3 5 4 2 4 3" xfId="16699"/>
    <cellStyle name="Comma 3 5 4 2 5" xfId="3342"/>
    <cellStyle name="Comma 3 5 4 2 5 2" xfId="11299"/>
    <cellStyle name="Comma 3 5 4 2 5 2 2" xfId="17838"/>
    <cellStyle name="Comma 3 5 4 2 5 3" xfId="14986"/>
    <cellStyle name="Comma 3 5 4 2 6" xfId="2766"/>
    <cellStyle name="Comma 3 5 4 2 6 2" xfId="14414"/>
    <cellStyle name="Comma 3 5 4 2 7" xfId="10727"/>
    <cellStyle name="Comma 3 5 4 2 7 2" xfId="17266"/>
    <cellStyle name="Comma 3 5 4 2 8" xfId="13846"/>
    <cellStyle name="Comma 3 5 4 3" xfId="4113"/>
    <cellStyle name="Comma 3 5 4 3 2" xfId="11585"/>
    <cellStyle name="Comma 3 5 4 3 2 2" xfId="18124"/>
    <cellStyle name="Comma 3 5 4 3 3" xfId="15272"/>
    <cellStyle name="Comma 3 5 4 4" xfId="6385"/>
    <cellStyle name="Comma 3 5 4 4 2" xfId="12156"/>
    <cellStyle name="Comma 3 5 4 4 2 2" xfId="18695"/>
    <cellStyle name="Comma 3 5 4 4 3" xfId="15843"/>
    <cellStyle name="Comma 3 5 4 5" xfId="8657"/>
    <cellStyle name="Comma 3 5 4 5 2" xfId="12727"/>
    <cellStyle name="Comma 3 5 4 5 2 2" xfId="19266"/>
    <cellStyle name="Comma 3 5 4 5 3" xfId="16414"/>
    <cellStyle name="Comma 3 5 4 6" xfId="3057"/>
    <cellStyle name="Comma 3 5 4 6 2" xfId="11014"/>
    <cellStyle name="Comma 3 5 4 6 2 2" xfId="17553"/>
    <cellStyle name="Comma 3 5 4 6 3" xfId="14701"/>
    <cellStyle name="Comma 3 5 4 7" xfId="2486"/>
    <cellStyle name="Comma 3 5 4 7 2" xfId="14134"/>
    <cellStyle name="Comma 3 5 4 8" xfId="10447"/>
    <cellStyle name="Comma 3 5 4 8 2" xfId="16986"/>
    <cellStyle name="Comma 3 5 4 9" xfId="13561"/>
    <cellStyle name="Comma 3 5 5" xfId="1374"/>
    <cellStyle name="Comma 3 5 5 2" xfId="4794"/>
    <cellStyle name="Comma 3 5 5 2 2" xfId="11756"/>
    <cellStyle name="Comma 3 5 5 2 2 2" xfId="18295"/>
    <cellStyle name="Comma 3 5 5 2 3" xfId="15443"/>
    <cellStyle name="Comma 3 5 5 3" xfId="7066"/>
    <cellStyle name="Comma 3 5 5 3 2" xfId="12327"/>
    <cellStyle name="Comma 3 5 5 3 2 2" xfId="18866"/>
    <cellStyle name="Comma 3 5 5 3 3" xfId="16014"/>
    <cellStyle name="Comma 3 5 5 4" xfId="9338"/>
    <cellStyle name="Comma 3 5 5 4 2" xfId="12898"/>
    <cellStyle name="Comma 3 5 5 4 2 2" xfId="19437"/>
    <cellStyle name="Comma 3 5 5 4 3" xfId="16585"/>
    <cellStyle name="Comma 3 5 5 5" xfId="3228"/>
    <cellStyle name="Comma 3 5 5 5 2" xfId="11185"/>
    <cellStyle name="Comma 3 5 5 5 2 2" xfId="17724"/>
    <cellStyle name="Comma 3 5 5 5 3" xfId="14872"/>
    <cellStyle name="Comma 3 5 5 6" xfId="2654"/>
    <cellStyle name="Comma 3 5 5 6 2" xfId="14302"/>
    <cellStyle name="Comma 3 5 5 7" xfId="10615"/>
    <cellStyle name="Comma 3 5 5 7 2" xfId="17154"/>
    <cellStyle name="Comma 3 5 5 8" xfId="13732"/>
    <cellStyle name="Comma 3 5 6" xfId="3659"/>
    <cellStyle name="Comma 3 5 6 2" xfId="11471"/>
    <cellStyle name="Comma 3 5 6 2 2" xfId="18010"/>
    <cellStyle name="Comma 3 5 6 3" xfId="15158"/>
    <cellStyle name="Comma 3 5 7" xfId="5931"/>
    <cellStyle name="Comma 3 5 7 2" xfId="12042"/>
    <cellStyle name="Comma 3 5 7 2 2" xfId="18581"/>
    <cellStyle name="Comma 3 5 7 3" xfId="15729"/>
    <cellStyle name="Comma 3 5 8" xfId="8203"/>
    <cellStyle name="Comma 3 5 8 2" xfId="12613"/>
    <cellStyle name="Comma 3 5 8 2 2" xfId="19152"/>
    <cellStyle name="Comma 3 5 8 3" xfId="16300"/>
    <cellStyle name="Comma 3 5 9" xfId="2943"/>
    <cellStyle name="Comma 3 5 9 2" xfId="10900"/>
    <cellStyle name="Comma 3 5 9 2 2" xfId="17439"/>
    <cellStyle name="Comma 3 5 9 3" xfId="14587"/>
    <cellStyle name="Comma 3 6" xfId="295"/>
    <cellStyle name="Comma 3 6 10" xfId="13461"/>
    <cellStyle name="Comma 3 6 2" xfId="749"/>
    <cellStyle name="Comma 3 6 2 2" xfId="1884"/>
    <cellStyle name="Comma 3 6 2 2 2" xfId="5304"/>
    <cellStyle name="Comma 3 6 2 2 2 2" xfId="11884"/>
    <cellStyle name="Comma 3 6 2 2 2 2 2" xfId="18423"/>
    <cellStyle name="Comma 3 6 2 2 2 3" xfId="15571"/>
    <cellStyle name="Comma 3 6 2 2 3" xfId="7576"/>
    <cellStyle name="Comma 3 6 2 2 3 2" xfId="12455"/>
    <cellStyle name="Comma 3 6 2 2 3 2 2" xfId="18994"/>
    <cellStyle name="Comma 3 6 2 2 3 3" xfId="16142"/>
    <cellStyle name="Comma 3 6 2 2 4" xfId="9848"/>
    <cellStyle name="Comma 3 6 2 2 4 2" xfId="13026"/>
    <cellStyle name="Comma 3 6 2 2 4 2 2" xfId="19565"/>
    <cellStyle name="Comma 3 6 2 2 4 3" xfId="16713"/>
    <cellStyle name="Comma 3 6 2 2 5" xfId="3356"/>
    <cellStyle name="Comma 3 6 2 2 5 2" xfId="11313"/>
    <cellStyle name="Comma 3 6 2 2 5 2 2" xfId="17852"/>
    <cellStyle name="Comma 3 6 2 2 5 3" xfId="15000"/>
    <cellStyle name="Comma 3 6 2 2 6" xfId="2780"/>
    <cellStyle name="Comma 3 6 2 2 6 2" xfId="14428"/>
    <cellStyle name="Comma 3 6 2 2 7" xfId="10741"/>
    <cellStyle name="Comma 3 6 2 2 7 2" xfId="17280"/>
    <cellStyle name="Comma 3 6 2 2 8" xfId="13860"/>
    <cellStyle name="Comma 3 6 2 3" xfId="4169"/>
    <cellStyle name="Comma 3 6 2 3 2" xfId="11599"/>
    <cellStyle name="Comma 3 6 2 3 2 2" xfId="18138"/>
    <cellStyle name="Comma 3 6 2 3 3" xfId="15286"/>
    <cellStyle name="Comma 3 6 2 4" xfId="6441"/>
    <cellStyle name="Comma 3 6 2 4 2" xfId="12170"/>
    <cellStyle name="Comma 3 6 2 4 2 2" xfId="18709"/>
    <cellStyle name="Comma 3 6 2 4 3" xfId="15857"/>
    <cellStyle name="Comma 3 6 2 5" xfId="8713"/>
    <cellStyle name="Comma 3 6 2 5 2" xfId="12741"/>
    <cellStyle name="Comma 3 6 2 5 2 2" xfId="19280"/>
    <cellStyle name="Comma 3 6 2 5 3" xfId="16428"/>
    <cellStyle name="Comma 3 6 2 6" xfId="3071"/>
    <cellStyle name="Comma 3 6 2 6 2" xfId="11028"/>
    <cellStyle name="Comma 3 6 2 6 2 2" xfId="17567"/>
    <cellStyle name="Comma 3 6 2 6 3" xfId="14715"/>
    <cellStyle name="Comma 3 6 2 7" xfId="2500"/>
    <cellStyle name="Comma 3 6 2 7 2" xfId="14148"/>
    <cellStyle name="Comma 3 6 2 8" xfId="10461"/>
    <cellStyle name="Comma 3 6 2 8 2" xfId="17000"/>
    <cellStyle name="Comma 3 6 2 9" xfId="13575"/>
    <cellStyle name="Comma 3 6 3" xfId="1430"/>
    <cellStyle name="Comma 3 6 3 2" xfId="4850"/>
    <cellStyle name="Comma 3 6 3 2 2" xfId="11770"/>
    <cellStyle name="Comma 3 6 3 2 2 2" xfId="18309"/>
    <cellStyle name="Comma 3 6 3 2 3" xfId="15457"/>
    <cellStyle name="Comma 3 6 3 3" xfId="7122"/>
    <cellStyle name="Comma 3 6 3 3 2" xfId="12341"/>
    <cellStyle name="Comma 3 6 3 3 2 2" xfId="18880"/>
    <cellStyle name="Comma 3 6 3 3 3" xfId="16028"/>
    <cellStyle name="Comma 3 6 3 4" xfId="9394"/>
    <cellStyle name="Comma 3 6 3 4 2" xfId="12912"/>
    <cellStyle name="Comma 3 6 3 4 2 2" xfId="19451"/>
    <cellStyle name="Comma 3 6 3 4 3" xfId="16599"/>
    <cellStyle name="Comma 3 6 3 5" xfId="3242"/>
    <cellStyle name="Comma 3 6 3 5 2" xfId="11199"/>
    <cellStyle name="Comma 3 6 3 5 2 2" xfId="17738"/>
    <cellStyle name="Comma 3 6 3 5 3" xfId="14886"/>
    <cellStyle name="Comma 3 6 3 6" xfId="2668"/>
    <cellStyle name="Comma 3 6 3 6 2" xfId="14316"/>
    <cellStyle name="Comma 3 6 3 7" xfId="10629"/>
    <cellStyle name="Comma 3 6 3 7 2" xfId="17168"/>
    <cellStyle name="Comma 3 6 3 8" xfId="13746"/>
    <cellStyle name="Comma 3 6 4" xfId="3715"/>
    <cellStyle name="Comma 3 6 4 2" xfId="11485"/>
    <cellStyle name="Comma 3 6 4 2 2" xfId="18024"/>
    <cellStyle name="Comma 3 6 4 3" xfId="15172"/>
    <cellStyle name="Comma 3 6 5" xfId="5987"/>
    <cellStyle name="Comma 3 6 5 2" xfId="12056"/>
    <cellStyle name="Comma 3 6 5 2 2" xfId="18595"/>
    <cellStyle name="Comma 3 6 5 3" xfId="15743"/>
    <cellStyle name="Comma 3 6 6" xfId="8259"/>
    <cellStyle name="Comma 3 6 6 2" xfId="12627"/>
    <cellStyle name="Comma 3 6 6 2 2" xfId="19166"/>
    <cellStyle name="Comma 3 6 6 3" xfId="16314"/>
    <cellStyle name="Comma 3 6 7" xfId="2957"/>
    <cellStyle name="Comma 3 6 7 2" xfId="10914"/>
    <cellStyle name="Comma 3 6 7 2 2" xfId="17453"/>
    <cellStyle name="Comma 3 6 7 3" xfId="14601"/>
    <cellStyle name="Comma 3 6 8" xfId="2388"/>
    <cellStyle name="Comma 3 6 8 2" xfId="14036"/>
    <cellStyle name="Comma 3 6 9" xfId="10349"/>
    <cellStyle name="Comma 3 6 9 2" xfId="16888"/>
    <cellStyle name="Comma 3 7" xfId="976"/>
    <cellStyle name="Comma 3 7 2" xfId="2111"/>
    <cellStyle name="Comma 3 7 2 2" xfId="5531"/>
    <cellStyle name="Comma 3 7 2 2 2" xfId="11941"/>
    <cellStyle name="Comma 3 7 2 2 2 2" xfId="18480"/>
    <cellStyle name="Comma 3 7 2 2 3" xfId="15628"/>
    <cellStyle name="Comma 3 7 2 3" xfId="7803"/>
    <cellStyle name="Comma 3 7 2 3 2" xfId="12512"/>
    <cellStyle name="Comma 3 7 2 3 2 2" xfId="19051"/>
    <cellStyle name="Comma 3 7 2 3 3" xfId="16199"/>
    <cellStyle name="Comma 3 7 2 4" xfId="10075"/>
    <cellStyle name="Comma 3 7 2 4 2" xfId="13083"/>
    <cellStyle name="Comma 3 7 2 4 2 2" xfId="19622"/>
    <cellStyle name="Comma 3 7 2 4 3" xfId="16770"/>
    <cellStyle name="Comma 3 7 2 5" xfId="3413"/>
    <cellStyle name="Comma 3 7 2 5 2" xfId="11370"/>
    <cellStyle name="Comma 3 7 2 5 2 2" xfId="17909"/>
    <cellStyle name="Comma 3 7 2 5 3" xfId="15057"/>
    <cellStyle name="Comma 3 7 2 6" xfId="2836"/>
    <cellStyle name="Comma 3 7 2 6 2" xfId="14484"/>
    <cellStyle name="Comma 3 7 2 7" xfId="10797"/>
    <cellStyle name="Comma 3 7 2 7 2" xfId="17336"/>
    <cellStyle name="Comma 3 7 2 8" xfId="13917"/>
    <cellStyle name="Comma 3 7 3" xfId="4396"/>
    <cellStyle name="Comma 3 7 3 2" xfId="11656"/>
    <cellStyle name="Comma 3 7 3 2 2" xfId="18195"/>
    <cellStyle name="Comma 3 7 3 3" xfId="15343"/>
    <cellStyle name="Comma 3 7 4" xfId="6668"/>
    <cellStyle name="Comma 3 7 4 2" xfId="12227"/>
    <cellStyle name="Comma 3 7 4 2 2" xfId="18766"/>
    <cellStyle name="Comma 3 7 4 3" xfId="15914"/>
    <cellStyle name="Comma 3 7 5" xfId="8940"/>
    <cellStyle name="Comma 3 7 5 2" xfId="12798"/>
    <cellStyle name="Comma 3 7 5 2 2" xfId="19337"/>
    <cellStyle name="Comma 3 7 5 3" xfId="16485"/>
    <cellStyle name="Comma 3 7 6" xfId="3128"/>
    <cellStyle name="Comma 3 7 6 2" xfId="11085"/>
    <cellStyle name="Comma 3 7 6 2 2" xfId="17624"/>
    <cellStyle name="Comma 3 7 6 3" xfId="14772"/>
    <cellStyle name="Comma 3 7 7" xfId="2556"/>
    <cellStyle name="Comma 3 7 7 2" xfId="14204"/>
    <cellStyle name="Comma 3 7 8" xfId="10517"/>
    <cellStyle name="Comma 3 7 8 2" xfId="17056"/>
    <cellStyle name="Comma 3 7 9" xfId="13632"/>
    <cellStyle name="Comma 3 8" xfId="522"/>
    <cellStyle name="Comma 3 8 2" xfId="1657"/>
    <cellStyle name="Comma 3 8 2 2" xfId="5077"/>
    <cellStyle name="Comma 3 8 2 2 2" xfId="11827"/>
    <cellStyle name="Comma 3 8 2 2 2 2" xfId="18366"/>
    <cellStyle name="Comma 3 8 2 2 3" xfId="15514"/>
    <cellStyle name="Comma 3 8 2 3" xfId="7349"/>
    <cellStyle name="Comma 3 8 2 3 2" xfId="12398"/>
    <cellStyle name="Comma 3 8 2 3 2 2" xfId="18937"/>
    <cellStyle name="Comma 3 8 2 3 3" xfId="16085"/>
    <cellStyle name="Comma 3 8 2 4" xfId="9621"/>
    <cellStyle name="Comma 3 8 2 4 2" xfId="12969"/>
    <cellStyle name="Comma 3 8 2 4 2 2" xfId="19508"/>
    <cellStyle name="Comma 3 8 2 4 3" xfId="16656"/>
    <cellStyle name="Comma 3 8 2 5" xfId="3299"/>
    <cellStyle name="Comma 3 8 2 5 2" xfId="11256"/>
    <cellStyle name="Comma 3 8 2 5 2 2" xfId="17795"/>
    <cellStyle name="Comma 3 8 2 5 3" xfId="14943"/>
    <cellStyle name="Comma 3 8 2 6" xfId="2724"/>
    <cellStyle name="Comma 3 8 2 6 2" xfId="14372"/>
    <cellStyle name="Comma 3 8 2 7" xfId="10685"/>
    <cellStyle name="Comma 3 8 2 7 2" xfId="17224"/>
    <cellStyle name="Comma 3 8 2 8" xfId="13803"/>
    <cellStyle name="Comma 3 8 3" xfId="3942"/>
    <cellStyle name="Comma 3 8 3 2" xfId="11542"/>
    <cellStyle name="Comma 3 8 3 2 2" xfId="18081"/>
    <cellStyle name="Comma 3 8 3 3" xfId="15229"/>
    <cellStyle name="Comma 3 8 4" xfId="6214"/>
    <cellStyle name="Comma 3 8 4 2" xfId="12113"/>
    <cellStyle name="Comma 3 8 4 2 2" xfId="18652"/>
    <cellStyle name="Comma 3 8 4 3" xfId="15800"/>
    <cellStyle name="Comma 3 8 5" xfId="8486"/>
    <cellStyle name="Comma 3 8 5 2" xfId="12684"/>
    <cellStyle name="Comma 3 8 5 2 2" xfId="19223"/>
    <cellStyle name="Comma 3 8 5 3" xfId="16371"/>
    <cellStyle name="Comma 3 8 6" xfId="3014"/>
    <cellStyle name="Comma 3 8 6 2" xfId="10971"/>
    <cellStyle name="Comma 3 8 6 2 2" xfId="17510"/>
    <cellStyle name="Comma 3 8 6 3" xfId="14658"/>
    <cellStyle name="Comma 3 8 7" xfId="2444"/>
    <cellStyle name="Comma 3 8 7 2" xfId="14092"/>
    <cellStyle name="Comma 3 8 8" xfId="10405"/>
    <cellStyle name="Comma 3 8 8 2" xfId="16944"/>
    <cellStyle name="Comma 3 8 9" xfId="13518"/>
    <cellStyle name="Comma 3 9" xfId="1203"/>
    <cellStyle name="Comma 3 9 2" xfId="4623"/>
    <cellStyle name="Comma 3 9 2 2" xfId="11713"/>
    <cellStyle name="Comma 3 9 2 2 2" xfId="18252"/>
    <cellStyle name="Comma 3 9 2 3" xfId="15400"/>
    <cellStyle name="Comma 3 9 3" xfId="6895"/>
    <cellStyle name="Comma 3 9 3 2" xfId="12284"/>
    <cellStyle name="Comma 3 9 3 2 2" xfId="18823"/>
    <cellStyle name="Comma 3 9 3 3" xfId="15971"/>
    <cellStyle name="Comma 3 9 4" xfId="9167"/>
    <cellStyle name="Comma 3 9 4 2" xfId="12855"/>
    <cellStyle name="Comma 3 9 4 2 2" xfId="19394"/>
    <cellStyle name="Comma 3 9 4 3" xfId="16542"/>
    <cellStyle name="Comma 3 9 5" xfId="3185"/>
    <cellStyle name="Comma 3 9 5 2" xfId="11142"/>
    <cellStyle name="Comma 3 9 5 2 2" xfId="17681"/>
    <cellStyle name="Comma 3 9 5 3" xfId="14829"/>
    <cellStyle name="Comma 3 9 6" xfId="2612"/>
    <cellStyle name="Comma 3 9 6 2" xfId="14260"/>
    <cellStyle name="Comma 3 9 7" xfId="10573"/>
    <cellStyle name="Comma 3 9 7 2" xfId="17112"/>
    <cellStyle name="Comma 3 9 8" xfId="13689"/>
    <cellStyle name="Comma 30" xfId="13217"/>
    <cellStyle name="Comma 30 2" xfId="19726"/>
    <cellStyle name="Comma 31" xfId="13218"/>
    <cellStyle name="Comma 31 2" xfId="19727"/>
    <cellStyle name="Comma 32" xfId="13219"/>
    <cellStyle name="Comma 32 2" xfId="19728"/>
    <cellStyle name="Comma 33" xfId="13220"/>
    <cellStyle name="Comma 33 2" xfId="19729"/>
    <cellStyle name="Comma 34" xfId="13221"/>
    <cellStyle name="Comma 34 2" xfId="19730"/>
    <cellStyle name="Comma 35" xfId="13222"/>
    <cellStyle name="Comma 35 2" xfId="19731"/>
    <cellStyle name="Comma 36" xfId="13223"/>
    <cellStyle name="Comma 36 2" xfId="19732"/>
    <cellStyle name="Comma 37" xfId="13224"/>
    <cellStyle name="Comma 37 2" xfId="19733"/>
    <cellStyle name="Comma 38" xfId="13225"/>
    <cellStyle name="Comma 38 2" xfId="19734"/>
    <cellStyle name="Comma 39" xfId="13226"/>
    <cellStyle name="Comma 39 2" xfId="19735"/>
    <cellStyle name="Comma 4" xfId="57"/>
    <cellStyle name="Comma 4 10" xfId="3490"/>
    <cellStyle name="Comma 4 10 2" xfId="11429"/>
    <cellStyle name="Comma 4 10 2 2" xfId="17968"/>
    <cellStyle name="Comma 4 10 3" xfId="15116"/>
    <cellStyle name="Comma 4 11" xfId="5762"/>
    <cellStyle name="Comma 4 11 2" xfId="12000"/>
    <cellStyle name="Comma 4 11 2 2" xfId="18539"/>
    <cellStyle name="Comma 4 11 3" xfId="15687"/>
    <cellStyle name="Comma 4 12" xfId="8034"/>
    <cellStyle name="Comma 4 12 2" xfId="12571"/>
    <cellStyle name="Comma 4 12 2 2" xfId="19110"/>
    <cellStyle name="Comma 4 12 3" xfId="16258"/>
    <cellStyle name="Comma 4 13" xfId="2896"/>
    <cellStyle name="Comma 4 13 2" xfId="10856"/>
    <cellStyle name="Comma 4 13 2 2" xfId="17395"/>
    <cellStyle name="Comma 4 13 3" xfId="14543"/>
    <cellStyle name="Comma 4 14" xfId="2331"/>
    <cellStyle name="Comma 4 14 2" xfId="13979"/>
    <cellStyle name="Comma 4 15" xfId="10292"/>
    <cellStyle name="Comma 4 15 2" xfId="16831"/>
    <cellStyle name="Comma 4 16" xfId="13155"/>
    <cellStyle name="Comma 4 16 2" xfId="19684"/>
    <cellStyle name="Comma 4 17" xfId="13176"/>
    <cellStyle name="Comma 4 17 2" xfId="19687"/>
    <cellStyle name="Comma 4 18" xfId="13227"/>
    <cellStyle name="Comma 4 18 2" xfId="19736"/>
    <cellStyle name="Comma 4 19" xfId="13403"/>
    <cellStyle name="Comma 4 2" xfId="87"/>
    <cellStyle name="Comma 4 2 10" xfId="5790"/>
    <cellStyle name="Comma 4 2 10 2" xfId="12007"/>
    <cellStyle name="Comma 4 2 10 2 2" xfId="18546"/>
    <cellStyle name="Comma 4 2 10 3" xfId="15694"/>
    <cellStyle name="Comma 4 2 11" xfId="8062"/>
    <cellStyle name="Comma 4 2 11 2" xfId="12578"/>
    <cellStyle name="Comma 4 2 11 2 2" xfId="19117"/>
    <cellStyle name="Comma 4 2 11 3" xfId="16265"/>
    <cellStyle name="Comma 4 2 12" xfId="2905"/>
    <cellStyle name="Comma 4 2 12 2" xfId="10864"/>
    <cellStyle name="Comma 4 2 12 2 2" xfId="17403"/>
    <cellStyle name="Comma 4 2 12 3" xfId="14551"/>
    <cellStyle name="Comma 4 2 13" xfId="2339"/>
    <cellStyle name="Comma 4 2 13 2" xfId="13987"/>
    <cellStyle name="Comma 4 2 14" xfId="10300"/>
    <cellStyle name="Comma 4 2 14 2" xfId="16839"/>
    <cellStyle name="Comma 4 2 15" xfId="13228"/>
    <cellStyle name="Comma 4 2 15 2" xfId="19737"/>
    <cellStyle name="Comma 4 2 16" xfId="13411"/>
    <cellStyle name="Comma 4 2 2" xfId="199"/>
    <cellStyle name="Comma 4 2 2 10" xfId="2367"/>
    <cellStyle name="Comma 4 2 2 10 2" xfId="14015"/>
    <cellStyle name="Comma 4 2 2 11" xfId="10328"/>
    <cellStyle name="Comma 4 2 2 11 2" xfId="16867"/>
    <cellStyle name="Comma 4 2 2 12" xfId="13439"/>
    <cellStyle name="Comma 4 2 2 2" xfId="437"/>
    <cellStyle name="Comma 4 2 2 2 10" xfId="13497"/>
    <cellStyle name="Comma 4 2 2 2 2" xfId="891"/>
    <cellStyle name="Comma 4 2 2 2 2 2" xfId="2026"/>
    <cellStyle name="Comma 4 2 2 2 2 2 2" xfId="5446"/>
    <cellStyle name="Comma 4 2 2 2 2 2 2 2" xfId="11920"/>
    <cellStyle name="Comma 4 2 2 2 2 2 2 2 2" xfId="18459"/>
    <cellStyle name="Comma 4 2 2 2 2 2 2 3" xfId="15607"/>
    <cellStyle name="Comma 4 2 2 2 2 2 3" xfId="7718"/>
    <cellStyle name="Comma 4 2 2 2 2 2 3 2" xfId="12491"/>
    <cellStyle name="Comma 4 2 2 2 2 2 3 2 2" xfId="19030"/>
    <cellStyle name="Comma 4 2 2 2 2 2 3 3" xfId="16178"/>
    <cellStyle name="Comma 4 2 2 2 2 2 4" xfId="9990"/>
    <cellStyle name="Comma 4 2 2 2 2 2 4 2" xfId="13062"/>
    <cellStyle name="Comma 4 2 2 2 2 2 4 2 2" xfId="19601"/>
    <cellStyle name="Comma 4 2 2 2 2 2 4 3" xfId="16749"/>
    <cellStyle name="Comma 4 2 2 2 2 2 5" xfId="3392"/>
    <cellStyle name="Comma 4 2 2 2 2 2 5 2" xfId="11349"/>
    <cellStyle name="Comma 4 2 2 2 2 2 5 2 2" xfId="17888"/>
    <cellStyle name="Comma 4 2 2 2 2 2 5 3" xfId="15036"/>
    <cellStyle name="Comma 4 2 2 2 2 2 6" xfId="2816"/>
    <cellStyle name="Comma 4 2 2 2 2 2 6 2" xfId="14464"/>
    <cellStyle name="Comma 4 2 2 2 2 2 7" xfId="10777"/>
    <cellStyle name="Comma 4 2 2 2 2 2 7 2" xfId="17316"/>
    <cellStyle name="Comma 4 2 2 2 2 2 8" xfId="13896"/>
    <cellStyle name="Comma 4 2 2 2 2 3" xfId="4311"/>
    <cellStyle name="Comma 4 2 2 2 2 3 2" xfId="11635"/>
    <cellStyle name="Comma 4 2 2 2 2 3 2 2" xfId="18174"/>
    <cellStyle name="Comma 4 2 2 2 2 3 3" xfId="15322"/>
    <cellStyle name="Comma 4 2 2 2 2 4" xfId="6583"/>
    <cellStyle name="Comma 4 2 2 2 2 4 2" xfId="12206"/>
    <cellStyle name="Comma 4 2 2 2 2 4 2 2" xfId="18745"/>
    <cellStyle name="Comma 4 2 2 2 2 4 3" xfId="15893"/>
    <cellStyle name="Comma 4 2 2 2 2 5" xfId="8855"/>
    <cellStyle name="Comma 4 2 2 2 2 5 2" xfId="12777"/>
    <cellStyle name="Comma 4 2 2 2 2 5 2 2" xfId="19316"/>
    <cellStyle name="Comma 4 2 2 2 2 5 3" xfId="16464"/>
    <cellStyle name="Comma 4 2 2 2 2 6" xfId="3107"/>
    <cellStyle name="Comma 4 2 2 2 2 6 2" xfId="11064"/>
    <cellStyle name="Comma 4 2 2 2 2 6 2 2" xfId="17603"/>
    <cellStyle name="Comma 4 2 2 2 2 6 3" xfId="14751"/>
    <cellStyle name="Comma 4 2 2 2 2 7" xfId="2536"/>
    <cellStyle name="Comma 4 2 2 2 2 7 2" xfId="14184"/>
    <cellStyle name="Comma 4 2 2 2 2 8" xfId="10497"/>
    <cellStyle name="Comma 4 2 2 2 2 8 2" xfId="17036"/>
    <cellStyle name="Comma 4 2 2 2 2 9" xfId="13611"/>
    <cellStyle name="Comma 4 2 2 2 3" xfId="1572"/>
    <cellStyle name="Comma 4 2 2 2 3 2" xfId="4992"/>
    <cellStyle name="Comma 4 2 2 2 3 2 2" xfId="11806"/>
    <cellStyle name="Comma 4 2 2 2 3 2 2 2" xfId="18345"/>
    <cellStyle name="Comma 4 2 2 2 3 2 3" xfId="15493"/>
    <cellStyle name="Comma 4 2 2 2 3 3" xfId="7264"/>
    <cellStyle name="Comma 4 2 2 2 3 3 2" xfId="12377"/>
    <cellStyle name="Comma 4 2 2 2 3 3 2 2" xfId="18916"/>
    <cellStyle name="Comma 4 2 2 2 3 3 3" xfId="16064"/>
    <cellStyle name="Comma 4 2 2 2 3 4" xfId="9536"/>
    <cellStyle name="Comma 4 2 2 2 3 4 2" xfId="12948"/>
    <cellStyle name="Comma 4 2 2 2 3 4 2 2" xfId="19487"/>
    <cellStyle name="Comma 4 2 2 2 3 4 3" xfId="16635"/>
    <cellStyle name="Comma 4 2 2 2 3 5" xfId="3278"/>
    <cellStyle name="Comma 4 2 2 2 3 5 2" xfId="11235"/>
    <cellStyle name="Comma 4 2 2 2 3 5 2 2" xfId="17774"/>
    <cellStyle name="Comma 4 2 2 2 3 5 3" xfId="14922"/>
    <cellStyle name="Comma 4 2 2 2 3 6" xfId="2704"/>
    <cellStyle name="Comma 4 2 2 2 3 6 2" xfId="14352"/>
    <cellStyle name="Comma 4 2 2 2 3 7" xfId="10665"/>
    <cellStyle name="Comma 4 2 2 2 3 7 2" xfId="17204"/>
    <cellStyle name="Comma 4 2 2 2 3 8" xfId="13782"/>
    <cellStyle name="Comma 4 2 2 2 4" xfId="3857"/>
    <cellStyle name="Comma 4 2 2 2 4 2" xfId="11521"/>
    <cellStyle name="Comma 4 2 2 2 4 2 2" xfId="18060"/>
    <cellStyle name="Comma 4 2 2 2 4 3" xfId="15208"/>
    <cellStyle name="Comma 4 2 2 2 5" xfId="6129"/>
    <cellStyle name="Comma 4 2 2 2 5 2" xfId="12092"/>
    <cellStyle name="Comma 4 2 2 2 5 2 2" xfId="18631"/>
    <cellStyle name="Comma 4 2 2 2 5 3" xfId="15779"/>
    <cellStyle name="Comma 4 2 2 2 6" xfId="8401"/>
    <cellStyle name="Comma 4 2 2 2 6 2" xfId="12663"/>
    <cellStyle name="Comma 4 2 2 2 6 2 2" xfId="19202"/>
    <cellStyle name="Comma 4 2 2 2 6 3" xfId="16350"/>
    <cellStyle name="Comma 4 2 2 2 7" xfId="2993"/>
    <cellStyle name="Comma 4 2 2 2 7 2" xfId="10950"/>
    <cellStyle name="Comma 4 2 2 2 7 2 2" xfId="17489"/>
    <cellStyle name="Comma 4 2 2 2 7 3" xfId="14637"/>
    <cellStyle name="Comma 4 2 2 2 8" xfId="2424"/>
    <cellStyle name="Comma 4 2 2 2 8 2" xfId="14072"/>
    <cellStyle name="Comma 4 2 2 2 9" xfId="10385"/>
    <cellStyle name="Comma 4 2 2 2 9 2" xfId="16924"/>
    <cellStyle name="Comma 4 2 2 3" xfId="1118"/>
    <cellStyle name="Comma 4 2 2 3 2" xfId="2253"/>
    <cellStyle name="Comma 4 2 2 3 2 2" xfId="5673"/>
    <cellStyle name="Comma 4 2 2 3 2 2 2" xfId="11977"/>
    <cellStyle name="Comma 4 2 2 3 2 2 2 2" xfId="18516"/>
    <cellStyle name="Comma 4 2 2 3 2 2 3" xfId="15664"/>
    <cellStyle name="Comma 4 2 2 3 2 3" xfId="7945"/>
    <cellStyle name="Comma 4 2 2 3 2 3 2" xfId="12548"/>
    <cellStyle name="Comma 4 2 2 3 2 3 2 2" xfId="19087"/>
    <cellStyle name="Comma 4 2 2 3 2 3 3" xfId="16235"/>
    <cellStyle name="Comma 4 2 2 3 2 4" xfId="10217"/>
    <cellStyle name="Comma 4 2 2 3 2 4 2" xfId="13119"/>
    <cellStyle name="Comma 4 2 2 3 2 4 2 2" xfId="19658"/>
    <cellStyle name="Comma 4 2 2 3 2 4 3" xfId="16806"/>
    <cellStyle name="Comma 4 2 2 3 2 5" xfId="3449"/>
    <cellStyle name="Comma 4 2 2 3 2 5 2" xfId="11406"/>
    <cellStyle name="Comma 4 2 2 3 2 5 2 2" xfId="17945"/>
    <cellStyle name="Comma 4 2 2 3 2 5 3" xfId="15093"/>
    <cellStyle name="Comma 4 2 2 3 2 6" xfId="2872"/>
    <cellStyle name="Comma 4 2 2 3 2 6 2" xfId="14520"/>
    <cellStyle name="Comma 4 2 2 3 2 7" xfId="10833"/>
    <cellStyle name="Comma 4 2 2 3 2 7 2" xfId="17372"/>
    <cellStyle name="Comma 4 2 2 3 2 8" xfId="13953"/>
    <cellStyle name="Comma 4 2 2 3 3" xfId="4538"/>
    <cellStyle name="Comma 4 2 2 3 3 2" xfId="11692"/>
    <cellStyle name="Comma 4 2 2 3 3 2 2" xfId="18231"/>
    <cellStyle name="Comma 4 2 2 3 3 3" xfId="15379"/>
    <cellStyle name="Comma 4 2 2 3 4" xfId="6810"/>
    <cellStyle name="Comma 4 2 2 3 4 2" xfId="12263"/>
    <cellStyle name="Comma 4 2 2 3 4 2 2" xfId="18802"/>
    <cellStyle name="Comma 4 2 2 3 4 3" xfId="15950"/>
    <cellStyle name="Comma 4 2 2 3 5" xfId="9082"/>
    <cellStyle name="Comma 4 2 2 3 5 2" xfId="12834"/>
    <cellStyle name="Comma 4 2 2 3 5 2 2" xfId="19373"/>
    <cellStyle name="Comma 4 2 2 3 5 3" xfId="16521"/>
    <cellStyle name="Comma 4 2 2 3 6" xfId="3164"/>
    <cellStyle name="Comma 4 2 2 3 6 2" xfId="11121"/>
    <cellStyle name="Comma 4 2 2 3 6 2 2" xfId="17660"/>
    <cellStyle name="Comma 4 2 2 3 6 3" xfId="14808"/>
    <cellStyle name="Comma 4 2 2 3 7" xfId="2592"/>
    <cellStyle name="Comma 4 2 2 3 7 2" xfId="14240"/>
    <cellStyle name="Comma 4 2 2 3 8" xfId="10553"/>
    <cellStyle name="Comma 4 2 2 3 8 2" xfId="17092"/>
    <cellStyle name="Comma 4 2 2 3 9" xfId="13668"/>
    <cellStyle name="Comma 4 2 2 4" xfId="664"/>
    <cellStyle name="Comma 4 2 2 4 2" xfId="1799"/>
    <cellStyle name="Comma 4 2 2 4 2 2" xfId="5219"/>
    <cellStyle name="Comma 4 2 2 4 2 2 2" xfId="11863"/>
    <cellStyle name="Comma 4 2 2 4 2 2 2 2" xfId="18402"/>
    <cellStyle name="Comma 4 2 2 4 2 2 3" xfId="15550"/>
    <cellStyle name="Comma 4 2 2 4 2 3" xfId="7491"/>
    <cellStyle name="Comma 4 2 2 4 2 3 2" xfId="12434"/>
    <cellStyle name="Comma 4 2 2 4 2 3 2 2" xfId="18973"/>
    <cellStyle name="Comma 4 2 2 4 2 3 3" xfId="16121"/>
    <cellStyle name="Comma 4 2 2 4 2 4" xfId="9763"/>
    <cellStyle name="Comma 4 2 2 4 2 4 2" xfId="13005"/>
    <cellStyle name="Comma 4 2 2 4 2 4 2 2" xfId="19544"/>
    <cellStyle name="Comma 4 2 2 4 2 4 3" xfId="16692"/>
    <cellStyle name="Comma 4 2 2 4 2 5" xfId="3335"/>
    <cellStyle name="Comma 4 2 2 4 2 5 2" xfId="11292"/>
    <cellStyle name="Comma 4 2 2 4 2 5 2 2" xfId="17831"/>
    <cellStyle name="Comma 4 2 2 4 2 5 3" xfId="14979"/>
    <cellStyle name="Comma 4 2 2 4 2 6" xfId="2760"/>
    <cellStyle name="Comma 4 2 2 4 2 6 2" xfId="14408"/>
    <cellStyle name="Comma 4 2 2 4 2 7" xfId="10721"/>
    <cellStyle name="Comma 4 2 2 4 2 7 2" xfId="17260"/>
    <cellStyle name="Comma 4 2 2 4 2 8" xfId="13839"/>
    <cellStyle name="Comma 4 2 2 4 3" xfId="4084"/>
    <cellStyle name="Comma 4 2 2 4 3 2" xfId="11578"/>
    <cellStyle name="Comma 4 2 2 4 3 2 2" xfId="18117"/>
    <cellStyle name="Comma 4 2 2 4 3 3" xfId="15265"/>
    <cellStyle name="Comma 4 2 2 4 4" xfId="6356"/>
    <cellStyle name="Comma 4 2 2 4 4 2" xfId="12149"/>
    <cellStyle name="Comma 4 2 2 4 4 2 2" xfId="18688"/>
    <cellStyle name="Comma 4 2 2 4 4 3" xfId="15836"/>
    <cellStyle name="Comma 4 2 2 4 5" xfId="8628"/>
    <cellStyle name="Comma 4 2 2 4 5 2" xfId="12720"/>
    <cellStyle name="Comma 4 2 2 4 5 2 2" xfId="19259"/>
    <cellStyle name="Comma 4 2 2 4 5 3" xfId="16407"/>
    <cellStyle name="Comma 4 2 2 4 6" xfId="3050"/>
    <cellStyle name="Comma 4 2 2 4 6 2" xfId="11007"/>
    <cellStyle name="Comma 4 2 2 4 6 2 2" xfId="17546"/>
    <cellStyle name="Comma 4 2 2 4 6 3" xfId="14694"/>
    <cellStyle name="Comma 4 2 2 4 7" xfId="2480"/>
    <cellStyle name="Comma 4 2 2 4 7 2" xfId="14128"/>
    <cellStyle name="Comma 4 2 2 4 8" xfId="10441"/>
    <cellStyle name="Comma 4 2 2 4 8 2" xfId="16980"/>
    <cellStyle name="Comma 4 2 2 4 9" xfId="13554"/>
    <cellStyle name="Comma 4 2 2 5" xfId="1345"/>
    <cellStyle name="Comma 4 2 2 5 2" xfId="4765"/>
    <cellStyle name="Comma 4 2 2 5 2 2" xfId="11749"/>
    <cellStyle name="Comma 4 2 2 5 2 2 2" xfId="18288"/>
    <cellStyle name="Comma 4 2 2 5 2 3" xfId="15436"/>
    <cellStyle name="Comma 4 2 2 5 3" xfId="7037"/>
    <cellStyle name="Comma 4 2 2 5 3 2" xfId="12320"/>
    <cellStyle name="Comma 4 2 2 5 3 2 2" xfId="18859"/>
    <cellStyle name="Comma 4 2 2 5 3 3" xfId="16007"/>
    <cellStyle name="Comma 4 2 2 5 4" xfId="9309"/>
    <cellStyle name="Comma 4 2 2 5 4 2" xfId="12891"/>
    <cellStyle name="Comma 4 2 2 5 4 2 2" xfId="19430"/>
    <cellStyle name="Comma 4 2 2 5 4 3" xfId="16578"/>
    <cellStyle name="Comma 4 2 2 5 5" xfId="3221"/>
    <cellStyle name="Comma 4 2 2 5 5 2" xfId="11178"/>
    <cellStyle name="Comma 4 2 2 5 5 2 2" xfId="17717"/>
    <cellStyle name="Comma 4 2 2 5 5 3" xfId="14865"/>
    <cellStyle name="Comma 4 2 2 5 6" xfId="2648"/>
    <cellStyle name="Comma 4 2 2 5 6 2" xfId="14296"/>
    <cellStyle name="Comma 4 2 2 5 7" xfId="10609"/>
    <cellStyle name="Comma 4 2 2 5 7 2" xfId="17148"/>
    <cellStyle name="Comma 4 2 2 5 8" xfId="13725"/>
    <cellStyle name="Comma 4 2 2 6" xfId="3630"/>
    <cellStyle name="Comma 4 2 2 6 2" xfId="11464"/>
    <cellStyle name="Comma 4 2 2 6 2 2" xfId="18003"/>
    <cellStyle name="Comma 4 2 2 6 3" xfId="15151"/>
    <cellStyle name="Comma 4 2 2 7" xfId="5902"/>
    <cellStyle name="Comma 4 2 2 7 2" xfId="12035"/>
    <cellStyle name="Comma 4 2 2 7 2 2" xfId="18574"/>
    <cellStyle name="Comma 4 2 2 7 3" xfId="15722"/>
    <cellStyle name="Comma 4 2 2 8" xfId="8174"/>
    <cellStyle name="Comma 4 2 2 8 2" xfId="12606"/>
    <cellStyle name="Comma 4 2 2 8 2 2" xfId="19145"/>
    <cellStyle name="Comma 4 2 2 8 3" xfId="16293"/>
    <cellStyle name="Comma 4 2 2 9" xfId="2933"/>
    <cellStyle name="Comma 4 2 2 9 2" xfId="10892"/>
    <cellStyle name="Comma 4 2 2 9 2 2" xfId="17431"/>
    <cellStyle name="Comma 4 2 2 9 3" xfId="14579"/>
    <cellStyle name="Comma 4 2 3" xfId="143"/>
    <cellStyle name="Comma 4 2 3 10" xfId="2353"/>
    <cellStyle name="Comma 4 2 3 10 2" xfId="14001"/>
    <cellStyle name="Comma 4 2 3 11" xfId="10314"/>
    <cellStyle name="Comma 4 2 3 11 2" xfId="16853"/>
    <cellStyle name="Comma 4 2 3 12" xfId="13425"/>
    <cellStyle name="Comma 4 2 3 2" xfId="381"/>
    <cellStyle name="Comma 4 2 3 2 10" xfId="13483"/>
    <cellStyle name="Comma 4 2 3 2 2" xfId="835"/>
    <cellStyle name="Comma 4 2 3 2 2 2" xfId="1970"/>
    <cellStyle name="Comma 4 2 3 2 2 2 2" xfId="5390"/>
    <cellStyle name="Comma 4 2 3 2 2 2 2 2" xfId="11906"/>
    <cellStyle name="Comma 4 2 3 2 2 2 2 2 2" xfId="18445"/>
    <cellStyle name="Comma 4 2 3 2 2 2 2 3" xfId="15593"/>
    <cellStyle name="Comma 4 2 3 2 2 2 3" xfId="7662"/>
    <cellStyle name="Comma 4 2 3 2 2 2 3 2" xfId="12477"/>
    <cellStyle name="Comma 4 2 3 2 2 2 3 2 2" xfId="19016"/>
    <cellStyle name="Comma 4 2 3 2 2 2 3 3" xfId="16164"/>
    <cellStyle name="Comma 4 2 3 2 2 2 4" xfId="9934"/>
    <cellStyle name="Comma 4 2 3 2 2 2 4 2" xfId="13048"/>
    <cellStyle name="Comma 4 2 3 2 2 2 4 2 2" xfId="19587"/>
    <cellStyle name="Comma 4 2 3 2 2 2 4 3" xfId="16735"/>
    <cellStyle name="Comma 4 2 3 2 2 2 5" xfId="3378"/>
    <cellStyle name="Comma 4 2 3 2 2 2 5 2" xfId="11335"/>
    <cellStyle name="Comma 4 2 3 2 2 2 5 2 2" xfId="17874"/>
    <cellStyle name="Comma 4 2 3 2 2 2 5 3" xfId="15022"/>
    <cellStyle name="Comma 4 2 3 2 2 2 6" xfId="2802"/>
    <cellStyle name="Comma 4 2 3 2 2 2 6 2" xfId="14450"/>
    <cellStyle name="Comma 4 2 3 2 2 2 7" xfId="10763"/>
    <cellStyle name="Comma 4 2 3 2 2 2 7 2" xfId="17302"/>
    <cellStyle name="Comma 4 2 3 2 2 2 8" xfId="13882"/>
    <cellStyle name="Comma 4 2 3 2 2 3" xfId="4255"/>
    <cellStyle name="Comma 4 2 3 2 2 3 2" xfId="11621"/>
    <cellStyle name="Comma 4 2 3 2 2 3 2 2" xfId="18160"/>
    <cellStyle name="Comma 4 2 3 2 2 3 3" xfId="15308"/>
    <cellStyle name="Comma 4 2 3 2 2 4" xfId="6527"/>
    <cellStyle name="Comma 4 2 3 2 2 4 2" xfId="12192"/>
    <cellStyle name="Comma 4 2 3 2 2 4 2 2" xfId="18731"/>
    <cellStyle name="Comma 4 2 3 2 2 4 3" xfId="15879"/>
    <cellStyle name="Comma 4 2 3 2 2 5" xfId="8799"/>
    <cellStyle name="Comma 4 2 3 2 2 5 2" xfId="12763"/>
    <cellStyle name="Comma 4 2 3 2 2 5 2 2" xfId="19302"/>
    <cellStyle name="Comma 4 2 3 2 2 5 3" xfId="16450"/>
    <cellStyle name="Comma 4 2 3 2 2 6" xfId="3093"/>
    <cellStyle name="Comma 4 2 3 2 2 6 2" xfId="11050"/>
    <cellStyle name="Comma 4 2 3 2 2 6 2 2" xfId="17589"/>
    <cellStyle name="Comma 4 2 3 2 2 6 3" xfId="14737"/>
    <cellStyle name="Comma 4 2 3 2 2 7" xfId="2522"/>
    <cellStyle name="Comma 4 2 3 2 2 7 2" xfId="14170"/>
    <cellStyle name="Comma 4 2 3 2 2 8" xfId="10483"/>
    <cellStyle name="Comma 4 2 3 2 2 8 2" xfId="17022"/>
    <cellStyle name="Comma 4 2 3 2 2 9" xfId="13597"/>
    <cellStyle name="Comma 4 2 3 2 3" xfId="1516"/>
    <cellStyle name="Comma 4 2 3 2 3 2" xfId="4936"/>
    <cellStyle name="Comma 4 2 3 2 3 2 2" xfId="11792"/>
    <cellStyle name="Comma 4 2 3 2 3 2 2 2" xfId="18331"/>
    <cellStyle name="Comma 4 2 3 2 3 2 3" xfId="15479"/>
    <cellStyle name="Comma 4 2 3 2 3 3" xfId="7208"/>
    <cellStyle name="Comma 4 2 3 2 3 3 2" xfId="12363"/>
    <cellStyle name="Comma 4 2 3 2 3 3 2 2" xfId="18902"/>
    <cellStyle name="Comma 4 2 3 2 3 3 3" xfId="16050"/>
    <cellStyle name="Comma 4 2 3 2 3 4" xfId="9480"/>
    <cellStyle name="Comma 4 2 3 2 3 4 2" xfId="12934"/>
    <cellStyle name="Comma 4 2 3 2 3 4 2 2" xfId="19473"/>
    <cellStyle name="Comma 4 2 3 2 3 4 3" xfId="16621"/>
    <cellStyle name="Comma 4 2 3 2 3 5" xfId="3264"/>
    <cellStyle name="Comma 4 2 3 2 3 5 2" xfId="11221"/>
    <cellStyle name="Comma 4 2 3 2 3 5 2 2" xfId="17760"/>
    <cellStyle name="Comma 4 2 3 2 3 5 3" xfId="14908"/>
    <cellStyle name="Comma 4 2 3 2 3 6" xfId="2690"/>
    <cellStyle name="Comma 4 2 3 2 3 6 2" xfId="14338"/>
    <cellStyle name="Comma 4 2 3 2 3 7" xfId="10651"/>
    <cellStyle name="Comma 4 2 3 2 3 7 2" xfId="17190"/>
    <cellStyle name="Comma 4 2 3 2 3 8" xfId="13768"/>
    <cellStyle name="Comma 4 2 3 2 4" xfId="3801"/>
    <cellStyle name="Comma 4 2 3 2 4 2" xfId="11507"/>
    <cellStyle name="Comma 4 2 3 2 4 2 2" xfId="18046"/>
    <cellStyle name="Comma 4 2 3 2 4 3" xfId="15194"/>
    <cellStyle name="Comma 4 2 3 2 5" xfId="6073"/>
    <cellStyle name="Comma 4 2 3 2 5 2" xfId="12078"/>
    <cellStyle name="Comma 4 2 3 2 5 2 2" xfId="18617"/>
    <cellStyle name="Comma 4 2 3 2 5 3" xfId="15765"/>
    <cellStyle name="Comma 4 2 3 2 6" xfId="8345"/>
    <cellStyle name="Comma 4 2 3 2 6 2" xfId="12649"/>
    <cellStyle name="Comma 4 2 3 2 6 2 2" xfId="19188"/>
    <cellStyle name="Comma 4 2 3 2 6 3" xfId="16336"/>
    <cellStyle name="Comma 4 2 3 2 7" xfId="2979"/>
    <cellStyle name="Comma 4 2 3 2 7 2" xfId="10936"/>
    <cellStyle name="Comma 4 2 3 2 7 2 2" xfId="17475"/>
    <cellStyle name="Comma 4 2 3 2 7 3" xfId="14623"/>
    <cellStyle name="Comma 4 2 3 2 8" xfId="2410"/>
    <cellStyle name="Comma 4 2 3 2 8 2" xfId="14058"/>
    <cellStyle name="Comma 4 2 3 2 9" xfId="10371"/>
    <cellStyle name="Comma 4 2 3 2 9 2" xfId="16910"/>
    <cellStyle name="Comma 4 2 3 3" xfId="1062"/>
    <cellStyle name="Comma 4 2 3 3 2" xfId="2197"/>
    <cellStyle name="Comma 4 2 3 3 2 2" xfId="5617"/>
    <cellStyle name="Comma 4 2 3 3 2 2 2" xfId="11963"/>
    <cellStyle name="Comma 4 2 3 3 2 2 2 2" xfId="18502"/>
    <cellStyle name="Comma 4 2 3 3 2 2 3" xfId="15650"/>
    <cellStyle name="Comma 4 2 3 3 2 3" xfId="7889"/>
    <cellStyle name="Comma 4 2 3 3 2 3 2" xfId="12534"/>
    <cellStyle name="Comma 4 2 3 3 2 3 2 2" xfId="19073"/>
    <cellStyle name="Comma 4 2 3 3 2 3 3" xfId="16221"/>
    <cellStyle name="Comma 4 2 3 3 2 4" xfId="10161"/>
    <cellStyle name="Comma 4 2 3 3 2 4 2" xfId="13105"/>
    <cellStyle name="Comma 4 2 3 3 2 4 2 2" xfId="19644"/>
    <cellStyle name="Comma 4 2 3 3 2 4 3" xfId="16792"/>
    <cellStyle name="Comma 4 2 3 3 2 5" xfId="3435"/>
    <cellStyle name="Comma 4 2 3 3 2 5 2" xfId="11392"/>
    <cellStyle name="Comma 4 2 3 3 2 5 2 2" xfId="17931"/>
    <cellStyle name="Comma 4 2 3 3 2 5 3" xfId="15079"/>
    <cellStyle name="Comma 4 2 3 3 2 6" xfId="2858"/>
    <cellStyle name="Comma 4 2 3 3 2 6 2" xfId="14506"/>
    <cellStyle name="Comma 4 2 3 3 2 7" xfId="10819"/>
    <cellStyle name="Comma 4 2 3 3 2 7 2" xfId="17358"/>
    <cellStyle name="Comma 4 2 3 3 2 8" xfId="13939"/>
    <cellStyle name="Comma 4 2 3 3 3" xfId="4482"/>
    <cellStyle name="Comma 4 2 3 3 3 2" xfId="11678"/>
    <cellStyle name="Comma 4 2 3 3 3 2 2" xfId="18217"/>
    <cellStyle name="Comma 4 2 3 3 3 3" xfId="15365"/>
    <cellStyle name="Comma 4 2 3 3 4" xfId="6754"/>
    <cellStyle name="Comma 4 2 3 3 4 2" xfId="12249"/>
    <cellStyle name="Comma 4 2 3 3 4 2 2" xfId="18788"/>
    <cellStyle name="Comma 4 2 3 3 4 3" xfId="15936"/>
    <cellStyle name="Comma 4 2 3 3 5" xfId="9026"/>
    <cellStyle name="Comma 4 2 3 3 5 2" xfId="12820"/>
    <cellStyle name="Comma 4 2 3 3 5 2 2" xfId="19359"/>
    <cellStyle name="Comma 4 2 3 3 5 3" xfId="16507"/>
    <cellStyle name="Comma 4 2 3 3 6" xfId="3150"/>
    <cellStyle name="Comma 4 2 3 3 6 2" xfId="11107"/>
    <cellStyle name="Comma 4 2 3 3 6 2 2" xfId="17646"/>
    <cellStyle name="Comma 4 2 3 3 6 3" xfId="14794"/>
    <cellStyle name="Comma 4 2 3 3 7" xfId="2578"/>
    <cellStyle name="Comma 4 2 3 3 7 2" xfId="14226"/>
    <cellStyle name="Comma 4 2 3 3 8" xfId="10539"/>
    <cellStyle name="Comma 4 2 3 3 8 2" xfId="17078"/>
    <cellStyle name="Comma 4 2 3 3 9" xfId="13654"/>
    <cellStyle name="Comma 4 2 3 4" xfId="608"/>
    <cellStyle name="Comma 4 2 3 4 2" xfId="1743"/>
    <cellStyle name="Comma 4 2 3 4 2 2" xfId="5163"/>
    <cellStyle name="Comma 4 2 3 4 2 2 2" xfId="11849"/>
    <cellStyle name="Comma 4 2 3 4 2 2 2 2" xfId="18388"/>
    <cellStyle name="Comma 4 2 3 4 2 2 3" xfId="15536"/>
    <cellStyle name="Comma 4 2 3 4 2 3" xfId="7435"/>
    <cellStyle name="Comma 4 2 3 4 2 3 2" xfId="12420"/>
    <cellStyle name="Comma 4 2 3 4 2 3 2 2" xfId="18959"/>
    <cellStyle name="Comma 4 2 3 4 2 3 3" xfId="16107"/>
    <cellStyle name="Comma 4 2 3 4 2 4" xfId="9707"/>
    <cellStyle name="Comma 4 2 3 4 2 4 2" xfId="12991"/>
    <cellStyle name="Comma 4 2 3 4 2 4 2 2" xfId="19530"/>
    <cellStyle name="Comma 4 2 3 4 2 4 3" xfId="16678"/>
    <cellStyle name="Comma 4 2 3 4 2 5" xfId="3321"/>
    <cellStyle name="Comma 4 2 3 4 2 5 2" xfId="11278"/>
    <cellStyle name="Comma 4 2 3 4 2 5 2 2" xfId="17817"/>
    <cellStyle name="Comma 4 2 3 4 2 5 3" xfId="14965"/>
    <cellStyle name="Comma 4 2 3 4 2 6" xfId="2746"/>
    <cellStyle name="Comma 4 2 3 4 2 6 2" xfId="14394"/>
    <cellStyle name="Comma 4 2 3 4 2 7" xfId="10707"/>
    <cellStyle name="Comma 4 2 3 4 2 7 2" xfId="17246"/>
    <cellStyle name="Comma 4 2 3 4 2 8" xfId="13825"/>
    <cellStyle name="Comma 4 2 3 4 3" xfId="4028"/>
    <cellStyle name="Comma 4 2 3 4 3 2" xfId="11564"/>
    <cellStyle name="Comma 4 2 3 4 3 2 2" xfId="18103"/>
    <cellStyle name="Comma 4 2 3 4 3 3" xfId="15251"/>
    <cellStyle name="Comma 4 2 3 4 4" xfId="6300"/>
    <cellStyle name="Comma 4 2 3 4 4 2" xfId="12135"/>
    <cellStyle name="Comma 4 2 3 4 4 2 2" xfId="18674"/>
    <cellStyle name="Comma 4 2 3 4 4 3" xfId="15822"/>
    <cellStyle name="Comma 4 2 3 4 5" xfId="8572"/>
    <cellStyle name="Comma 4 2 3 4 5 2" xfId="12706"/>
    <cellStyle name="Comma 4 2 3 4 5 2 2" xfId="19245"/>
    <cellStyle name="Comma 4 2 3 4 5 3" xfId="16393"/>
    <cellStyle name="Comma 4 2 3 4 6" xfId="3036"/>
    <cellStyle name="Comma 4 2 3 4 6 2" xfId="10993"/>
    <cellStyle name="Comma 4 2 3 4 6 2 2" xfId="17532"/>
    <cellStyle name="Comma 4 2 3 4 6 3" xfId="14680"/>
    <cellStyle name="Comma 4 2 3 4 7" xfId="2466"/>
    <cellStyle name="Comma 4 2 3 4 7 2" xfId="14114"/>
    <cellStyle name="Comma 4 2 3 4 8" xfId="10427"/>
    <cellStyle name="Comma 4 2 3 4 8 2" xfId="16966"/>
    <cellStyle name="Comma 4 2 3 4 9" xfId="13540"/>
    <cellStyle name="Comma 4 2 3 5" xfId="1289"/>
    <cellStyle name="Comma 4 2 3 5 2" xfId="4709"/>
    <cellStyle name="Comma 4 2 3 5 2 2" xfId="11735"/>
    <cellStyle name="Comma 4 2 3 5 2 2 2" xfId="18274"/>
    <cellStyle name="Comma 4 2 3 5 2 3" xfId="15422"/>
    <cellStyle name="Comma 4 2 3 5 3" xfId="6981"/>
    <cellStyle name="Comma 4 2 3 5 3 2" xfId="12306"/>
    <cellStyle name="Comma 4 2 3 5 3 2 2" xfId="18845"/>
    <cellStyle name="Comma 4 2 3 5 3 3" xfId="15993"/>
    <cellStyle name="Comma 4 2 3 5 4" xfId="9253"/>
    <cellStyle name="Comma 4 2 3 5 4 2" xfId="12877"/>
    <cellStyle name="Comma 4 2 3 5 4 2 2" xfId="19416"/>
    <cellStyle name="Comma 4 2 3 5 4 3" xfId="16564"/>
    <cellStyle name="Comma 4 2 3 5 5" xfId="3207"/>
    <cellStyle name="Comma 4 2 3 5 5 2" xfId="11164"/>
    <cellStyle name="Comma 4 2 3 5 5 2 2" xfId="17703"/>
    <cellStyle name="Comma 4 2 3 5 5 3" xfId="14851"/>
    <cellStyle name="Comma 4 2 3 5 6" xfId="2634"/>
    <cellStyle name="Comma 4 2 3 5 6 2" xfId="14282"/>
    <cellStyle name="Comma 4 2 3 5 7" xfId="10595"/>
    <cellStyle name="Comma 4 2 3 5 7 2" xfId="17134"/>
    <cellStyle name="Comma 4 2 3 5 8" xfId="13711"/>
    <cellStyle name="Comma 4 2 3 6" xfId="3574"/>
    <cellStyle name="Comma 4 2 3 6 2" xfId="11450"/>
    <cellStyle name="Comma 4 2 3 6 2 2" xfId="17989"/>
    <cellStyle name="Comma 4 2 3 6 3" xfId="15137"/>
    <cellStyle name="Comma 4 2 3 7" xfId="5846"/>
    <cellStyle name="Comma 4 2 3 7 2" xfId="12021"/>
    <cellStyle name="Comma 4 2 3 7 2 2" xfId="18560"/>
    <cellStyle name="Comma 4 2 3 7 3" xfId="15708"/>
    <cellStyle name="Comma 4 2 3 8" xfId="8118"/>
    <cellStyle name="Comma 4 2 3 8 2" xfId="12592"/>
    <cellStyle name="Comma 4 2 3 8 2 2" xfId="19131"/>
    <cellStyle name="Comma 4 2 3 8 3" xfId="16279"/>
    <cellStyle name="Comma 4 2 3 9" xfId="2919"/>
    <cellStyle name="Comma 4 2 3 9 2" xfId="10878"/>
    <cellStyle name="Comma 4 2 3 9 2 2" xfId="17417"/>
    <cellStyle name="Comma 4 2 3 9 3" xfId="14565"/>
    <cellStyle name="Comma 4 2 4" xfId="269"/>
    <cellStyle name="Comma 4 2 4 10" xfId="2382"/>
    <cellStyle name="Comma 4 2 4 10 2" xfId="14030"/>
    <cellStyle name="Comma 4 2 4 11" xfId="10343"/>
    <cellStyle name="Comma 4 2 4 11 2" xfId="16882"/>
    <cellStyle name="Comma 4 2 4 12" xfId="13455"/>
    <cellStyle name="Comma 4 2 4 2" xfId="496"/>
    <cellStyle name="Comma 4 2 4 2 10" xfId="13512"/>
    <cellStyle name="Comma 4 2 4 2 2" xfId="950"/>
    <cellStyle name="Comma 4 2 4 2 2 2" xfId="2085"/>
    <cellStyle name="Comma 4 2 4 2 2 2 2" xfId="5505"/>
    <cellStyle name="Comma 4 2 4 2 2 2 2 2" xfId="11935"/>
    <cellStyle name="Comma 4 2 4 2 2 2 2 2 2" xfId="18474"/>
    <cellStyle name="Comma 4 2 4 2 2 2 2 3" xfId="15622"/>
    <cellStyle name="Comma 4 2 4 2 2 2 3" xfId="7777"/>
    <cellStyle name="Comma 4 2 4 2 2 2 3 2" xfId="12506"/>
    <cellStyle name="Comma 4 2 4 2 2 2 3 2 2" xfId="19045"/>
    <cellStyle name="Comma 4 2 4 2 2 2 3 3" xfId="16193"/>
    <cellStyle name="Comma 4 2 4 2 2 2 4" xfId="10049"/>
    <cellStyle name="Comma 4 2 4 2 2 2 4 2" xfId="13077"/>
    <cellStyle name="Comma 4 2 4 2 2 2 4 2 2" xfId="19616"/>
    <cellStyle name="Comma 4 2 4 2 2 2 4 3" xfId="16764"/>
    <cellStyle name="Comma 4 2 4 2 2 2 5" xfId="3407"/>
    <cellStyle name="Comma 4 2 4 2 2 2 5 2" xfId="11364"/>
    <cellStyle name="Comma 4 2 4 2 2 2 5 2 2" xfId="17903"/>
    <cellStyle name="Comma 4 2 4 2 2 2 5 3" xfId="15051"/>
    <cellStyle name="Comma 4 2 4 2 2 2 6" xfId="2830"/>
    <cellStyle name="Comma 4 2 4 2 2 2 6 2" xfId="14478"/>
    <cellStyle name="Comma 4 2 4 2 2 2 7" xfId="10791"/>
    <cellStyle name="Comma 4 2 4 2 2 2 7 2" xfId="17330"/>
    <cellStyle name="Comma 4 2 4 2 2 2 8" xfId="13911"/>
    <cellStyle name="Comma 4 2 4 2 2 3" xfId="4370"/>
    <cellStyle name="Comma 4 2 4 2 2 3 2" xfId="11650"/>
    <cellStyle name="Comma 4 2 4 2 2 3 2 2" xfId="18189"/>
    <cellStyle name="Comma 4 2 4 2 2 3 3" xfId="15337"/>
    <cellStyle name="Comma 4 2 4 2 2 4" xfId="6642"/>
    <cellStyle name="Comma 4 2 4 2 2 4 2" xfId="12221"/>
    <cellStyle name="Comma 4 2 4 2 2 4 2 2" xfId="18760"/>
    <cellStyle name="Comma 4 2 4 2 2 4 3" xfId="15908"/>
    <cellStyle name="Comma 4 2 4 2 2 5" xfId="8914"/>
    <cellStyle name="Comma 4 2 4 2 2 5 2" xfId="12792"/>
    <cellStyle name="Comma 4 2 4 2 2 5 2 2" xfId="19331"/>
    <cellStyle name="Comma 4 2 4 2 2 5 3" xfId="16479"/>
    <cellStyle name="Comma 4 2 4 2 2 6" xfId="3122"/>
    <cellStyle name="Comma 4 2 4 2 2 6 2" xfId="11079"/>
    <cellStyle name="Comma 4 2 4 2 2 6 2 2" xfId="17618"/>
    <cellStyle name="Comma 4 2 4 2 2 6 3" xfId="14766"/>
    <cellStyle name="Comma 4 2 4 2 2 7" xfId="2550"/>
    <cellStyle name="Comma 4 2 4 2 2 7 2" xfId="14198"/>
    <cellStyle name="Comma 4 2 4 2 2 8" xfId="10511"/>
    <cellStyle name="Comma 4 2 4 2 2 8 2" xfId="17050"/>
    <cellStyle name="Comma 4 2 4 2 2 9" xfId="13626"/>
    <cellStyle name="Comma 4 2 4 2 3" xfId="1631"/>
    <cellStyle name="Comma 4 2 4 2 3 2" xfId="5051"/>
    <cellStyle name="Comma 4 2 4 2 3 2 2" xfId="11821"/>
    <cellStyle name="Comma 4 2 4 2 3 2 2 2" xfId="18360"/>
    <cellStyle name="Comma 4 2 4 2 3 2 3" xfId="15508"/>
    <cellStyle name="Comma 4 2 4 2 3 3" xfId="7323"/>
    <cellStyle name="Comma 4 2 4 2 3 3 2" xfId="12392"/>
    <cellStyle name="Comma 4 2 4 2 3 3 2 2" xfId="18931"/>
    <cellStyle name="Comma 4 2 4 2 3 3 3" xfId="16079"/>
    <cellStyle name="Comma 4 2 4 2 3 4" xfId="9595"/>
    <cellStyle name="Comma 4 2 4 2 3 4 2" xfId="12963"/>
    <cellStyle name="Comma 4 2 4 2 3 4 2 2" xfId="19502"/>
    <cellStyle name="Comma 4 2 4 2 3 4 3" xfId="16650"/>
    <cellStyle name="Comma 4 2 4 2 3 5" xfId="3293"/>
    <cellStyle name="Comma 4 2 4 2 3 5 2" xfId="11250"/>
    <cellStyle name="Comma 4 2 4 2 3 5 2 2" xfId="17789"/>
    <cellStyle name="Comma 4 2 4 2 3 5 3" xfId="14937"/>
    <cellStyle name="Comma 4 2 4 2 3 6" xfId="2718"/>
    <cellStyle name="Comma 4 2 4 2 3 6 2" xfId="14366"/>
    <cellStyle name="Comma 4 2 4 2 3 7" xfId="10679"/>
    <cellStyle name="Comma 4 2 4 2 3 7 2" xfId="17218"/>
    <cellStyle name="Comma 4 2 4 2 3 8" xfId="13797"/>
    <cellStyle name="Comma 4 2 4 2 4" xfId="3916"/>
    <cellStyle name="Comma 4 2 4 2 4 2" xfId="11536"/>
    <cellStyle name="Comma 4 2 4 2 4 2 2" xfId="18075"/>
    <cellStyle name="Comma 4 2 4 2 4 3" xfId="15223"/>
    <cellStyle name="Comma 4 2 4 2 5" xfId="6188"/>
    <cellStyle name="Comma 4 2 4 2 5 2" xfId="12107"/>
    <cellStyle name="Comma 4 2 4 2 5 2 2" xfId="18646"/>
    <cellStyle name="Comma 4 2 4 2 5 3" xfId="15794"/>
    <cellStyle name="Comma 4 2 4 2 6" xfId="8460"/>
    <cellStyle name="Comma 4 2 4 2 6 2" xfId="12678"/>
    <cellStyle name="Comma 4 2 4 2 6 2 2" xfId="19217"/>
    <cellStyle name="Comma 4 2 4 2 6 3" xfId="16365"/>
    <cellStyle name="Comma 4 2 4 2 7" xfId="3008"/>
    <cellStyle name="Comma 4 2 4 2 7 2" xfId="10965"/>
    <cellStyle name="Comma 4 2 4 2 7 2 2" xfId="17504"/>
    <cellStyle name="Comma 4 2 4 2 7 3" xfId="14652"/>
    <cellStyle name="Comma 4 2 4 2 8" xfId="2438"/>
    <cellStyle name="Comma 4 2 4 2 8 2" xfId="14086"/>
    <cellStyle name="Comma 4 2 4 2 9" xfId="10399"/>
    <cellStyle name="Comma 4 2 4 2 9 2" xfId="16938"/>
    <cellStyle name="Comma 4 2 4 3" xfId="1177"/>
    <cellStyle name="Comma 4 2 4 3 2" xfId="2312"/>
    <cellStyle name="Comma 4 2 4 3 2 2" xfId="5732"/>
    <cellStyle name="Comma 4 2 4 3 2 2 2" xfId="11992"/>
    <cellStyle name="Comma 4 2 4 3 2 2 2 2" xfId="18531"/>
    <cellStyle name="Comma 4 2 4 3 2 2 3" xfId="15679"/>
    <cellStyle name="Comma 4 2 4 3 2 3" xfId="8004"/>
    <cellStyle name="Comma 4 2 4 3 2 3 2" xfId="12563"/>
    <cellStyle name="Comma 4 2 4 3 2 3 2 2" xfId="19102"/>
    <cellStyle name="Comma 4 2 4 3 2 3 3" xfId="16250"/>
    <cellStyle name="Comma 4 2 4 3 2 4" xfId="10276"/>
    <cellStyle name="Comma 4 2 4 3 2 4 2" xfId="13134"/>
    <cellStyle name="Comma 4 2 4 3 2 4 2 2" xfId="19673"/>
    <cellStyle name="Comma 4 2 4 3 2 4 3" xfId="16821"/>
    <cellStyle name="Comma 4 2 4 3 2 5" xfId="3464"/>
    <cellStyle name="Comma 4 2 4 3 2 5 2" xfId="11421"/>
    <cellStyle name="Comma 4 2 4 3 2 5 2 2" xfId="17960"/>
    <cellStyle name="Comma 4 2 4 3 2 5 3" xfId="15108"/>
    <cellStyle name="Comma 4 2 4 3 2 6" xfId="2886"/>
    <cellStyle name="Comma 4 2 4 3 2 6 2" xfId="14534"/>
    <cellStyle name="Comma 4 2 4 3 2 7" xfId="10847"/>
    <cellStyle name="Comma 4 2 4 3 2 7 2" xfId="17386"/>
    <cellStyle name="Comma 4 2 4 3 2 8" xfId="13968"/>
    <cellStyle name="Comma 4 2 4 3 3" xfId="4597"/>
    <cellStyle name="Comma 4 2 4 3 3 2" xfId="11707"/>
    <cellStyle name="Comma 4 2 4 3 3 2 2" xfId="18246"/>
    <cellStyle name="Comma 4 2 4 3 3 3" xfId="15394"/>
    <cellStyle name="Comma 4 2 4 3 4" xfId="6869"/>
    <cellStyle name="Comma 4 2 4 3 4 2" xfId="12278"/>
    <cellStyle name="Comma 4 2 4 3 4 2 2" xfId="18817"/>
    <cellStyle name="Comma 4 2 4 3 4 3" xfId="15965"/>
    <cellStyle name="Comma 4 2 4 3 5" xfId="9141"/>
    <cellStyle name="Comma 4 2 4 3 5 2" xfId="12849"/>
    <cellStyle name="Comma 4 2 4 3 5 2 2" xfId="19388"/>
    <cellStyle name="Comma 4 2 4 3 5 3" xfId="16536"/>
    <cellStyle name="Comma 4 2 4 3 6" xfId="3179"/>
    <cellStyle name="Comma 4 2 4 3 6 2" xfId="11136"/>
    <cellStyle name="Comma 4 2 4 3 6 2 2" xfId="17675"/>
    <cellStyle name="Comma 4 2 4 3 6 3" xfId="14823"/>
    <cellStyle name="Comma 4 2 4 3 7" xfId="2606"/>
    <cellStyle name="Comma 4 2 4 3 7 2" xfId="14254"/>
    <cellStyle name="Comma 4 2 4 3 8" xfId="10567"/>
    <cellStyle name="Comma 4 2 4 3 8 2" xfId="17106"/>
    <cellStyle name="Comma 4 2 4 3 9" xfId="13683"/>
    <cellStyle name="Comma 4 2 4 4" xfId="723"/>
    <cellStyle name="Comma 4 2 4 4 2" xfId="1858"/>
    <cellStyle name="Comma 4 2 4 4 2 2" xfId="5278"/>
    <cellStyle name="Comma 4 2 4 4 2 2 2" xfId="11878"/>
    <cellStyle name="Comma 4 2 4 4 2 2 2 2" xfId="18417"/>
    <cellStyle name="Comma 4 2 4 4 2 2 3" xfId="15565"/>
    <cellStyle name="Comma 4 2 4 4 2 3" xfId="7550"/>
    <cellStyle name="Comma 4 2 4 4 2 3 2" xfId="12449"/>
    <cellStyle name="Comma 4 2 4 4 2 3 2 2" xfId="18988"/>
    <cellStyle name="Comma 4 2 4 4 2 3 3" xfId="16136"/>
    <cellStyle name="Comma 4 2 4 4 2 4" xfId="9822"/>
    <cellStyle name="Comma 4 2 4 4 2 4 2" xfId="13020"/>
    <cellStyle name="Comma 4 2 4 4 2 4 2 2" xfId="19559"/>
    <cellStyle name="Comma 4 2 4 4 2 4 3" xfId="16707"/>
    <cellStyle name="Comma 4 2 4 4 2 5" xfId="3350"/>
    <cellStyle name="Comma 4 2 4 4 2 5 2" xfId="11307"/>
    <cellStyle name="Comma 4 2 4 4 2 5 2 2" xfId="17846"/>
    <cellStyle name="Comma 4 2 4 4 2 5 3" xfId="14994"/>
    <cellStyle name="Comma 4 2 4 4 2 6" xfId="2774"/>
    <cellStyle name="Comma 4 2 4 4 2 6 2" xfId="14422"/>
    <cellStyle name="Comma 4 2 4 4 2 7" xfId="10735"/>
    <cellStyle name="Comma 4 2 4 4 2 7 2" xfId="17274"/>
    <cellStyle name="Comma 4 2 4 4 2 8" xfId="13854"/>
    <cellStyle name="Comma 4 2 4 4 3" xfId="4143"/>
    <cellStyle name="Comma 4 2 4 4 3 2" xfId="11593"/>
    <cellStyle name="Comma 4 2 4 4 3 2 2" xfId="18132"/>
    <cellStyle name="Comma 4 2 4 4 3 3" xfId="15280"/>
    <cellStyle name="Comma 4 2 4 4 4" xfId="6415"/>
    <cellStyle name="Comma 4 2 4 4 4 2" xfId="12164"/>
    <cellStyle name="Comma 4 2 4 4 4 2 2" xfId="18703"/>
    <cellStyle name="Comma 4 2 4 4 4 3" xfId="15851"/>
    <cellStyle name="Comma 4 2 4 4 5" xfId="8687"/>
    <cellStyle name="Comma 4 2 4 4 5 2" xfId="12735"/>
    <cellStyle name="Comma 4 2 4 4 5 2 2" xfId="19274"/>
    <cellStyle name="Comma 4 2 4 4 5 3" xfId="16422"/>
    <cellStyle name="Comma 4 2 4 4 6" xfId="3065"/>
    <cellStyle name="Comma 4 2 4 4 6 2" xfId="11022"/>
    <cellStyle name="Comma 4 2 4 4 6 2 2" xfId="17561"/>
    <cellStyle name="Comma 4 2 4 4 6 3" xfId="14709"/>
    <cellStyle name="Comma 4 2 4 4 7" xfId="2494"/>
    <cellStyle name="Comma 4 2 4 4 7 2" xfId="14142"/>
    <cellStyle name="Comma 4 2 4 4 8" xfId="10455"/>
    <cellStyle name="Comma 4 2 4 4 8 2" xfId="16994"/>
    <cellStyle name="Comma 4 2 4 4 9" xfId="13569"/>
    <cellStyle name="Comma 4 2 4 5" xfId="1404"/>
    <cellStyle name="Comma 4 2 4 5 2" xfId="4824"/>
    <cellStyle name="Comma 4 2 4 5 2 2" xfId="11764"/>
    <cellStyle name="Comma 4 2 4 5 2 2 2" xfId="18303"/>
    <cellStyle name="Comma 4 2 4 5 2 3" xfId="15451"/>
    <cellStyle name="Comma 4 2 4 5 3" xfId="7096"/>
    <cellStyle name="Comma 4 2 4 5 3 2" xfId="12335"/>
    <cellStyle name="Comma 4 2 4 5 3 2 2" xfId="18874"/>
    <cellStyle name="Comma 4 2 4 5 3 3" xfId="16022"/>
    <cellStyle name="Comma 4 2 4 5 4" xfId="9368"/>
    <cellStyle name="Comma 4 2 4 5 4 2" xfId="12906"/>
    <cellStyle name="Comma 4 2 4 5 4 2 2" xfId="19445"/>
    <cellStyle name="Comma 4 2 4 5 4 3" xfId="16593"/>
    <cellStyle name="Comma 4 2 4 5 5" xfId="3236"/>
    <cellStyle name="Comma 4 2 4 5 5 2" xfId="11193"/>
    <cellStyle name="Comma 4 2 4 5 5 2 2" xfId="17732"/>
    <cellStyle name="Comma 4 2 4 5 5 3" xfId="14880"/>
    <cellStyle name="Comma 4 2 4 5 6" xfId="2662"/>
    <cellStyle name="Comma 4 2 4 5 6 2" xfId="14310"/>
    <cellStyle name="Comma 4 2 4 5 7" xfId="10623"/>
    <cellStyle name="Comma 4 2 4 5 7 2" xfId="17162"/>
    <cellStyle name="Comma 4 2 4 5 8" xfId="13740"/>
    <cellStyle name="Comma 4 2 4 6" xfId="3689"/>
    <cellStyle name="Comma 4 2 4 6 2" xfId="11479"/>
    <cellStyle name="Comma 4 2 4 6 2 2" xfId="18018"/>
    <cellStyle name="Comma 4 2 4 6 3" xfId="15166"/>
    <cellStyle name="Comma 4 2 4 7" xfId="5961"/>
    <cellStyle name="Comma 4 2 4 7 2" xfId="12050"/>
    <cellStyle name="Comma 4 2 4 7 2 2" xfId="18589"/>
    <cellStyle name="Comma 4 2 4 7 3" xfId="15737"/>
    <cellStyle name="Comma 4 2 4 8" xfId="8233"/>
    <cellStyle name="Comma 4 2 4 8 2" xfId="12621"/>
    <cellStyle name="Comma 4 2 4 8 2 2" xfId="19160"/>
    <cellStyle name="Comma 4 2 4 8 3" xfId="16308"/>
    <cellStyle name="Comma 4 2 4 9" xfId="2951"/>
    <cellStyle name="Comma 4 2 4 9 2" xfId="10908"/>
    <cellStyle name="Comma 4 2 4 9 2 2" xfId="17447"/>
    <cellStyle name="Comma 4 2 4 9 3" xfId="14595"/>
    <cellStyle name="Comma 4 2 5" xfId="325"/>
    <cellStyle name="Comma 4 2 5 10" xfId="13469"/>
    <cellStyle name="Comma 4 2 5 2" xfId="779"/>
    <cellStyle name="Comma 4 2 5 2 2" xfId="1914"/>
    <cellStyle name="Comma 4 2 5 2 2 2" xfId="5334"/>
    <cellStyle name="Comma 4 2 5 2 2 2 2" xfId="11892"/>
    <cellStyle name="Comma 4 2 5 2 2 2 2 2" xfId="18431"/>
    <cellStyle name="Comma 4 2 5 2 2 2 3" xfId="15579"/>
    <cellStyle name="Comma 4 2 5 2 2 3" xfId="7606"/>
    <cellStyle name="Comma 4 2 5 2 2 3 2" xfId="12463"/>
    <cellStyle name="Comma 4 2 5 2 2 3 2 2" xfId="19002"/>
    <cellStyle name="Comma 4 2 5 2 2 3 3" xfId="16150"/>
    <cellStyle name="Comma 4 2 5 2 2 4" xfId="9878"/>
    <cellStyle name="Comma 4 2 5 2 2 4 2" xfId="13034"/>
    <cellStyle name="Comma 4 2 5 2 2 4 2 2" xfId="19573"/>
    <cellStyle name="Comma 4 2 5 2 2 4 3" xfId="16721"/>
    <cellStyle name="Comma 4 2 5 2 2 5" xfId="3364"/>
    <cellStyle name="Comma 4 2 5 2 2 5 2" xfId="11321"/>
    <cellStyle name="Comma 4 2 5 2 2 5 2 2" xfId="17860"/>
    <cellStyle name="Comma 4 2 5 2 2 5 3" xfId="15008"/>
    <cellStyle name="Comma 4 2 5 2 2 6" xfId="2788"/>
    <cellStyle name="Comma 4 2 5 2 2 6 2" xfId="14436"/>
    <cellStyle name="Comma 4 2 5 2 2 7" xfId="10749"/>
    <cellStyle name="Comma 4 2 5 2 2 7 2" xfId="17288"/>
    <cellStyle name="Comma 4 2 5 2 2 8" xfId="13868"/>
    <cellStyle name="Comma 4 2 5 2 3" xfId="4199"/>
    <cellStyle name="Comma 4 2 5 2 3 2" xfId="11607"/>
    <cellStyle name="Comma 4 2 5 2 3 2 2" xfId="18146"/>
    <cellStyle name="Comma 4 2 5 2 3 3" xfId="15294"/>
    <cellStyle name="Comma 4 2 5 2 4" xfId="6471"/>
    <cellStyle name="Comma 4 2 5 2 4 2" xfId="12178"/>
    <cellStyle name="Comma 4 2 5 2 4 2 2" xfId="18717"/>
    <cellStyle name="Comma 4 2 5 2 4 3" xfId="15865"/>
    <cellStyle name="Comma 4 2 5 2 5" xfId="8743"/>
    <cellStyle name="Comma 4 2 5 2 5 2" xfId="12749"/>
    <cellStyle name="Comma 4 2 5 2 5 2 2" xfId="19288"/>
    <cellStyle name="Comma 4 2 5 2 5 3" xfId="16436"/>
    <cellStyle name="Comma 4 2 5 2 6" xfId="3079"/>
    <cellStyle name="Comma 4 2 5 2 6 2" xfId="11036"/>
    <cellStyle name="Comma 4 2 5 2 6 2 2" xfId="17575"/>
    <cellStyle name="Comma 4 2 5 2 6 3" xfId="14723"/>
    <cellStyle name="Comma 4 2 5 2 7" xfId="2508"/>
    <cellStyle name="Comma 4 2 5 2 7 2" xfId="14156"/>
    <cellStyle name="Comma 4 2 5 2 8" xfId="10469"/>
    <cellStyle name="Comma 4 2 5 2 8 2" xfId="17008"/>
    <cellStyle name="Comma 4 2 5 2 9" xfId="13583"/>
    <cellStyle name="Comma 4 2 5 3" xfId="1460"/>
    <cellStyle name="Comma 4 2 5 3 2" xfId="4880"/>
    <cellStyle name="Comma 4 2 5 3 2 2" xfId="11778"/>
    <cellStyle name="Comma 4 2 5 3 2 2 2" xfId="18317"/>
    <cellStyle name="Comma 4 2 5 3 2 3" xfId="15465"/>
    <cellStyle name="Comma 4 2 5 3 3" xfId="7152"/>
    <cellStyle name="Comma 4 2 5 3 3 2" xfId="12349"/>
    <cellStyle name="Comma 4 2 5 3 3 2 2" xfId="18888"/>
    <cellStyle name="Comma 4 2 5 3 3 3" xfId="16036"/>
    <cellStyle name="Comma 4 2 5 3 4" xfId="9424"/>
    <cellStyle name="Comma 4 2 5 3 4 2" xfId="12920"/>
    <cellStyle name="Comma 4 2 5 3 4 2 2" xfId="19459"/>
    <cellStyle name="Comma 4 2 5 3 4 3" xfId="16607"/>
    <cellStyle name="Comma 4 2 5 3 5" xfId="3250"/>
    <cellStyle name="Comma 4 2 5 3 5 2" xfId="11207"/>
    <cellStyle name="Comma 4 2 5 3 5 2 2" xfId="17746"/>
    <cellStyle name="Comma 4 2 5 3 5 3" xfId="14894"/>
    <cellStyle name="Comma 4 2 5 3 6" xfId="2676"/>
    <cellStyle name="Comma 4 2 5 3 6 2" xfId="14324"/>
    <cellStyle name="Comma 4 2 5 3 7" xfId="10637"/>
    <cellStyle name="Comma 4 2 5 3 7 2" xfId="17176"/>
    <cellStyle name="Comma 4 2 5 3 8" xfId="13754"/>
    <cellStyle name="Comma 4 2 5 4" xfId="3745"/>
    <cellStyle name="Comma 4 2 5 4 2" xfId="11493"/>
    <cellStyle name="Comma 4 2 5 4 2 2" xfId="18032"/>
    <cellStyle name="Comma 4 2 5 4 3" xfId="15180"/>
    <cellStyle name="Comma 4 2 5 5" xfId="6017"/>
    <cellStyle name="Comma 4 2 5 5 2" xfId="12064"/>
    <cellStyle name="Comma 4 2 5 5 2 2" xfId="18603"/>
    <cellStyle name="Comma 4 2 5 5 3" xfId="15751"/>
    <cellStyle name="Comma 4 2 5 6" xfId="8289"/>
    <cellStyle name="Comma 4 2 5 6 2" xfId="12635"/>
    <cellStyle name="Comma 4 2 5 6 2 2" xfId="19174"/>
    <cellStyle name="Comma 4 2 5 6 3" xfId="16322"/>
    <cellStyle name="Comma 4 2 5 7" xfId="2965"/>
    <cellStyle name="Comma 4 2 5 7 2" xfId="10922"/>
    <cellStyle name="Comma 4 2 5 7 2 2" xfId="17461"/>
    <cellStyle name="Comma 4 2 5 7 3" xfId="14609"/>
    <cellStyle name="Comma 4 2 5 8" xfId="2396"/>
    <cellStyle name="Comma 4 2 5 8 2" xfId="14044"/>
    <cellStyle name="Comma 4 2 5 9" xfId="10357"/>
    <cellStyle name="Comma 4 2 5 9 2" xfId="16896"/>
    <cellStyle name="Comma 4 2 6" xfId="1006"/>
    <cellStyle name="Comma 4 2 6 2" xfId="2141"/>
    <cellStyle name="Comma 4 2 6 2 2" xfId="5561"/>
    <cellStyle name="Comma 4 2 6 2 2 2" xfId="11949"/>
    <cellStyle name="Comma 4 2 6 2 2 2 2" xfId="18488"/>
    <cellStyle name="Comma 4 2 6 2 2 3" xfId="15636"/>
    <cellStyle name="Comma 4 2 6 2 3" xfId="7833"/>
    <cellStyle name="Comma 4 2 6 2 3 2" xfId="12520"/>
    <cellStyle name="Comma 4 2 6 2 3 2 2" xfId="19059"/>
    <cellStyle name="Comma 4 2 6 2 3 3" xfId="16207"/>
    <cellStyle name="Comma 4 2 6 2 4" xfId="10105"/>
    <cellStyle name="Comma 4 2 6 2 4 2" xfId="13091"/>
    <cellStyle name="Comma 4 2 6 2 4 2 2" xfId="19630"/>
    <cellStyle name="Comma 4 2 6 2 4 3" xfId="16778"/>
    <cellStyle name="Comma 4 2 6 2 5" xfId="3421"/>
    <cellStyle name="Comma 4 2 6 2 5 2" xfId="11378"/>
    <cellStyle name="Comma 4 2 6 2 5 2 2" xfId="17917"/>
    <cellStyle name="Comma 4 2 6 2 5 3" xfId="15065"/>
    <cellStyle name="Comma 4 2 6 2 6" xfId="2844"/>
    <cellStyle name="Comma 4 2 6 2 6 2" xfId="14492"/>
    <cellStyle name="Comma 4 2 6 2 7" xfId="10805"/>
    <cellStyle name="Comma 4 2 6 2 7 2" xfId="17344"/>
    <cellStyle name="Comma 4 2 6 2 8" xfId="13925"/>
    <cellStyle name="Comma 4 2 6 3" xfId="4426"/>
    <cellStyle name="Comma 4 2 6 3 2" xfId="11664"/>
    <cellStyle name="Comma 4 2 6 3 2 2" xfId="18203"/>
    <cellStyle name="Comma 4 2 6 3 3" xfId="15351"/>
    <cellStyle name="Comma 4 2 6 4" xfId="6698"/>
    <cellStyle name="Comma 4 2 6 4 2" xfId="12235"/>
    <cellStyle name="Comma 4 2 6 4 2 2" xfId="18774"/>
    <cellStyle name="Comma 4 2 6 4 3" xfId="15922"/>
    <cellStyle name="Comma 4 2 6 5" xfId="8970"/>
    <cellStyle name="Comma 4 2 6 5 2" xfId="12806"/>
    <cellStyle name="Comma 4 2 6 5 2 2" xfId="19345"/>
    <cellStyle name="Comma 4 2 6 5 3" xfId="16493"/>
    <cellStyle name="Comma 4 2 6 6" xfId="3136"/>
    <cellStyle name="Comma 4 2 6 6 2" xfId="11093"/>
    <cellStyle name="Comma 4 2 6 6 2 2" xfId="17632"/>
    <cellStyle name="Comma 4 2 6 6 3" xfId="14780"/>
    <cellStyle name="Comma 4 2 6 7" xfId="2564"/>
    <cellStyle name="Comma 4 2 6 7 2" xfId="14212"/>
    <cellStyle name="Comma 4 2 6 8" xfId="10525"/>
    <cellStyle name="Comma 4 2 6 8 2" xfId="17064"/>
    <cellStyle name="Comma 4 2 6 9" xfId="13640"/>
    <cellStyle name="Comma 4 2 7" xfId="552"/>
    <cellStyle name="Comma 4 2 7 2" xfId="1687"/>
    <cellStyle name="Comma 4 2 7 2 2" xfId="5107"/>
    <cellStyle name="Comma 4 2 7 2 2 2" xfId="11835"/>
    <cellStyle name="Comma 4 2 7 2 2 2 2" xfId="18374"/>
    <cellStyle name="Comma 4 2 7 2 2 3" xfId="15522"/>
    <cellStyle name="Comma 4 2 7 2 3" xfId="7379"/>
    <cellStyle name="Comma 4 2 7 2 3 2" xfId="12406"/>
    <cellStyle name="Comma 4 2 7 2 3 2 2" xfId="18945"/>
    <cellStyle name="Comma 4 2 7 2 3 3" xfId="16093"/>
    <cellStyle name="Comma 4 2 7 2 4" xfId="9651"/>
    <cellStyle name="Comma 4 2 7 2 4 2" xfId="12977"/>
    <cellStyle name="Comma 4 2 7 2 4 2 2" xfId="19516"/>
    <cellStyle name="Comma 4 2 7 2 4 3" xfId="16664"/>
    <cellStyle name="Comma 4 2 7 2 5" xfId="3307"/>
    <cellStyle name="Comma 4 2 7 2 5 2" xfId="11264"/>
    <cellStyle name="Comma 4 2 7 2 5 2 2" xfId="17803"/>
    <cellStyle name="Comma 4 2 7 2 5 3" xfId="14951"/>
    <cellStyle name="Comma 4 2 7 2 6" xfId="2732"/>
    <cellStyle name="Comma 4 2 7 2 6 2" xfId="14380"/>
    <cellStyle name="Comma 4 2 7 2 7" xfId="10693"/>
    <cellStyle name="Comma 4 2 7 2 7 2" xfId="17232"/>
    <cellStyle name="Comma 4 2 7 2 8" xfId="13811"/>
    <cellStyle name="Comma 4 2 7 3" xfId="3972"/>
    <cellStyle name="Comma 4 2 7 3 2" xfId="11550"/>
    <cellStyle name="Comma 4 2 7 3 2 2" xfId="18089"/>
    <cellStyle name="Comma 4 2 7 3 3" xfId="15237"/>
    <cellStyle name="Comma 4 2 7 4" xfId="6244"/>
    <cellStyle name="Comma 4 2 7 4 2" xfId="12121"/>
    <cellStyle name="Comma 4 2 7 4 2 2" xfId="18660"/>
    <cellStyle name="Comma 4 2 7 4 3" xfId="15808"/>
    <cellStyle name="Comma 4 2 7 5" xfId="8516"/>
    <cellStyle name="Comma 4 2 7 5 2" xfId="12692"/>
    <cellStyle name="Comma 4 2 7 5 2 2" xfId="19231"/>
    <cellStyle name="Comma 4 2 7 5 3" xfId="16379"/>
    <cellStyle name="Comma 4 2 7 6" xfId="3022"/>
    <cellStyle name="Comma 4 2 7 6 2" xfId="10979"/>
    <cellStyle name="Comma 4 2 7 6 2 2" xfId="17518"/>
    <cellStyle name="Comma 4 2 7 6 3" xfId="14666"/>
    <cellStyle name="Comma 4 2 7 7" xfId="2452"/>
    <cellStyle name="Comma 4 2 7 7 2" xfId="14100"/>
    <cellStyle name="Comma 4 2 7 8" xfId="10413"/>
    <cellStyle name="Comma 4 2 7 8 2" xfId="16952"/>
    <cellStyle name="Comma 4 2 7 9" xfId="13526"/>
    <cellStyle name="Comma 4 2 8" xfId="1233"/>
    <cellStyle name="Comma 4 2 8 2" xfId="4653"/>
    <cellStyle name="Comma 4 2 8 2 2" xfId="11721"/>
    <cellStyle name="Comma 4 2 8 2 2 2" xfId="18260"/>
    <cellStyle name="Comma 4 2 8 2 3" xfId="15408"/>
    <cellStyle name="Comma 4 2 8 3" xfId="6925"/>
    <cellStyle name="Comma 4 2 8 3 2" xfId="12292"/>
    <cellStyle name="Comma 4 2 8 3 2 2" xfId="18831"/>
    <cellStyle name="Comma 4 2 8 3 3" xfId="15979"/>
    <cellStyle name="Comma 4 2 8 4" xfId="9197"/>
    <cellStyle name="Comma 4 2 8 4 2" xfId="12863"/>
    <cellStyle name="Comma 4 2 8 4 2 2" xfId="19402"/>
    <cellStyle name="Comma 4 2 8 4 3" xfId="16550"/>
    <cellStyle name="Comma 4 2 8 5" xfId="3193"/>
    <cellStyle name="Comma 4 2 8 5 2" xfId="11150"/>
    <cellStyle name="Comma 4 2 8 5 2 2" xfId="17689"/>
    <cellStyle name="Comma 4 2 8 5 3" xfId="14837"/>
    <cellStyle name="Comma 4 2 8 6" xfId="2620"/>
    <cellStyle name="Comma 4 2 8 6 2" xfId="14268"/>
    <cellStyle name="Comma 4 2 8 7" xfId="10581"/>
    <cellStyle name="Comma 4 2 8 7 2" xfId="17120"/>
    <cellStyle name="Comma 4 2 8 8" xfId="13697"/>
    <cellStyle name="Comma 4 2 9" xfId="3518"/>
    <cellStyle name="Comma 4 2 9 2" xfId="11436"/>
    <cellStyle name="Comma 4 2 9 2 2" xfId="17975"/>
    <cellStyle name="Comma 4 2 9 3" xfId="15123"/>
    <cellStyle name="Comma 4 20" xfId="19779"/>
    <cellStyle name="Comma 4 3" xfId="171"/>
    <cellStyle name="Comma 4 3 10" xfId="2360"/>
    <cellStyle name="Comma 4 3 10 2" xfId="14008"/>
    <cellStyle name="Comma 4 3 11" xfId="10321"/>
    <cellStyle name="Comma 4 3 11 2" xfId="16860"/>
    <cellStyle name="Comma 4 3 12" xfId="13432"/>
    <cellStyle name="Comma 4 3 2" xfId="409"/>
    <cellStyle name="Comma 4 3 2 10" xfId="13490"/>
    <cellStyle name="Comma 4 3 2 2" xfId="863"/>
    <cellStyle name="Comma 4 3 2 2 2" xfId="1998"/>
    <cellStyle name="Comma 4 3 2 2 2 2" xfId="5418"/>
    <cellStyle name="Comma 4 3 2 2 2 2 2" xfId="11913"/>
    <cellStyle name="Comma 4 3 2 2 2 2 2 2" xfId="18452"/>
    <cellStyle name="Comma 4 3 2 2 2 2 3" xfId="15600"/>
    <cellStyle name="Comma 4 3 2 2 2 3" xfId="7690"/>
    <cellStyle name="Comma 4 3 2 2 2 3 2" xfId="12484"/>
    <cellStyle name="Comma 4 3 2 2 2 3 2 2" xfId="19023"/>
    <cellStyle name="Comma 4 3 2 2 2 3 3" xfId="16171"/>
    <cellStyle name="Comma 4 3 2 2 2 4" xfId="9962"/>
    <cellStyle name="Comma 4 3 2 2 2 4 2" xfId="13055"/>
    <cellStyle name="Comma 4 3 2 2 2 4 2 2" xfId="19594"/>
    <cellStyle name="Comma 4 3 2 2 2 4 3" xfId="16742"/>
    <cellStyle name="Comma 4 3 2 2 2 5" xfId="3385"/>
    <cellStyle name="Comma 4 3 2 2 2 5 2" xfId="11342"/>
    <cellStyle name="Comma 4 3 2 2 2 5 2 2" xfId="17881"/>
    <cellStyle name="Comma 4 3 2 2 2 5 3" xfId="15029"/>
    <cellStyle name="Comma 4 3 2 2 2 6" xfId="2809"/>
    <cellStyle name="Comma 4 3 2 2 2 6 2" xfId="14457"/>
    <cellStyle name="Comma 4 3 2 2 2 7" xfId="10770"/>
    <cellStyle name="Comma 4 3 2 2 2 7 2" xfId="17309"/>
    <cellStyle name="Comma 4 3 2 2 2 8" xfId="13889"/>
    <cellStyle name="Comma 4 3 2 2 3" xfId="4283"/>
    <cellStyle name="Comma 4 3 2 2 3 2" xfId="11628"/>
    <cellStyle name="Comma 4 3 2 2 3 2 2" xfId="18167"/>
    <cellStyle name="Comma 4 3 2 2 3 3" xfId="15315"/>
    <cellStyle name="Comma 4 3 2 2 4" xfId="6555"/>
    <cellStyle name="Comma 4 3 2 2 4 2" xfId="12199"/>
    <cellStyle name="Comma 4 3 2 2 4 2 2" xfId="18738"/>
    <cellStyle name="Comma 4 3 2 2 4 3" xfId="15886"/>
    <cellStyle name="Comma 4 3 2 2 5" xfId="8827"/>
    <cellStyle name="Comma 4 3 2 2 5 2" xfId="12770"/>
    <cellStyle name="Comma 4 3 2 2 5 2 2" xfId="19309"/>
    <cellStyle name="Comma 4 3 2 2 5 3" xfId="16457"/>
    <cellStyle name="Comma 4 3 2 2 6" xfId="3100"/>
    <cellStyle name="Comma 4 3 2 2 6 2" xfId="11057"/>
    <cellStyle name="Comma 4 3 2 2 6 2 2" xfId="17596"/>
    <cellStyle name="Comma 4 3 2 2 6 3" xfId="14744"/>
    <cellStyle name="Comma 4 3 2 2 7" xfId="2529"/>
    <cellStyle name="Comma 4 3 2 2 7 2" xfId="14177"/>
    <cellStyle name="Comma 4 3 2 2 8" xfId="10490"/>
    <cellStyle name="Comma 4 3 2 2 8 2" xfId="17029"/>
    <cellStyle name="Comma 4 3 2 2 9" xfId="13604"/>
    <cellStyle name="Comma 4 3 2 3" xfId="1544"/>
    <cellStyle name="Comma 4 3 2 3 2" xfId="4964"/>
    <cellStyle name="Comma 4 3 2 3 2 2" xfId="11799"/>
    <cellStyle name="Comma 4 3 2 3 2 2 2" xfId="18338"/>
    <cellStyle name="Comma 4 3 2 3 2 3" xfId="15486"/>
    <cellStyle name="Comma 4 3 2 3 3" xfId="7236"/>
    <cellStyle name="Comma 4 3 2 3 3 2" xfId="12370"/>
    <cellStyle name="Comma 4 3 2 3 3 2 2" xfId="18909"/>
    <cellStyle name="Comma 4 3 2 3 3 3" xfId="16057"/>
    <cellStyle name="Comma 4 3 2 3 4" xfId="9508"/>
    <cellStyle name="Comma 4 3 2 3 4 2" xfId="12941"/>
    <cellStyle name="Comma 4 3 2 3 4 2 2" xfId="19480"/>
    <cellStyle name="Comma 4 3 2 3 4 3" xfId="16628"/>
    <cellStyle name="Comma 4 3 2 3 5" xfId="3271"/>
    <cellStyle name="Comma 4 3 2 3 5 2" xfId="11228"/>
    <cellStyle name="Comma 4 3 2 3 5 2 2" xfId="17767"/>
    <cellStyle name="Comma 4 3 2 3 5 3" xfId="14915"/>
    <cellStyle name="Comma 4 3 2 3 6" xfId="2697"/>
    <cellStyle name="Comma 4 3 2 3 6 2" xfId="14345"/>
    <cellStyle name="Comma 4 3 2 3 7" xfId="10658"/>
    <cellStyle name="Comma 4 3 2 3 7 2" xfId="17197"/>
    <cellStyle name="Comma 4 3 2 3 8" xfId="13775"/>
    <cellStyle name="Comma 4 3 2 4" xfId="3829"/>
    <cellStyle name="Comma 4 3 2 4 2" xfId="11514"/>
    <cellStyle name="Comma 4 3 2 4 2 2" xfId="18053"/>
    <cellStyle name="Comma 4 3 2 4 3" xfId="15201"/>
    <cellStyle name="Comma 4 3 2 5" xfId="6101"/>
    <cellStyle name="Comma 4 3 2 5 2" xfId="12085"/>
    <cellStyle name="Comma 4 3 2 5 2 2" xfId="18624"/>
    <cellStyle name="Comma 4 3 2 5 3" xfId="15772"/>
    <cellStyle name="Comma 4 3 2 6" xfId="8373"/>
    <cellStyle name="Comma 4 3 2 6 2" xfId="12656"/>
    <cellStyle name="Comma 4 3 2 6 2 2" xfId="19195"/>
    <cellStyle name="Comma 4 3 2 6 3" xfId="16343"/>
    <cellStyle name="Comma 4 3 2 7" xfId="2986"/>
    <cellStyle name="Comma 4 3 2 7 2" xfId="10943"/>
    <cellStyle name="Comma 4 3 2 7 2 2" xfId="17482"/>
    <cellStyle name="Comma 4 3 2 7 3" xfId="14630"/>
    <cellStyle name="Comma 4 3 2 8" xfId="2417"/>
    <cellStyle name="Comma 4 3 2 8 2" xfId="14065"/>
    <cellStyle name="Comma 4 3 2 9" xfId="10378"/>
    <cellStyle name="Comma 4 3 2 9 2" xfId="16917"/>
    <cellStyle name="Comma 4 3 3" xfId="1090"/>
    <cellStyle name="Comma 4 3 3 2" xfId="2225"/>
    <cellStyle name="Comma 4 3 3 2 2" xfId="5645"/>
    <cellStyle name="Comma 4 3 3 2 2 2" xfId="11970"/>
    <cellStyle name="Comma 4 3 3 2 2 2 2" xfId="18509"/>
    <cellStyle name="Comma 4 3 3 2 2 3" xfId="15657"/>
    <cellStyle name="Comma 4 3 3 2 3" xfId="7917"/>
    <cellStyle name="Comma 4 3 3 2 3 2" xfId="12541"/>
    <cellStyle name="Comma 4 3 3 2 3 2 2" xfId="19080"/>
    <cellStyle name="Comma 4 3 3 2 3 3" xfId="16228"/>
    <cellStyle name="Comma 4 3 3 2 4" xfId="10189"/>
    <cellStyle name="Comma 4 3 3 2 4 2" xfId="13112"/>
    <cellStyle name="Comma 4 3 3 2 4 2 2" xfId="19651"/>
    <cellStyle name="Comma 4 3 3 2 4 3" xfId="16799"/>
    <cellStyle name="Comma 4 3 3 2 5" xfId="3442"/>
    <cellStyle name="Comma 4 3 3 2 5 2" xfId="11399"/>
    <cellStyle name="Comma 4 3 3 2 5 2 2" xfId="17938"/>
    <cellStyle name="Comma 4 3 3 2 5 3" xfId="15086"/>
    <cellStyle name="Comma 4 3 3 2 6" xfId="2865"/>
    <cellStyle name="Comma 4 3 3 2 6 2" xfId="14513"/>
    <cellStyle name="Comma 4 3 3 2 7" xfId="10826"/>
    <cellStyle name="Comma 4 3 3 2 7 2" xfId="17365"/>
    <cellStyle name="Comma 4 3 3 2 8" xfId="13946"/>
    <cellStyle name="Comma 4 3 3 3" xfId="4510"/>
    <cellStyle name="Comma 4 3 3 3 2" xfId="11685"/>
    <cellStyle name="Comma 4 3 3 3 2 2" xfId="18224"/>
    <cellStyle name="Comma 4 3 3 3 3" xfId="15372"/>
    <cellStyle name="Comma 4 3 3 4" xfId="6782"/>
    <cellStyle name="Comma 4 3 3 4 2" xfId="12256"/>
    <cellStyle name="Comma 4 3 3 4 2 2" xfId="18795"/>
    <cellStyle name="Comma 4 3 3 4 3" xfId="15943"/>
    <cellStyle name="Comma 4 3 3 5" xfId="9054"/>
    <cellStyle name="Comma 4 3 3 5 2" xfId="12827"/>
    <cellStyle name="Comma 4 3 3 5 2 2" xfId="19366"/>
    <cellStyle name="Comma 4 3 3 5 3" xfId="16514"/>
    <cellStyle name="Comma 4 3 3 6" xfId="3157"/>
    <cellStyle name="Comma 4 3 3 6 2" xfId="11114"/>
    <cellStyle name="Comma 4 3 3 6 2 2" xfId="17653"/>
    <cellStyle name="Comma 4 3 3 6 3" xfId="14801"/>
    <cellStyle name="Comma 4 3 3 7" xfId="2585"/>
    <cellStyle name="Comma 4 3 3 7 2" xfId="14233"/>
    <cellStyle name="Comma 4 3 3 8" xfId="10546"/>
    <cellStyle name="Comma 4 3 3 8 2" xfId="17085"/>
    <cellStyle name="Comma 4 3 3 9" xfId="13661"/>
    <cellStyle name="Comma 4 3 4" xfId="636"/>
    <cellStyle name="Comma 4 3 4 2" xfId="1771"/>
    <cellStyle name="Comma 4 3 4 2 2" xfId="5191"/>
    <cellStyle name="Comma 4 3 4 2 2 2" xfId="11856"/>
    <cellStyle name="Comma 4 3 4 2 2 2 2" xfId="18395"/>
    <cellStyle name="Comma 4 3 4 2 2 3" xfId="15543"/>
    <cellStyle name="Comma 4 3 4 2 3" xfId="7463"/>
    <cellStyle name="Comma 4 3 4 2 3 2" xfId="12427"/>
    <cellStyle name="Comma 4 3 4 2 3 2 2" xfId="18966"/>
    <cellStyle name="Comma 4 3 4 2 3 3" xfId="16114"/>
    <cellStyle name="Comma 4 3 4 2 4" xfId="9735"/>
    <cellStyle name="Comma 4 3 4 2 4 2" xfId="12998"/>
    <cellStyle name="Comma 4 3 4 2 4 2 2" xfId="19537"/>
    <cellStyle name="Comma 4 3 4 2 4 3" xfId="16685"/>
    <cellStyle name="Comma 4 3 4 2 5" xfId="3328"/>
    <cellStyle name="Comma 4 3 4 2 5 2" xfId="11285"/>
    <cellStyle name="Comma 4 3 4 2 5 2 2" xfId="17824"/>
    <cellStyle name="Comma 4 3 4 2 5 3" xfId="14972"/>
    <cellStyle name="Comma 4 3 4 2 6" xfId="2753"/>
    <cellStyle name="Comma 4 3 4 2 6 2" xfId="14401"/>
    <cellStyle name="Comma 4 3 4 2 7" xfId="10714"/>
    <cellStyle name="Comma 4 3 4 2 7 2" xfId="17253"/>
    <cellStyle name="Comma 4 3 4 2 8" xfId="13832"/>
    <cellStyle name="Comma 4 3 4 3" xfId="4056"/>
    <cellStyle name="Comma 4 3 4 3 2" xfId="11571"/>
    <cellStyle name="Comma 4 3 4 3 2 2" xfId="18110"/>
    <cellStyle name="Comma 4 3 4 3 3" xfId="15258"/>
    <cellStyle name="Comma 4 3 4 4" xfId="6328"/>
    <cellStyle name="Comma 4 3 4 4 2" xfId="12142"/>
    <cellStyle name="Comma 4 3 4 4 2 2" xfId="18681"/>
    <cellStyle name="Comma 4 3 4 4 3" xfId="15829"/>
    <cellStyle name="Comma 4 3 4 5" xfId="8600"/>
    <cellStyle name="Comma 4 3 4 5 2" xfId="12713"/>
    <cellStyle name="Comma 4 3 4 5 2 2" xfId="19252"/>
    <cellStyle name="Comma 4 3 4 5 3" xfId="16400"/>
    <cellStyle name="Comma 4 3 4 6" xfId="3043"/>
    <cellStyle name="Comma 4 3 4 6 2" xfId="11000"/>
    <cellStyle name="Comma 4 3 4 6 2 2" xfId="17539"/>
    <cellStyle name="Comma 4 3 4 6 3" xfId="14687"/>
    <cellStyle name="Comma 4 3 4 7" xfId="2473"/>
    <cellStyle name="Comma 4 3 4 7 2" xfId="14121"/>
    <cellStyle name="Comma 4 3 4 8" xfId="10434"/>
    <cellStyle name="Comma 4 3 4 8 2" xfId="16973"/>
    <cellStyle name="Comma 4 3 4 9" xfId="13547"/>
    <cellStyle name="Comma 4 3 5" xfId="1317"/>
    <cellStyle name="Comma 4 3 5 2" xfId="4737"/>
    <cellStyle name="Comma 4 3 5 2 2" xfId="11742"/>
    <cellStyle name="Comma 4 3 5 2 2 2" xfId="18281"/>
    <cellStyle name="Comma 4 3 5 2 3" xfId="15429"/>
    <cellStyle name="Comma 4 3 5 3" xfId="7009"/>
    <cellStyle name="Comma 4 3 5 3 2" xfId="12313"/>
    <cellStyle name="Comma 4 3 5 3 2 2" xfId="18852"/>
    <cellStyle name="Comma 4 3 5 3 3" xfId="16000"/>
    <cellStyle name="Comma 4 3 5 4" xfId="9281"/>
    <cellStyle name="Comma 4 3 5 4 2" xfId="12884"/>
    <cellStyle name="Comma 4 3 5 4 2 2" xfId="19423"/>
    <cellStyle name="Comma 4 3 5 4 3" xfId="16571"/>
    <cellStyle name="Comma 4 3 5 5" xfId="3214"/>
    <cellStyle name="Comma 4 3 5 5 2" xfId="11171"/>
    <cellStyle name="Comma 4 3 5 5 2 2" xfId="17710"/>
    <cellStyle name="Comma 4 3 5 5 3" xfId="14858"/>
    <cellStyle name="Comma 4 3 5 6" xfId="2641"/>
    <cellStyle name="Comma 4 3 5 6 2" xfId="14289"/>
    <cellStyle name="Comma 4 3 5 7" xfId="10602"/>
    <cellStyle name="Comma 4 3 5 7 2" xfId="17141"/>
    <cellStyle name="Comma 4 3 5 8" xfId="13718"/>
    <cellStyle name="Comma 4 3 6" xfId="3602"/>
    <cellStyle name="Comma 4 3 6 2" xfId="11457"/>
    <cellStyle name="Comma 4 3 6 2 2" xfId="17996"/>
    <cellStyle name="Comma 4 3 6 3" xfId="15144"/>
    <cellStyle name="Comma 4 3 7" xfId="5874"/>
    <cellStyle name="Comma 4 3 7 2" xfId="12028"/>
    <cellStyle name="Comma 4 3 7 2 2" xfId="18567"/>
    <cellStyle name="Comma 4 3 7 3" xfId="15715"/>
    <cellStyle name="Comma 4 3 8" xfId="8146"/>
    <cellStyle name="Comma 4 3 8 2" xfId="12599"/>
    <cellStyle name="Comma 4 3 8 2 2" xfId="19138"/>
    <cellStyle name="Comma 4 3 8 3" xfId="16286"/>
    <cellStyle name="Comma 4 3 9" xfId="2926"/>
    <cellStyle name="Comma 4 3 9 2" xfId="10885"/>
    <cellStyle name="Comma 4 3 9 2 2" xfId="17424"/>
    <cellStyle name="Comma 4 3 9 3" xfId="14572"/>
    <cellStyle name="Comma 4 4" xfId="115"/>
    <cellStyle name="Comma 4 4 10" xfId="2346"/>
    <cellStyle name="Comma 4 4 10 2" xfId="13994"/>
    <cellStyle name="Comma 4 4 11" xfId="10307"/>
    <cellStyle name="Comma 4 4 11 2" xfId="16846"/>
    <cellStyle name="Comma 4 4 12" xfId="13418"/>
    <cellStyle name="Comma 4 4 2" xfId="353"/>
    <cellStyle name="Comma 4 4 2 10" xfId="13476"/>
    <cellStyle name="Comma 4 4 2 2" xfId="807"/>
    <cellStyle name="Comma 4 4 2 2 2" xfId="1942"/>
    <cellStyle name="Comma 4 4 2 2 2 2" xfId="5362"/>
    <cellStyle name="Comma 4 4 2 2 2 2 2" xfId="11899"/>
    <cellStyle name="Comma 4 4 2 2 2 2 2 2" xfId="18438"/>
    <cellStyle name="Comma 4 4 2 2 2 2 3" xfId="15586"/>
    <cellStyle name="Comma 4 4 2 2 2 3" xfId="7634"/>
    <cellStyle name="Comma 4 4 2 2 2 3 2" xfId="12470"/>
    <cellStyle name="Comma 4 4 2 2 2 3 2 2" xfId="19009"/>
    <cellStyle name="Comma 4 4 2 2 2 3 3" xfId="16157"/>
    <cellStyle name="Comma 4 4 2 2 2 4" xfId="9906"/>
    <cellStyle name="Comma 4 4 2 2 2 4 2" xfId="13041"/>
    <cellStyle name="Comma 4 4 2 2 2 4 2 2" xfId="19580"/>
    <cellStyle name="Comma 4 4 2 2 2 4 3" xfId="16728"/>
    <cellStyle name="Comma 4 4 2 2 2 5" xfId="3371"/>
    <cellStyle name="Comma 4 4 2 2 2 5 2" xfId="11328"/>
    <cellStyle name="Comma 4 4 2 2 2 5 2 2" xfId="17867"/>
    <cellStyle name="Comma 4 4 2 2 2 5 3" xfId="15015"/>
    <cellStyle name="Comma 4 4 2 2 2 6" xfId="2795"/>
    <cellStyle name="Comma 4 4 2 2 2 6 2" xfId="14443"/>
    <cellStyle name="Comma 4 4 2 2 2 7" xfId="10756"/>
    <cellStyle name="Comma 4 4 2 2 2 7 2" xfId="17295"/>
    <cellStyle name="Comma 4 4 2 2 2 8" xfId="13875"/>
    <cellStyle name="Comma 4 4 2 2 3" xfId="4227"/>
    <cellStyle name="Comma 4 4 2 2 3 2" xfId="11614"/>
    <cellStyle name="Comma 4 4 2 2 3 2 2" xfId="18153"/>
    <cellStyle name="Comma 4 4 2 2 3 3" xfId="15301"/>
    <cellStyle name="Comma 4 4 2 2 4" xfId="6499"/>
    <cellStyle name="Comma 4 4 2 2 4 2" xfId="12185"/>
    <cellStyle name="Comma 4 4 2 2 4 2 2" xfId="18724"/>
    <cellStyle name="Comma 4 4 2 2 4 3" xfId="15872"/>
    <cellStyle name="Comma 4 4 2 2 5" xfId="8771"/>
    <cellStyle name="Comma 4 4 2 2 5 2" xfId="12756"/>
    <cellStyle name="Comma 4 4 2 2 5 2 2" xfId="19295"/>
    <cellStyle name="Comma 4 4 2 2 5 3" xfId="16443"/>
    <cellStyle name="Comma 4 4 2 2 6" xfId="3086"/>
    <cellStyle name="Comma 4 4 2 2 6 2" xfId="11043"/>
    <cellStyle name="Comma 4 4 2 2 6 2 2" xfId="17582"/>
    <cellStyle name="Comma 4 4 2 2 6 3" xfId="14730"/>
    <cellStyle name="Comma 4 4 2 2 7" xfId="2515"/>
    <cellStyle name="Comma 4 4 2 2 7 2" xfId="14163"/>
    <cellStyle name="Comma 4 4 2 2 8" xfId="10476"/>
    <cellStyle name="Comma 4 4 2 2 8 2" xfId="17015"/>
    <cellStyle name="Comma 4 4 2 2 9" xfId="13590"/>
    <cellStyle name="Comma 4 4 2 3" xfId="1488"/>
    <cellStyle name="Comma 4 4 2 3 2" xfId="4908"/>
    <cellStyle name="Comma 4 4 2 3 2 2" xfId="11785"/>
    <cellStyle name="Comma 4 4 2 3 2 2 2" xfId="18324"/>
    <cellStyle name="Comma 4 4 2 3 2 3" xfId="15472"/>
    <cellStyle name="Comma 4 4 2 3 3" xfId="7180"/>
    <cellStyle name="Comma 4 4 2 3 3 2" xfId="12356"/>
    <cellStyle name="Comma 4 4 2 3 3 2 2" xfId="18895"/>
    <cellStyle name="Comma 4 4 2 3 3 3" xfId="16043"/>
    <cellStyle name="Comma 4 4 2 3 4" xfId="9452"/>
    <cellStyle name="Comma 4 4 2 3 4 2" xfId="12927"/>
    <cellStyle name="Comma 4 4 2 3 4 2 2" xfId="19466"/>
    <cellStyle name="Comma 4 4 2 3 4 3" xfId="16614"/>
    <cellStyle name="Comma 4 4 2 3 5" xfId="3257"/>
    <cellStyle name="Comma 4 4 2 3 5 2" xfId="11214"/>
    <cellStyle name="Comma 4 4 2 3 5 2 2" xfId="17753"/>
    <cellStyle name="Comma 4 4 2 3 5 3" xfId="14901"/>
    <cellStyle name="Comma 4 4 2 3 6" xfId="2683"/>
    <cellStyle name="Comma 4 4 2 3 6 2" xfId="14331"/>
    <cellStyle name="Comma 4 4 2 3 7" xfId="10644"/>
    <cellStyle name="Comma 4 4 2 3 7 2" xfId="17183"/>
    <cellStyle name="Comma 4 4 2 3 8" xfId="13761"/>
    <cellStyle name="Comma 4 4 2 4" xfId="3773"/>
    <cellStyle name="Comma 4 4 2 4 2" xfId="11500"/>
    <cellStyle name="Comma 4 4 2 4 2 2" xfId="18039"/>
    <cellStyle name="Comma 4 4 2 4 3" xfId="15187"/>
    <cellStyle name="Comma 4 4 2 5" xfId="6045"/>
    <cellStyle name="Comma 4 4 2 5 2" xfId="12071"/>
    <cellStyle name="Comma 4 4 2 5 2 2" xfId="18610"/>
    <cellStyle name="Comma 4 4 2 5 3" xfId="15758"/>
    <cellStyle name="Comma 4 4 2 6" xfId="8317"/>
    <cellStyle name="Comma 4 4 2 6 2" xfId="12642"/>
    <cellStyle name="Comma 4 4 2 6 2 2" xfId="19181"/>
    <cellStyle name="Comma 4 4 2 6 3" xfId="16329"/>
    <cellStyle name="Comma 4 4 2 7" xfId="2972"/>
    <cellStyle name="Comma 4 4 2 7 2" xfId="10929"/>
    <cellStyle name="Comma 4 4 2 7 2 2" xfId="17468"/>
    <cellStyle name="Comma 4 4 2 7 3" xfId="14616"/>
    <cellStyle name="Comma 4 4 2 8" xfId="2403"/>
    <cellStyle name="Comma 4 4 2 8 2" xfId="14051"/>
    <cellStyle name="Comma 4 4 2 9" xfId="10364"/>
    <cellStyle name="Comma 4 4 2 9 2" xfId="16903"/>
    <cellStyle name="Comma 4 4 3" xfId="1034"/>
    <cellStyle name="Comma 4 4 3 2" xfId="2169"/>
    <cellStyle name="Comma 4 4 3 2 2" xfId="5589"/>
    <cellStyle name="Comma 4 4 3 2 2 2" xfId="11956"/>
    <cellStyle name="Comma 4 4 3 2 2 2 2" xfId="18495"/>
    <cellStyle name="Comma 4 4 3 2 2 3" xfId="15643"/>
    <cellStyle name="Comma 4 4 3 2 3" xfId="7861"/>
    <cellStyle name="Comma 4 4 3 2 3 2" xfId="12527"/>
    <cellStyle name="Comma 4 4 3 2 3 2 2" xfId="19066"/>
    <cellStyle name="Comma 4 4 3 2 3 3" xfId="16214"/>
    <cellStyle name="Comma 4 4 3 2 4" xfId="10133"/>
    <cellStyle name="Comma 4 4 3 2 4 2" xfId="13098"/>
    <cellStyle name="Comma 4 4 3 2 4 2 2" xfId="19637"/>
    <cellStyle name="Comma 4 4 3 2 4 3" xfId="16785"/>
    <cellStyle name="Comma 4 4 3 2 5" xfId="3428"/>
    <cellStyle name="Comma 4 4 3 2 5 2" xfId="11385"/>
    <cellStyle name="Comma 4 4 3 2 5 2 2" xfId="17924"/>
    <cellStyle name="Comma 4 4 3 2 5 3" xfId="15072"/>
    <cellStyle name="Comma 4 4 3 2 6" xfId="2851"/>
    <cellStyle name="Comma 4 4 3 2 6 2" xfId="14499"/>
    <cellStyle name="Comma 4 4 3 2 7" xfId="10812"/>
    <cellStyle name="Comma 4 4 3 2 7 2" xfId="17351"/>
    <cellStyle name="Comma 4 4 3 2 8" xfId="13932"/>
    <cellStyle name="Comma 4 4 3 3" xfId="4454"/>
    <cellStyle name="Comma 4 4 3 3 2" xfId="11671"/>
    <cellStyle name="Comma 4 4 3 3 2 2" xfId="18210"/>
    <cellStyle name="Comma 4 4 3 3 3" xfId="15358"/>
    <cellStyle name="Comma 4 4 3 4" xfId="6726"/>
    <cellStyle name="Comma 4 4 3 4 2" xfId="12242"/>
    <cellStyle name="Comma 4 4 3 4 2 2" xfId="18781"/>
    <cellStyle name="Comma 4 4 3 4 3" xfId="15929"/>
    <cellStyle name="Comma 4 4 3 5" xfId="8998"/>
    <cellStyle name="Comma 4 4 3 5 2" xfId="12813"/>
    <cellStyle name="Comma 4 4 3 5 2 2" xfId="19352"/>
    <cellStyle name="Comma 4 4 3 5 3" xfId="16500"/>
    <cellStyle name="Comma 4 4 3 6" xfId="3143"/>
    <cellStyle name="Comma 4 4 3 6 2" xfId="11100"/>
    <cellStyle name="Comma 4 4 3 6 2 2" xfId="17639"/>
    <cellStyle name="Comma 4 4 3 6 3" xfId="14787"/>
    <cellStyle name="Comma 4 4 3 7" xfId="2571"/>
    <cellStyle name="Comma 4 4 3 7 2" xfId="14219"/>
    <cellStyle name="Comma 4 4 3 8" xfId="10532"/>
    <cellStyle name="Comma 4 4 3 8 2" xfId="17071"/>
    <cellStyle name="Comma 4 4 3 9" xfId="13647"/>
    <cellStyle name="Comma 4 4 4" xfId="580"/>
    <cellStyle name="Comma 4 4 4 2" xfId="1715"/>
    <cellStyle name="Comma 4 4 4 2 2" xfId="5135"/>
    <cellStyle name="Comma 4 4 4 2 2 2" xfId="11842"/>
    <cellStyle name="Comma 4 4 4 2 2 2 2" xfId="18381"/>
    <cellStyle name="Comma 4 4 4 2 2 3" xfId="15529"/>
    <cellStyle name="Comma 4 4 4 2 3" xfId="7407"/>
    <cellStyle name="Comma 4 4 4 2 3 2" xfId="12413"/>
    <cellStyle name="Comma 4 4 4 2 3 2 2" xfId="18952"/>
    <cellStyle name="Comma 4 4 4 2 3 3" xfId="16100"/>
    <cellStyle name="Comma 4 4 4 2 4" xfId="9679"/>
    <cellStyle name="Comma 4 4 4 2 4 2" xfId="12984"/>
    <cellStyle name="Comma 4 4 4 2 4 2 2" xfId="19523"/>
    <cellStyle name="Comma 4 4 4 2 4 3" xfId="16671"/>
    <cellStyle name="Comma 4 4 4 2 5" xfId="3314"/>
    <cellStyle name="Comma 4 4 4 2 5 2" xfId="11271"/>
    <cellStyle name="Comma 4 4 4 2 5 2 2" xfId="17810"/>
    <cellStyle name="Comma 4 4 4 2 5 3" xfId="14958"/>
    <cellStyle name="Comma 4 4 4 2 6" xfId="2739"/>
    <cellStyle name="Comma 4 4 4 2 6 2" xfId="14387"/>
    <cellStyle name="Comma 4 4 4 2 7" xfId="10700"/>
    <cellStyle name="Comma 4 4 4 2 7 2" xfId="17239"/>
    <cellStyle name="Comma 4 4 4 2 8" xfId="13818"/>
    <cellStyle name="Comma 4 4 4 3" xfId="4000"/>
    <cellStyle name="Comma 4 4 4 3 2" xfId="11557"/>
    <cellStyle name="Comma 4 4 4 3 2 2" xfId="18096"/>
    <cellStyle name="Comma 4 4 4 3 3" xfId="15244"/>
    <cellStyle name="Comma 4 4 4 4" xfId="6272"/>
    <cellStyle name="Comma 4 4 4 4 2" xfId="12128"/>
    <cellStyle name="Comma 4 4 4 4 2 2" xfId="18667"/>
    <cellStyle name="Comma 4 4 4 4 3" xfId="15815"/>
    <cellStyle name="Comma 4 4 4 5" xfId="8544"/>
    <cellStyle name="Comma 4 4 4 5 2" xfId="12699"/>
    <cellStyle name="Comma 4 4 4 5 2 2" xfId="19238"/>
    <cellStyle name="Comma 4 4 4 5 3" xfId="16386"/>
    <cellStyle name="Comma 4 4 4 6" xfId="3029"/>
    <cellStyle name="Comma 4 4 4 6 2" xfId="10986"/>
    <cellStyle name="Comma 4 4 4 6 2 2" xfId="17525"/>
    <cellStyle name="Comma 4 4 4 6 3" xfId="14673"/>
    <cellStyle name="Comma 4 4 4 7" xfId="2459"/>
    <cellStyle name="Comma 4 4 4 7 2" xfId="14107"/>
    <cellStyle name="Comma 4 4 4 8" xfId="10420"/>
    <cellStyle name="Comma 4 4 4 8 2" xfId="16959"/>
    <cellStyle name="Comma 4 4 4 9" xfId="13533"/>
    <cellStyle name="Comma 4 4 5" xfId="1261"/>
    <cellStyle name="Comma 4 4 5 2" xfId="4681"/>
    <cellStyle name="Comma 4 4 5 2 2" xfId="11728"/>
    <cellStyle name="Comma 4 4 5 2 2 2" xfId="18267"/>
    <cellStyle name="Comma 4 4 5 2 3" xfId="15415"/>
    <cellStyle name="Comma 4 4 5 3" xfId="6953"/>
    <cellStyle name="Comma 4 4 5 3 2" xfId="12299"/>
    <cellStyle name="Comma 4 4 5 3 2 2" xfId="18838"/>
    <cellStyle name="Comma 4 4 5 3 3" xfId="15986"/>
    <cellStyle name="Comma 4 4 5 4" xfId="9225"/>
    <cellStyle name="Comma 4 4 5 4 2" xfId="12870"/>
    <cellStyle name="Comma 4 4 5 4 2 2" xfId="19409"/>
    <cellStyle name="Comma 4 4 5 4 3" xfId="16557"/>
    <cellStyle name="Comma 4 4 5 5" xfId="3200"/>
    <cellStyle name="Comma 4 4 5 5 2" xfId="11157"/>
    <cellStyle name="Comma 4 4 5 5 2 2" xfId="17696"/>
    <cellStyle name="Comma 4 4 5 5 3" xfId="14844"/>
    <cellStyle name="Comma 4 4 5 6" xfId="2627"/>
    <cellStyle name="Comma 4 4 5 6 2" xfId="14275"/>
    <cellStyle name="Comma 4 4 5 7" xfId="10588"/>
    <cellStyle name="Comma 4 4 5 7 2" xfId="17127"/>
    <cellStyle name="Comma 4 4 5 8" xfId="13704"/>
    <cellStyle name="Comma 4 4 6" xfId="3546"/>
    <cellStyle name="Comma 4 4 6 2" xfId="11443"/>
    <cellStyle name="Comma 4 4 6 2 2" xfId="17982"/>
    <cellStyle name="Comma 4 4 6 3" xfId="15130"/>
    <cellStyle name="Comma 4 4 7" xfId="5818"/>
    <cellStyle name="Comma 4 4 7 2" xfId="12014"/>
    <cellStyle name="Comma 4 4 7 2 2" xfId="18553"/>
    <cellStyle name="Comma 4 4 7 3" xfId="15701"/>
    <cellStyle name="Comma 4 4 8" xfId="8090"/>
    <cellStyle name="Comma 4 4 8 2" xfId="12585"/>
    <cellStyle name="Comma 4 4 8 2 2" xfId="19124"/>
    <cellStyle name="Comma 4 4 8 3" xfId="16272"/>
    <cellStyle name="Comma 4 4 9" xfId="2912"/>
    <cellStyle name="Comma 4 4 9 2" xfId="10871"/>
    <cellStyle name="Comma 4 4 9 2 2" xfId="17410"/>
    <cellStyle name="Comma 4 4 9 3" xfId="14558"/>
    <cellStyle name="Comma 4 5" xfId="241"/>
    <cellStyle name="Comma 4 5 10" xfId="2375"/>
    <cellStyle name="Comma 4 5 10 2" xfId="14023"/>
    <cellStyle name="Comma 4 5 11" xfId="10336"/>
    <cellStyle name="Comma 4 5 11 2" xfId="16875"/>
    <cellStyle name="Comma 4 5 12" xfId="13448"/>
    <cellStyle name="Comma 4 5 2" xfId="468"/>
    <cellStyle name="Comma 4 5 2 10" xfId="13505"/>
    <cellStyle name="Comma 4 5 2 2" xfId="922"/>
    <cellStyle name="Comma 4 5 2 2 2" xfId="2057"/>
    <cellStyle name="Comma 4 5 2 2 2 2" xfId="5477"/>
    <cellStyle name="Comma 4 5 2 2 2 2 2" xfId="11928"/>
    <cellStyle name="Comma 4 5 2 2 2 2 2 2" xfId="18467"/>
    <cellStyle name="Comma 4 5 2 2 2 2 3" xfId="15615"/>
    <cellStyle name="Comma 4 5 2 2 2 3" xfId="7749"/>
    <cellStyle name="Comma 4 5 2 2 2 3 2" xfId="12499"/>
    <cellStyle name="Comma 4 5 2 2 2 3 2 2" xfId="19038"/>
    <cellStyle name="Comma 4 5 2 2 2 3 3" xfId="16186"/>
    <cellStyle name="Comma 4 5 2 2 2 4" xfId="10021"/>
    <cellStyle name="Comma 4 5 2 2 2 4 2" xfId="13070"/>
    <cellStyle name="Comma 4 5 2 2 2 4 2 2" xfId="19609"/>
    <cellStyle name="Comma 4 5 2 2 2 4 3" xfId="16757"/>
    <cellStyle name="Comma 4 5 2 2 2 5" xfId="3400"/>
    <cellStyle name="Comma 4 5 2 2 2 5 2" xfId="11357"/>
    <cellStyle name="Comma 4 5 2 2 2 5 2 2" xfId="17896"/>
    <cellStyle name="Comma 4 5 2 2 2 5 3" xfId="15044"/>
    <cellStyle name="Comma 4 5 2 2 2 6" xfId="2823"/>
    <cellStyle name="Comma 4 5 2 2 2 6 2" xfId="14471"/>
    <cellStyle name="Comma 4 5 2 2 2 7" xfId="10784"/>
    <cellStyle name="Comma 4 5 2 2 2 7 2" xfId="17323"/>
    <cellStyle name="Comma 4 5 2 2 2 8" xfId="13904"/>
    <cellStyle name="Comma 4 5 2 2 3" xfId="4342"/>
    <cellStyle name="Comma 4 5 2 2 3 2" xfId="11643"/>
    <cellStyle name="Comma 4 5 2 2 3 2 2" xfId="18182"/>
    <cellStyle name="Comma 4 5 2 2 3 3" xfId="15330"/>
    <cellStyle name="Comma 4 5 2 2 4" xfId="6614"/>
    <cellStyle name="Comma 4 5 2 2 4 2" xfId="12214"/>
    <cellStyle name="Comma 4 5 2 2 4 2 2" xfId="18753"/>
    <cellStyle name="Comma 4 5 2 2 4 3" xfId="15901"/>
    <cellStyle name="Comma 4 5 2 2 5" xfId="8886"/>
    <cellStyle name="Comma 4 5 2 2 5 2" xfId="12785"/>
    <cellStyle name="Comma 4 5 2 2 5 2 2" xfId="19324"/>
    <cellStyle name="Comma 4 5 2 2 5 3" xfId="16472"/>
    <cellStyle name="Comma 4 5 2 2 6" xfId="3115"/>
    <cellStyle name="Comma 4 5 2 2 6 2" xfId="11072"/>
    <cellStyle name="Comma 4 5 2 2 6 2 2" xfId="17611"/>
    <cellStyle name="Comma 4 5 2 2 6 3" xfId="14759"/>
    <cellStyle name="Comma 4 5 2 2 7" xfId="2543"/>
    <cellStyle name="Comma 4 5 2 2 7 2" xfId="14191"/>
    <cellStyle name="Comma 4 5 2 2 8" xfId="10504"/>
    <cellStyle name="Comma 4 5 2 2 8 2" xfId="17043"/>
    <cellStyle name="Comma 4 5 2 2 9" xfId="13619"/>
    <cellStyle name="Comma 4 5 2 3" xfId="1603"/>
    <cellStyle name="Comma 4 5 2 3 2" xfId="5023"/>
    <cellStyle name="Comma 4 5 2 3 2 2" xfId="11814"/>
    <cellStyle name="Comma 4 5 2 3 2 2 2" xfId="18353"/>
    <cellStyle name="Comma 4 5 2 3 2 3" xfId="15501"/>
    <cellStyle name="Comma 4 5 2 3 3" xfId="7295"/>
    <cellStyle name="Comma 4 5 2 3 3 2" xfId="12385"/>
    <cellStyle name="Comma 4 5 2 3 3 2 2" xfId="18924"/>
    <cellStyle name="Comma 4 5 2 3 3 3" xfId="16072"/>
    <cellStyle name="Comma 4 5 2 3 4" xfId="9567"/>
    <cellStyle name="Comma 4 5 2 3 4 2" xfId="12956"/>
    <cellStyle name="Comma 4 5 2 3 4 2 2" xfId="19495"/>
    <cellStyle name="Comma 4 5 2 3 4 3" xfId="16643"/>
    <cellStyle name="Comma 4 5 2 3 5" xfId="3286"/>
    <cellStyle name="Comma 4 5 2 3 5 2" xfId="11243"/>
    <cellStyle name="Comma 4 5 2 3 5 2 2" xfId="17782"/>
    <cellStyle name="Comma 4 5 2 3 5 3" xfId="14930"/>
    <cellStyle name="Comma 4 5 2 3 6" xfId="2711"/>
    <cellStyle name="Comma 4 5 2 3 6 2" xfId="14359"/>
    <cellStyle name="Comma 4 5 2 3 7" xfId="10672"/>
    <cellStyle name="Comma 4 5 2 3 7 2" xfId="17211"/>
    <cellStyle name="Comma 4 5 2 3 8" xfId="13790"/>
    <cellStyle name="Comma 4 5 2 4" xfId="3888"/>
    <cellStyle name="Comma 4 5 2 4 2" xfId="11529"/>
    <cellStyle name="Comma 4 5 2 4 2 2" xfId="18068"/>
    <cellStyle name="Comma 4 5 2 4 3" xfId="15216"/>
    <cellStyle name="Comma 4 5 2 5" xfId="6160"/>
    <cellStyle name="Comma 4 5 2 5 2" xfId="12100"/>
    <cellStyle name="Comma 4 5 2 5 2 2" xfId="18639"/>
    <cellStyle name="Comma 4 5 2 5 3" xfId="15787"/>
    <cellStyle name="Comma 4 5 2 6" xfId="8432"/>
    <cellStyle name="Comma 4 5 2 6 2" xfId="12671"/>
    <cellStyle name="Comma 4 5 2 6 2 2" xfId="19210"/>
    <cellStyle name="Comma 4 5 2 6 3" xfId="16358"/>
    <cellStyle name="Comma 4 5 2 7" xfId="3001"/>
    <cellStyle name="Comma 4 5 2 7 2" xfId="10958"/>
    <cellStyle name="Comma 4 5 2 7 2 2" xfId="17497"/>
    <cellStyle name="Comma 4 5 2 7 3" xfId="14645"/>
    <cellStyle name="Comma 4 5 2 8" xfId="2431"/>
    <cellStyle name="Comma 4 5 2 8 2" xfId="14079"/>
    <cellStyle name="Comma 4 5 2 9" xfId="10392"/>
    <cellStyle name="Comma 4 5 2 9 2" xfId="16931"/>
    <cellStyle name="Comma 4 5 3" xfId="1149"/>
    <cellStyle name="Comma 4 5 3 2" xfId="2284"/>
    <cellStyle name="Comma 4 5 3 2 2" xfId="5704"/>
    <cellStyle name="Comma 4 5 3 2 2 2" xfId="11985"/>
    <cellStyle name="Comma 4 5 3 2 2 2 2" xfId="18524"/>
    <cellStyle name="Comma 4 5 3 2 2 3" xfId="15672"/>
    <cellStyle name="Comma 4 5 3 2 3" xfId="7976"/>
    <cellStyle name="Comma 4 5 3 2 3 2" xfId="12556"/>
    <cellStyle name="Comma 4 5 3 2 3 2 2" xfId="19095"/>
    <cellStyle name="Comma 4 5 3 2 3 3" xfId="16243"/>
    <cellStyle name="Comma 4 5 3 2 4" xfId="10248"/>
    <cellStyle name="Comma 4 5 3 2 4 2" xfId="13127"/>
    <cellStyle name="Comma 4 5 3 2 4 2 2" xfId="19666"/>
    <cellStyle name="Comma 4 5 3 2 4 3" xfId="16814"/>
    <cellStyle name="Comma 4 5 3 2 5" xfId="3457"/>
    <cellStyle name="Comma 4 5 3 2 5 2" xfId="11414"/>
    <cellStyle name="Comma 4 5 3 2 5 2 2" xfId="17953"/>
    <cellStyle name="Comma 4 5 3 2 5 3" xfId="15101"/>
    <cellStyle name="Comma 4 5 3 2 6" xfId="2879"/>
    <cellStyle name="Comma 4 5 3 2 6 2" xfId="14527"/>
    <cellStyle name="Comma 4 5 3 2 7" xfId="10840"/>
    <cellStyle name="Comma 4 5 3 2 7 2" xfId="17379"/>
    <cellStyle name="Comma 4 5 3 2 8" xfId="13961"/>
    <cellStyle name="Comma 4 5 3 3" xfId="4569"/>
    <cellStyle name="Comma 4 5 3 3 2" xfId="11700"/>
    <cellStyle name="Comma 4 5 3 3 2 2" xfId="18239"/>
    <cellStyle name="Comma 4 5 3 3 3" xfId="15387"/>
    <cellStyle name="Comma 4 5 3 4" xfId="6841"/>
    <cellStyle name="Comma 4 5 3 4 2" xfId="12271"/>
    <cellStyle name="Comma 4 5 3 4 2 2" xfId="18810"/>
    <cellStyle name="Comma 4 5 3 4 3" xfId="15958"/>
    <cellStyle name="Comma 4 5 3 5" xfId="9113"/>
    <cellStyle name="Comma 4 5 3 5 2" xfId="12842"/>
    <cellStyle name="Comma 4 5 3 5 2 2" xfId="19381"/>
    <cellStyle name="Comma 4 5 3 5 3" xfId="16529"/>
    <cellStyle name="Comma 4 5 3 6" xfId="3172"/>
    <cellStyle name="Comma 4 5 3 6 2" xfId="11129"/>
    <cellStyle name="Comma 4 5 3 6 2 2" xfId="17668"/>
    <cellStyle name="Comma 4 5 3 6 3" xfId="14816"/>
    <cellStyle name="Comma 4 5 3 7" xfId="2599"/>
    <cellStyle name="Comma 4 5 3 7 2" xfId="14247"/>
    <cellStyle name="Comma 4 5 3 8" xfId="10560"/>
    <cellStyle name="Comma 4 5 3 8 2" xfId="17099"/>
    <cellStyle name="Comma 4 5 3 9" xfId="13676"/>
    <cellStyle name="Comma 4 5 4" xfId="695"/>
    <cellStyle name="Comma 4 5 4 2" xfId="1830"/>
    <cellStyle name="Comma 4 5 4 2 2" xfId="5250"/>
    <cellStyle name="Comma 4 5 4 2 2 2" xfId="11871"/>
    <cellStyle name="Comma 4 5 4 2 2 2 2" xfId="18410"/>
    <cellStyle name="Comma 4 5 4 2 2 3" xfId="15558"/>
    <cellStyle name="Comma 4 5 4 2 3" xfId="7522"/>
    <cellStyle name="Comma 4 5 4 2 3 2" xfId="12442"/>
    <cellStyle name="Comma 4 5 4 2 3 2 2" xfId="18981"/>
    <cellStyle name="Comma 4 5 4 2 3 3" xfId="16129"/>
    <cellStyle name="Comma 4 5 4 2 4" xfId="9794"/>
    <cellStyle name="Comma 4 5 4 2 4 2" xfId="13013"/>
    <cellStyle name="Comma 4 5 4 2 4 2 2" xfId="19552"/>
    <cellStyle name="Comma 4 5 4 2 4 3" xfId="16700"/>
    <cellStyle name="Comma 4 5 4 2 5" xfId="3343"/>
    <cellStyle name="Comma 4 5 4 2 5 2" xfId="11300"/>
    <cellStyle name="Comma 4 5 4 2 5 2 2" xfId="17839"/>
    <cellStyle name="Comma 4 5 4 2 5 3" xfId="14987"/>
    <cellStyle name="Comma 4 5 4 2 6" xfId="2767"/>
    <cellStyle name="Comma 4 5 4 2 6 2" xfId="14415"/>
    <cellStyle name="Comma 4 5 4 2 7" xfId="10728"/>
    <cellStyle name="Comma 4 5 4 2 7 2" xfId="17267"/>
    <cellStyle name="Comma 4 5 4 2 8" xfId="13847"/>
    <cellStyle name="Comma 4 5 4 3" xfId="4115"/>
    <cellStyle name="Comma 4 5 4 3 2" xfId="11586"/>
    <cellStyle name="Comma 4 5 4 3 2 2" xfId="18125"/>
    <cellStyle name="Comma 4 5 4 3 3" xfId="15273"/>
    <cellStyle name="Comma 4 5 4 4" xfId="6387"/>
    <cellStyle name="Comma 4 5 4 4 2" xfId="12157"/>
    <cellStyle name="Comma 4 5 4 4 2 2" xfId="18696"/>
    <cellStyle name="Comma 4 5 4 4 3" xfId="15844"/>
    <cellStyle name="Comma 4 5 4 5" xfId="8659"/>
    <cellStyle name="Comma 4 5 4 5 2" xfId="12728"/>
    <cellStyle name="Comma 4 5 4 5 2 2" xfId="19267"/>
    <cellStyle name="Comma 4 5 4 5 3" xfId="16415"/>
    <cellStyle name="Comma 4 5 4 6" xfId="3058"/>
    <cellStyle name="Comma 4 5 4 6 2" xfId="11015"/>
    <cellStyle name="Comma 4 5 4 6 2 2" xfId="17554"/>
    <cellStyle name="Comma 4 5 4 6 3" xfId="14702"/>
    <cellStyle name="Comma 4 5 4 7" xfId="2487"/>
    <cellStyle name="Comma 4 5 4 7 2" xfId="14135"/>
    <cellStyle name="Comma 4 5 4 8" xfId="10448"/>
    <cellStyle name="Comma 4 5 4 8 2" xfId="16987"/>
    <cellStyle name="Comma 4 5 4 9" xfId="13562"/>
    <cellStyle name="Comma 4 5 5" xfId="1376"/>
    <cellStyle name="Comma 4 5 5 2" xfId="4796"/>
    <cellStyle name="Comma 4 5 5 2 2" xfId="11757"/>
    <cellStyle name="Comma 4 5 5 2 2 2" xfId="18296"/>
    <cellStyle name="Comma 4 5 5 2 3" xfId="15444"/>
    <cellStyle name="Comma 4 5 5 3" xfId="7068"/>
    <cellStyle name="Comma 4 5 5 3 2" xfId="12328"/>
    <cellStyle name="Comma 4 5 5 3 2 2" xfId="18867"/>
    <cellStyle name="Comma 4 5 5 3 3" xfId="16015"/>
    <cellStyle name="Comma 4 5 5 4" xfId="9340"/>
    <cellStyle name="Comma 4 5 5 4 2" xfId="12899"/>
    <cellStyle name="Comma 4 5 5 4 2 2" xfId="19438"/>
    <cellStyle name="Comma 4 5 5 4 3" xfId="16586"/>
    <cellStyle name="Comma 4 5 5 5" xfId="3229"/>
    <cellStyle name="Comma 4 5 5 5 2" xfId="11186"/>
    <cellStyle name="Comma 4 5 5 5 2 2" xfId="17725"/>
    <cellStyle name="Comma 4 5 5 5 3" xfId="14873"/>
    <cellStyle name="Comma 4 5 5 6" xfId="2655"/>
    <cellStyle name="Comma 4 5 5 6 2" xfId="14303"/>
    <cellStyle name="Comma 4 5 5 7" xfId="10616"/>
    <cellStyle name="Comma 4 5 5 7 2" xfId="17155"/>
    <cellStyle name="Comma 4 5 5 8" xfId="13733"/>
    <cellStyle name="Comma 4 5 6" xfId="3661"/>
    <cellStyle name="Comma 4 5 6 2" xfId="11472"/>
    <cellStyle name="Comma 4 5 6 2 2" xfId="18011"/>
    <cellStyle name="Comma 4 5 6 3" xfId="15159"/>
    <cellStyle name="Comma 4 5 7" xfId="5933"/>
    <cellStyle name="Comma 4 5 7 2" xfId="12043"/>
    <cellStyle name="Comma 4 5 7 2 2" xfId="18582"/>
    <cellStyle name="Comma 4 5 7 3" xfId="15730"/>
    <cellStyle name="Comma 4 5 8" xfId="8205"/>
    <cellStyle name="Comma 4 5 8 2" xfId="12614"/>
    <cellStyle name="Comma 4 5 8 2 2" xfId="19153"/>
    <cellStyle name="Comma 4 5 8 3" xfId="16301"/>
    <cellStyle name="Comma 4 5 9" xfId="2944"/>
    <cellStyle name="Comma 4 5 9 2" xfId="10901"/>
    <cellStyle name="Comma 4 5 9 2 2" xfId="17440"/>
    <cellStyle name="Comma 4 5 9 3" xfId="14588"/>
    <cellStyle name="Comma 4 6" xfId="297"/>
    <cellStyle name="Comma 4 6 10" xfId="13462"/>
    <cellStyle name="Comma 4 6 2" xfId="751"/>
    <cellStyle name="Comma 4 6 2 2" xfId="1886"/>
    <cellStyle name="Comma 4 6 2 2 2" xfId="5306"/>
    <cellStyle name="Comma 4 6 2 2 2 2" xfId="11885"/>
    <cellStyle name="Comma 4 6 2 2 2 2 2" xfId="18424"/>
    <cellStyle name="Comma 4 6 2 2 2 3" xfId="15572"/>
    <cellStyle name="Comma 4 6 2 2 3" xfId="7578"/>
    <cellStyle name="Comma 4 6 2 2 3 2" xfId="12456"/>
    <cellStyle name="Comma 4 6 2 2 3 2 2" xfId="18995"/>
    <cellStyle name="Comma 4 6 2 2 3 3" xfId="16143"/>
    <cellStyle name="Comma 4 6 2 2 4" xfId="9850"/>
    <cellStyle name="Comma 4 6 2 2 4 2" xfId="13027"/>
    <cellStyle name="Comma 4 6 2 2 4 2 2" xfId="19566"/>
    <cellStyle name="Comma 4 6 2 2 4 3" xfId="16714"/>
    <cellStyle name="Comma 4 6 2 2 5" xfId="3357"/>
    <cellStyle name="Comma 4 6 2 2 5 2" xfId="11314"/>
    <cellStyle name="Comma 4 6 2 2 5 2 2" xfId="17853"/>
    <cellStyle name="Comma 4 6 2 2 5 3" xfId="15001"/>
    <cellStyle name="Comma 4 6 2 2 6" xfId="2781"/>
    <cellStyle name="Comma 4 6 2 2 6 2" xfId="14429"/>
    <cellStyle name="Comma 4 6 2 2 7" xfId="10742"/>
    <cellStyle name="Comma 4 6 2 2 7 2" xfId="17281"/>
    <cellStyle name="Comma 4 6 2 2 8" xfId="13861"/>
    <cellStyle name="Comma 4 6 2 3" xfId="4171"/>
    <cellStyle name="Comma 4 6 2 3 2" xfId="11600"/>
    <cellStyle name="Comma 4 6 2 3 2 2" xfId="18139"/>
    <cellStyle name="Comma 4 6 2 3 3" xfId="15287"/>
    <cellStyle name="Comma 4 6 2 4" xfId="6443"/>
    <cellStyle name="Comma 4 6 2 4 2" xfId="12171"/>
    <cellStyle name="Comma 4 6 2 4 2 2" xfId="18710"/>
    <cellStyle name="Comma 4 6 2 4 3" xfId="15858"/>
    <cellStyle name="Comma 4 6 2 5" xfId="8715"/>
    <cellStyle name="Comma 4 6 2 5 2" xfId="12742"/>
    <cellStyle name="Comma 4 6 2 5 2 2" xfId="19281"/>
    <cellStyle name="Comma 4 6 2 5 3" xfId="16429"/>
    <cellStyle name="Comma 4 6 2 6" xfId="3072"/>
    <cellStyle name="Comma 4 6 2 6 2" xfId="11029"/>
    <cellStyle name="Comma 4 6 2 6 2 2" xfId="17568"/>
    <cellStyle name="Comma 4 6 2 6 3" xfId="14716"/>
    <cellStyle name="Comma 4 6 2 7" xfId="2501"/>
    <cellStyle name="Comma 4 6 2 7 2" xfId="14149"/>
    <cellStyle name="Comma 4 6 2 8" xfId="10462"/>
    <cellStyle name="Comma 4 6 2 8 2" xfId="17001"/>
    <cellStyle name="Comma 4 6 2 9" xfId="13576"/>
    <cellStyle name="Comma 4 6 3" xfId="1432"/>
    <cellStyle name="Comma 4 6 3 2" xfId="4852"/>
    <cellStyle name="Comma 4 6 3 2 2" xfId="11771"/>
    <cellStyle name="Comma 4 6 3 2 2 2" xfId="18310"/>
    <cellStyle name="Comma 4 6 3 2 3" xfId="15458"/>
    <cellStyle name="Comma 4 6 3 3" xfId="7124"/>
    <cellStyle name="Comma 4 6 3 3 2" xfId="12342"/>
    <cellStyle name="Comma 4 6 3 3 2 2" xfId="18881"/>
    <cellStyle name="Comma 4 6 3 3 3" xfId="16029"/>
    <cellStyle name="Comma 4 6 3 4" xfId="9396"/>
    <cellStyle name="Comma 4 6 3 4 2" xfId="12913"/>
    <cellStyle name="Comma 4 6 3 4 2 2" xfId="19452"/>
    <cellStyle name="Comma 4 6 3 4 3" xfId="16600"/>
    <cellStyle name="Comma 4 6 3 5" xfId="3243"/>
    <cellStyle name="Comma 4 6 3 5 2" xfId="11200"/>
    <cellStyle name="Comma 4 6 3 5 2 2" xfId="17739"/>
    <cellStyle name="Comma 4 6 3 5 3" xfId="14887"/>
    <cellStyle name="Comma 4 6 3 6" xfId="2669"/>
    <cellStyle name="Comma 4 6 3 6 2" xfId="14317"/>
    <cellStyle name="Comma 4 6 3 7" xfId="10630"/>
    <cellStyle name="Comma 4 6 3 7 2" xfId="17169"/>
    <cellStyle name="Comma 4 6 3 8" xfId="13747"/>
    <cellStyle name="Comma 4 6 4" xfId="3717"/>
    <cellStyle name="Comma 4 6 4 2" xfId="11486"/>
    <cellStyle name="Comma 4 6 4 2 2" xfId="18025"/>
    <cellStyle name="Comma 4 6 4 3" xfId="15173"/>
    <cellStyle name="Comma 4 6 5" xfId="5989"/>
    <cellStyle name="Comma 4 6 5 2" xfId="12057"/>
    <cellStyle name="Comma 4 6 5 2 2" xfId="18596"/>
    <cellStyle name="Comma 4 6 5 3" xfId="15744"/>
    <cellStyle name="Comma 4 6 6" xfId="8261"/>
    <cellStyle name="Comma 4 6 6 2" xfId="12628"/>
    <cellStyle name="Comma 4 6 6 2 2" xfId="19167"/>
    <cellStyle name="Comma 4 6 6 3" xfId="16315"/>
    <cellStyle name="Comma 4 6 7" xfId="2958"/>
    <cellStyle name="Comma 4 6 7 2" xfId="10915"/>
    <cellStyle name="Comma 4 6 7 2 2" xfId="17454"/>
    <cellStyle name="Comma 4 6 7 3" xfId="14602"/>
    <cellStyle name="Comma 4 6 8" xfId="2389"/>
    <cellStyle name="Comma 4 6 8 2" xfId="14037"/>
    <cellStyle name="Comma 4 6 9" xfId="10350"/>
    <cellStyle name="Comma 4 6 9 2" xfId="16889"/>
    <cellStyle name="Comma 4 7" xfId="978"/>
    <cellStyle name="Comma 4 7 2" xfId="2113"/>
    <cellStyle name="Comma 4 7 2 2" xfId="5533"/>
    <cellStyle name="Comma 4 7 2 2 2" xfId="11942"/>
    <cellStyle name="Comma 4 7 2 2 2 2" xfId="18481"/>
    <cellStyle name="Comma 4 7 2 2 3" xfId="15629"/>
    <cellStyle name="Comma 4 7 2 3" xfId="7805"/>
    <cellStyle name="Comma 4 7 2 3 2" xfId="12513"/>
    <cellStyle name="Comma 4 7 2 3 2 2" xfId="19052"/>
    <cellStyle name="Comma 4 7 2 3 3" xfId="16200"/>
    <cellStyle name="Comma 4 7 2 4" xfId="10077"/>
    <cellStyle name="Comma 4 7 2 4 2" xfId="13084"/>
    <cellStyle name="Comma 4 7 2 4 2 2" xfId="19623"/>
    <cellStyle name="Comma 4 7 2 4 3" xfId="16771"/>
    <cellStyle name="Comma 4 7 2 5" xfId="3414"/>
    <cellStyle name="Comma 4 7 2 5 2" xfId="11371"/>
    <cellStyle name="Comma 4 7 2 5 2 2" xfId="17910"/>
    <cellStyle name="Comma 4 7 2 5 3" xfId="15058"/>
    <cellStyle name="Comma 4 7 2 6" xfId="2837"/>
    <cellStyle name="Comma 4 7 2 6 2" xfId="14485"/>
    <cellStyle name="Comma 4 7 2 7" xfId="10798"/>
    <cellStyle name="Comma 4 7 2 7 2" xfId="17337"/>
    <cellStyle name="Comma 4 7 2 8" xfId="13918"/>
    <cellStyle name="Comma 4 7 3" xfId="4398"/>
    <cellStyle name="Comma 4 7 3 2" xfId="11657"/>
    <cellStyle name="Comma 4 7 3 2 2" xfId="18196"/>
    <cellStyle name="Comma 4 7 3 3" xfId="15344"/>
    <cellStyle name="Comma 4 7 4" xfId="6670"/>
    <cellStyle name="Comma 4 7 4 2" xfId="12228"/>
    <cellStyle name="Comma 4 7 4 2 2" xfId="18767"/>
    <cellStyle name="Comma 4 7 4 3" xfId="15915"/>
    <cellStyle name="Comma 4 7 5" xfId="8942"/>
    <cellStyle name="Comma 4 7 5 2" xfId="12799"/>
    <cellStyle name="Comma 4 7 5 2 2" xfId="19338"/>
    <cellStyle name="Comma 4 7 5 3" xfId="16486"/>
    <cellStyle name="Comma 4 7 6" xfId="3129"/>
    <cellStyle name="Comma 4 7 6 2" xfId="11086"/>
    <cellStyle name="Comma 4 7 6 2 2" xfId="17625"/>
    <cellStyle name="Comma 4 7 6 3" xfId="14773"/>
    <cellStyle name="Comma 4 7 7" xfId="2557"/>
    <cellStyle name="Comma 4 7 7 2" xfId="14205"/>
    <cellStyle name="Comma 4 7 8" xfId="10518"/>
    <cellStyle name="Comma 4 7 8 2" xfId="17057"/>
    <cellStyle name="Comma 4 7 9" xfId="13633"/>
    <cellStyle name="Comma 4 8" xfId="524"/>
    <cellStyle name="Comma 4 8 2" xfId="1659"/>
    <cellStyle name="Comma 4 8 2 2" xfId="5079"/>
    <cellStyle name="Comma 4 8 2 2 2" xfId="11828"/>
    <cellStyle name="Comma 4 8 2 2 2 2" xfId="18367"/>
    <cellStyle name="Comma 4 8 2 2 3" xfId="15515"/>
    <cellStyle name="Comma 4 8 2 3" xfId="7351"/>
    <cellStyle name="Comma 4 8 2 3 2" xfId="12399"/>
    <cellStyle name="Comma 4 8 2 3 2 2" xfId="18938"/>
    <cellStyle name="Comma 4 8 2 3 3" xfId="16086"/>
    <cellStyle name="Comma 4 8 2 4" xfId="9623"/>
    <cellStyle name="Comma 4 8 2 4 2" xfId="12970"/>
    <cellStyle name="Comma 4 8 2 4 2 2" xfId="19509"/>
    <cellStyle name="Comma 4 8 2 4 3" xfId="16657"/>
    <cellStyle name="Comma 4 8 2 5" xfId="3300"/>
    <cellStyle name="Comma 4 8 2 5 2" xfId="11257"/>
    <cellStyle name="Comma 4 8 2 5 2 2" xfId="17796"/>
    <cellStyle name="Comma 4 8 2 5 3" xfId="14944"/>
    <cellStyle name="Comma 4 8 2 6" xfId="2725"/>
    <cellStyle name="Comma 4 8 2 6 2" xfId="14373"/>
    <cellStyle name="Comma 4 8 2 7" xfId="10686"/>
    <cellStyle name="Comma 4 8 2 7 2" xfId="17225"/>
    <cellStyle name="Comma 4 8 2 8" xfId="13804"/>
    <cellStyle name="Comma 4 8 3" xfId="3944"/>
    <cellStyle name="Comma 4 8 3 2" xfId="11543"/>
    <cellStyle name="Comma 4 8 3 2 2" xfId="18082"/>
    <cellStyle name="Comma 4 8 3 3" xfId="15230"/>
    <cellStyle name="Comma 4 8 4" xfId="6216"/>
    <cellStyle name="Comma 4 8 4 2" xfId="12114"/>
    <cellStyle name="Comma 4 8 4 2 2" xfId="18653"/>
    <cellStyle name="Comma 4 8 4 3" xfId="15801"/>
    <cellStyle name="Comma 4 8 5" xfId="8488"/>
    <cellStyle name="Comma 4 8 5 2" xfId="12685"/>
    <cellStyle name="Comma 4 8 5 2 2" xfId="19224"/>
    <cellStyle name="Comma 4 8 5 3" xfId="16372"/>
    <cellStyle name="Comma 4 8 6" xfId="3015"/>
    <cellStyle name="Comma 4 8 6 2" xfId="10972"/>
    <cellStyle name="Comma 4 8 6 2 2" xfId="17511"/>
    <cellStyle name="Comma 4 8 6 3" xfId="14659"/>
    <cellStyle name="Comma 4 8 7" xfId="2445"/>
    <cellStyle name="Comma 4 8 7 2" xfId="14093"/>
    <cellStyle name="Comma 4 8 8" xfId="10406"/>
    <cellStyle name="Comma 4 8 8 2" xfId="16945"/>
    <cellStyle name="Comma 4 8 9" xfId="13519"/>
    <cellStyle name="Comma 4 9" xfId="1205"/>
    <cellStyle name="Comma 4 9 2" xfId="4625"/>
    <cellStyle name="Comma 4 9 2 2" xfId="11714"/>
    <cellStyle name="Comma 4 9 2 2 2" xfId="18253"/>
    <cellStyle name="Comma 4 9 2 3" xfId="15401"/>
    <cellStyle name="Comma 4 9 3" xfId="6897"/>
    <cellStyle name="Comma 4 9 3 2" xfId="12285"/>
    <cellStyle name="Comma 4 9 3 2 2" xfId="18824"/>
    <cellStyle name="Comma 4 9 3 3" xfId="15972"/>
    <cellStyle name="Comma 4 9 4" xfId="9169"/>
    <cellStyle name="Comma 4 9 4 2" xfId="12856"/>
    <cellStyle name="Comma 4 9 4 2 2" xfId="19395"/>
    <cellStyle name="Comma 4 9 4 3" xfId="16543"/>
    <cellStyle name="Comma 4 9 5" xfId="3186"/>
    <cellStyle name="Comma 4 9 5 2" xfId="11143"/>
    <cellStyle name="Comma 4 9 5 2 2" xfId="17682"/>
    <cellStyle name="Comma 4 9 5 3" xfId="14830"/>
    <cellStyle name="Comma 4 9 6" xfId="2613"/>
    <cellStyle name="Comma 4 9 6 2" xfId="14261"/>
    <cellStyle name="Comma 4 9 7" xfId="10574"/>
    <cellStyle name="Comma 4 9 7 2" xfId="17113"/>
    <cellStyle name="Comma 4 9 8" xfId="13690"/>
    <cellStyle name="Comma 40" xfId="13229"/>
    <cellStyle name="Comma 40 2" xfId="19738"/>
    <cellStyle name="Comma 41" xfId="13230"/>
    <cellStyle name="Comma 41 2" xfId="19739"/>
    <cellStyle name="Comma 42" xfId="13231"/>
    <cellStyle name="Comma 42 10" xfId="13232"/>
    <cellStyle name="Comma 42 10 2" xfId="19741"/>
    <cellStyle name="Comma 42 11" xfId="19740"/>
    <cellStyle name="Comma 42 2" xfId="13233"/>
    <cellStyle name="Comma 42 2 2" xfId="19742"/>
    <cellStyle name="Comma 42 3" xfId="13234"/>
    <cellStyle name="Comma 42 3 2" xfId="19743"/>
    <cellStyle name="Comma 42 4" xfId="13235"/>
    <cellStyle name="Comma 42 4 2" xfId="19744"/>
    <cellStyle name="Comma 42 5" xfId="13236"/>
    <cellStyle name="Comma 42 5 2" xfId="19745"/>
    <cellStyle name="Comma 42 6" xfId="13237"/>
    <cellStyle name="Comma 42 6 2" xfId="19746"/>
    <cellStyle name="Comma 42 7" xfId="13238"/>
    <cellStyle name="Comma 42 7 2" xfId="19747"/>
    <cellStyle name="Comma 42 8" xfId="13239"/>
    <cellStyle name="Comma 42 8 2" xfId="19748"/>
    <cellStyle name="Comma 42 9" xfId="13240"/>
    <cellStyle name="Comma 42 9 2" xfId="19749"/>
    <cellStyle name="Comma 43" xfId="13241"/>
    <cellStyle name="Comma 43 2" xfId="19750"/>
    <cellStyle name="Comma 44" xfId="13242"/>
    <cellStyle name="Comma 44 2" xfId="19751"/>
    <cellStyle name="Comma 45" xfId="13188"/>
    <cellStyle name="Comma 45 2" xfId="13189"/>
    <cellStyle name="Comma 45 2 2" xfId="19698"/>
    <cellStyle name="Comma 45 3" xfId="19697"/>
    <cellStyle name="Comma 46" xfId="13243"/>
    <cellStyle name="Comma 46 2" xfId="19752"/>
    <cellStyle name="Comma 47" xfId="13244"/>
    <cellStyle name="Comma 47 2" xfId="19753"/>
    <cellStyle name="Comma 48" xfId="13245"/>
    <cellStyle name="Comma 48 2" xfId="19754"/>
    <cellStyle name="Comma 49" xfId="13246"/>
    <cellStyle name="Comma 49 2" xfId="19755"/>
    <cellStyle name="Comma 5" xfId="59"/>
    <cellStyle name="Comma 5 10" xfId="3492"/>
    <cellStyle name="Comma 5 10 2" xfId="11430"/>
    <cellStyle name="Comma 5 10 2 2" xfId="17969"/>
    <cellStyle name="Comma 5 10 3" xfId="15117"/>
    <cellStyle name="Comma 5 11" xfId="5764"/>
    <cellStyle name="Comma 5 11 2" xfId="12001"/>
    <cellStyle name="Comma 5 11 2 2" xfId="18540"/>
    <cellStyle name="Comma 5 11 3" xfId="15688"/>
    <cellStyle name="Comma 5 12" xfId="8036"/>
    <cellStyle name="Comma 5 12 2" xfId="12572"/>
    <cellStyle name="Comma 5 12 2 2" xfId="19111"/>
    <cellStyle name="Comma 5 12 3" xfId="16259"/>
    <cellStyle name="Comma 5 13" xfId="2897"/>
    <cellStyle name="Comma 5 13 2" xfId="10857"/>
    <cellStyle name="Comma 5 13 2 2" xfId="17396"/>
    <cellStyle name="Comma 5 13 3" xfId="14544"/>
    <cellStyle name="Comma 5 14" xfId="2332"/>
    <cellStyle name="Comma 5 14 2" xfId="13980"/>
    <cellStyle name="Comma 5 15" xfId="10293"/>
    <cellStyle name="Comma 5 15 2" xfId="16832"/>
    <cellStyle name="Comma 5 16" xfId="13178"/>
    <cellStyle name="Comma 5 16 2" xfId="19689"/>
    <cellStyle name="Comma 5 17" xfId="13247"/>
    <cellStyle name="Comma 5 17 2" xfId="19756"/>
    <cellStyle name="Comma 5 18" xfId="13404"/>
    <cellStyle name="Comma 5 19" xfId="19781"/>
    <cellStyle name="Comma 5 2" xfId="89"/>
    <cellStyle name="Comma 5 2 10" xfId="5792"/>
    <cellStyle name="Comma 5 2 10 2" xfId="12008"/>
    <cellStyle name="Comma 5 2 10 2 2" xfId="18547"/>
    <cellStyle name="Comma 5 2 10 3" xfId="15695"/>
    <cellStyle name="Comma 5 2 11" xfId="8064"/>
    <cellStyle name="Comma 5 2 11 2" xfId="12579"/>
    <cellStyle name="Comma 5 2 11 2 2" xfId="19118"/>
    <cellStyle name="Comma 5 2 11 3" xfId="16266"/>
    <cellStyle name="Comma 5 2 12" xfId="2906"/>
    <cellStyle name="Comma 5 2 12 2" xfId="10865"/>
    <cellStyle name="Comma 5 2 12 2 2" xfId="17404"/>
    <cellStyle name="Comma 5 2 12 3" xfId="14552"/>
    <cellStyle name="Comma 5 2 13" xfId="2340"/>
    <cellStyle name="Comma 5 2 13 2" xfId="13988"/>
    <cellStyle name="Comma 5 2 14" xfId="10301"/>
    <cellStyle name="Comma 5 2 14 2" xfId="16840"/>
    <cellStyle name="Comma 5 2 15" xfId="13248"/>
    <cellStyle name="Comma 5 2 15 2" xfId="19757"/>
    <cellStyle name="Comma 5 2 16" xfId="13412"/>
    <cellStyle name="Comma 5 2 2" xfId="201"/>
    <cellStyle name="Comma 5 2 2 10" xfId="2368"/>
    <cellStyle name="Comma 5 2 2 10 2" xfId="14016"/>
    <cellStyle name="Comma 5 2 2 11" xfId="10329"/>
    <cellStyle name="Comma 5 2 2 11 2" xfId="16868"/>
    <cellStyle name="Comma 5 2 2 12" xfId="13440"/>
    <cellStyle name="Comma 5 2 2 2" xfId="439"/>
    <cellStyle name="Comma 5 2 2 2 10" xfId="13498"/>
    <cellStyle name="Comma 5 2 2 2 2" xfId="893"/>
    <cellStyle name="Comma 5 2 2 2 2 2" xfId="2028"/>
    <cellStyle name="Comma 5 2 2 2 2 2 2" xfId="5448"/>
    <cellStyle name="Comma 5 2 2 2 2 2 2 2" xfId="11921"/>
    <cellStyle name="Comma 5 2 2 2 2 2 2 2 2" xfId="18460"/>
    <cellStyle name="Comma 5 2 2 2 2 2 2 3" xfId="15608"/>
    <cellStyle name="Comma 5 2 2 2 2 2 3" xfId="7720"/>
    <cellStyle name="Comma 5 2 2 2 2 2 3 2" xfId="12492"/>
    <cellStyle name="Comma 5 2 2 2 2 2 3 2 2" xfId="19031"/>
    <cellStyle name="Comma 5 2 2 2 2 2 3 3" xfId="16179"/>
    <cellStyle name="Comma 5 2 2 2 2 2 4" xfId="9992"/>
    <cellStyle name="Comma 5 2 2 2 2 2 4 2" xfId="13063"/>
    <cellStyle name="Comma 5 2 2 2 2 2 4 2 2" xfId="19602"/>
    <cellStyle name="Comma 5 2 2 2 2 2 4 3" xfId="16750"/>
    <cellStyle name="Comma 5 2 2 2 2 2 5" xfId="3393"/>
    <cellStyle name="Comma 5 2 2 2 2 2 5 2" xfId="11350"/>
    <cellStyle name="Comma 5 2 2 2 2 2 5 2 2" xfId="17889"/>
    <cellStyle name="Comma 5 2 2 2 2 2 5 3" xfId="15037"/>
    <cellStyle name="Comma 5 2 2 2 2 2 6" xfId="2817"/>
    <cellStyle name="Comma 5 2 2 2 2 2 6 2" xfId="14465"/>
    <cellStyle name="Comma 5 2 2 2 2 2 7" xfId="10778"/>
    <cellStyle name="Comma 5 2 2 2 2 2 7 2" xfId="17317"/>
    <cellStyle name="Comma 5 2 2 2 2 2 8" xfId="13897"/>
    <cellStyle name="Comma 5 2 2 2 2 3" xfId="4313"/>
    <cellStyle name="Comma 5 2 2 2 2 3 2" xfId="11636"/>
    <cellStyle name="Comma 5 2 2 2 2 3 2 2" xfId="18175"/>
    <cellStyle name="Comma 5 2 2 2 2 3 3" xfId="15323"/>
    <cellStyle name="Comma 5 2 2 2 2 4" xfId="6585"/>
    <cellStyle name="Comma 5 2 2 2 2 4 2" xfId="12207"/>
    <cellStyle name="Comma 5 2 2 2 2 4 2 2" xfId="18746"/>
    <cellStyle name="Comma 5 2 2 2 2 4 3" xfId="15894"/>
    <cellStyle name="Comma 5 2 2 2 2 5" xfId="8857"/>
    <cellStyle name="Comma 5 2 2 2 2 5 2" xfId="12778"/>
    <cellStyle name="Comma 5 2 2 2 2 5 2 2" xfId="19317"/>
    <cellStyle name="Comma 5 2 2 2 2 5 3" xfId="16465"/>
    <cellStyle name="Comma 5 2 2 2 2 6" xfId="3108"/>
    <cellStyle name="Comma 5 2 2 2 2 6 2" xfId="11065"/>
    <cellStyle name="Comma 5 2 2 2 2 6 2 2" xfId="17604"/>
    <cellStyle name="Comma 5 2 2 2 2 6 3" xfId="14752"/>
    <cellStyle name="Comma 5 2 2 2 2 7" xfId="2537"/>
    <cellStyle name="Comma 5 2 2 2 2 7 2" xfId="14185"/>
    <cellStyle name="Comma 5 2 2 2 2 8" xfId="10498"/>
    <cellStyle name="Comma 5 2 2 2 2 8 2" xfId="17037"/>
    <cellStyle name="Comma 5 2 2 2 2 9" xfId="13612"/>
    <cellStyle name="Comma 5 2 2 2 3" xfId="1574"/>
    <cellStyle name="Comma 5 2 2 2 3 2" xfId="4994"/>
    <cellStyle name="Comma 5 2 2 2 3 2 2" xfId="11807"/>
    <cellStyle name="Comma 5 2 2 2 3 2 2 2" xfId="18346"/>
    <cellStyle name="Comma 5 2 2 2 3 2 3" xfId="15494"/>
    <cellStyle name="Comma 5 2 2 2 3 3" xfId="7266"/>
    <cellStyle name="Comma 5 2 2 2 3 3 2" xfId="12378"/>
    <cellStyle name="Comma 5 2 2 2 3 3 2 2" xfId="18917"/>
    <cellStyle name="Comma 5 2 2 2 3 3 3" xfId="16065"/>
    <cellStyle name="Comma 5 2 2 2 3 4" xfId="9538"/>
    <cellStyle name="Comma 5 2 2 2 3 4 2" xfId="12949"/>
    <cellStyle name="Comma 5 2 2 2 3 4 2 2" xfId="19488"/>
    <cellStyle name="Comma 5 2 2 2 3 4 3" xfId="16636"/>
    <cellStyle name="Comma 5 2 2 2 3 5" xfId="3279"/>
    <cellStyle name="Comma 5 2 2 2 3 5 2" xfId="11236"/>
    <cellStyle name="Comma 5 2 2 2 3 5 2 2" xfId="17775"/>
    <cellStyle name="Comma 5 2 2 2 3 5 3" xfId="14923"/>
    <cellStyle name="Comma 5 2 2 2 3 6" xfId="2705"/>
    <cellStyle name="Comma 5 2 2 2 3 6 2" xfId="14353"/>
    <cellStyle name="Comma 5 2 2 2 3 7" xfId="10666"/>
    <cellStyle name="Comma 5 2 2 2 3 7 2" xfId="17205"/>
    <cellStyle name="Comma 5 2 2 2 3 8" xfId="13783"/>
    <cellStyle name="Comma 5 2 2 2 4" xfId="3859"/>
    <cellStyle name="Comma 5 2 2 2 4 2" xfId="11522"/>
    <cellStyle name="Comma 5 2 2 2 4 2 2" xfId="18061"/>
    <cellStyle name="Comma 5 2 2 2 4 3" xfId="15209"/>
    <cellStyle name="Comma 5 2 2 2 5" xfId="6131"/>
    <cellStyle name="Comma 5 2 2 2 5 2" xfId="12093"/>
    <cellStyle name="Comma 5 2 2 2 5 2 2" xfId="18632"/>
    <cellStyle name="Comma 5 2 2 2 5 3" xfId="15780"/>
    <cellStyle name="Comma 5 2 2 2 6" xfId="8403"/>
    <cellStyle name="Comma 5 2 2 2 6 2" xfId="12664"/>
    <cellStyle name="Comma 5 2 2 2 6 2 2" xfId="19203"/>
    <cellStyle name="Comma 5 2 2 2 6 3" xfId="16351"/>
    <cellStyle name="Comma 5 2 2 2 7" xfId="2994"/>
    <cellStyle name="Comma 5 2 2 2 7 2" xfId="10951"/>
    <cellStyle name="Comma 5 2 2 2 7 2 2" xfId="17490"/>
    <cellStyle name="Comma 5 2 2 2 7 3" xfId="14638"/>
    <cellStyle name="Comma 5 2 2 2 8" xfId="2425"/>
    <cellStyle name="Comma 5 2 2 2 8 2" xfId="14073"/>
    <cellStyle name="Comma 5 2 2 2 9" xfId="10386"/>
    <cellStyle name="Comma 5 2 2 2 9 2" xfId="16925"/>
    <cellStyle name="Comma 5 2 2 3" xfId="1120"/>
    <cellStyle name="Comma 5 2 2 3 2" xfId="2255"/>
    <cellStyle name="Comma 5 2 2 3 2 2" xfId="5675"/>
    <cellStyle name="Comma 5 2 2 3 2 2 2" xfId="11978"/>
    <cellStyle name="Comma 5 2 2 3 2 2 2 2" xfId="18517"/>
    <cellStyle name="Comma 5 2 2 3 2 2 3" xfId="15665"/>
    <cellStyle name="Comma 5 2 2 3 2 3" xfId="7947"/>
    <cellStyle name="Comma 5 2 2 3 2 3 2" xfId="12549"/>
    <cellStyle name="Comma 5 2 2 3 2 3 2 2" xfId="19088"/>
    <cellStyle name="Comma 5 2 2 3 2 3 3" xfId="16236"/>
    <cellStyle name="Comma 5 2 2 3 2 4" xfId="10219"/>
    <cellStyle name="Comma 5 2 2 3 2 4 2" xfId="13120"/>
    <cellStyle name="Comma 5 2 2 3 2 4 2 2" xfId="19659"/>
    <cellStyle name="Comma 5 2 2 3 2 4 3" xfId="16807"/>
    <cellStyle name="Comma 5 2 2 3 2 5" xfId="3450"/>
    <cellStyle name="Comma 5 2 2 3 2 5 2" xfId="11407"/>
    <cellStyle name="Comma 5 2 2 3 2 5 2 2" xfId="17946"/>
    <cellStyle name="Comma 5 2 2 3 2 5 3" xfId="15094"/>
    <cellStyle name="Comma 5 2 2 3 2 6" xfId="2873"/>
    <cellStyle name="Comma 5 2 2 3 2 6 2" xfId="14521"/>
    <cellStyle name="Comma 5 2 2 3 2 7" xfId="10834"/>
    <cellStyle name="Comma 5 2 2 3 2 7 2" xfId="17373"/>
    <cellStyle name="Comma 5 2 2 3 2 8" xfId="13954"/>
    <cellStyle name="Comma 5 2 2 3 3" xfId="4540"/>
    <cellStyle name="Comma 5 2 2 3 3 2" xfId="11693"/>
    <cellStyle name="Comma 5 2 2 3 3 2 2" xfId="18232"/>
    <cellStyle name="Comma 5 2 2 3 3 3" xfId="15380"/>
    <cellStyle name="Comma 5 2 2 3 4" xfId="6812"/>
    <cellStyle name="Comma 5 2 2 3 4 2" xfId="12264"/>
    <cellStyle name="Comma 5 2 2 3 4 2 2" xfId="18803"/>
    <cellStyle name="Comma 5 2 2 3 4 3" xfId="15951"/>
    <cellStyle name="Comma 5 2 2 3 5" xfId="9084"/>
    <cellStyle name="Comma 5 2 2 3 5 2" xfId="12835"/>
    <cellStyle name="Comma 5 2 2 3 5 2 2" xfId="19374"/>
    <cellStyle name="Comma 5 2 2 3 5 3" xfId="16522"/>
    <cellStyle name="Comma 5 2 2 3 6" xfId="3165"/>
    <cellStyle name="Comma 5 2 2 3 6 2" xfId="11122"/>
    <cellStyle name="Comma 5 2 2 3 6 2 2" xfId="17661"/>
    <cellStyle name="Comma 5 2 2 3 6 3" xfId="14809"/>
    <cellStyle name="Comma 5 2 2 3 7" xfId="2593"/>
    <cellStyle name="Comma 5 2 2 3 7 2" xfId="14241"/>
    <cellStyle name="Comma 5 2 2 3 8" xfId="10554"/>
    <cellStyle name="Comma 5 2 2 3 8 2" xfId="17093"/>
    <cellStyle name="Comma 5 2 2 3 9" xfId="13669"/>
    <cellStyle name="Comma 5 2 2 4" xfId="666"/>
    <cellStyle name="Comma 5 2 2 4 2" xfId="1801"/>
    <cellStyle name="Comma 5 2 2 4 2 2" xfId="5221"/>
    <cellStyle name="Comma 5 2 2 4 2 2 2" xfId="11864"/>
    <cellStyle name="Comma 5 2 2 4 2 2 2 2" xfId="18403"/>
    <cellStyle name="Comma 5 2 2 4 2 2 3" xfId="15551"/>
    <cellStyle name="Comma 5 2 2 4 2 3" xfId="7493"/>
    <cellStyle name="Comma 5 2 2 4 2 3 2" xfId="12435"/>
    <cellStyle name="Comma 5 2 2 4 2 3 2 2" xfId="18974"/>
    <cellStyle name="Comma 5 2 2 4 2 3 3" xfId="16122"/>
    <cellStyle name="Comma 5 2 2 4 2 4" xfId="9765"/>
    <cellStyle name="Comma 5 2 2 4 2 4 2" xfId="13006"/>
    <cellStyle name="Comma 5 2 2 4 2 4 2 2" xfId="19545"/>
    <cellStyle name="Comma 5 2 2 4 2 4 3" xfId="16693"/>
    <cellStyle name="Comma 5 2 2 4 2 5" xfId="3336"/>
    <cellStyle name="Comma 5 2 2 4 2 5 2" xfId="11293"/>
    <cellStyle name="Comma 5 2 2 4 2 5 2 2" xfId="17832"/>
    <cellStyle name="Comma 5 2 2 4 2 5 3" xfId="14980"/>
    <cellStyle name="Comma 5 2 2 4 2 6" xfId="2761"/>
    <cellStyle name="Comma 5 2 2 4 2 6 2" xfId="14409"/>
    <cellStyle name="Comma 5 2 2 4 2 7" xfId="10722"/>
    <cellStyle name="Comma 5 2 2 4 2 7 2" xfId="17261"/>
    <cellStyle name="Comma 5 2 2 4 2 8" xfId="13840"/>
    <cellStyle name="Comma 5 2 2 4 3" xfId="4086"/>
    <cellStyle name="Comma 5 2 2 4 3 2" xfId="11579"/>
    <cellStyle name="Comma 5 2 2 4 3 2 2" xfId="18118"/>
    <cellStyle name="Comma 5 2 2 4 3 3" xfId="15266"/>
    <cellStyle name="Comma 5 2 2 4 4" xfId="6358"/>
    <cellStyle name="Comma 5 2 2 4 4 2" xfId="12150"/>
    <cellStyle name="Comma 5 2 2 4 4 2 2" xfId="18689"/>
    <cellStyle name="Comma 5 2 2 4 4 3" xfId="15837"/>
    <cellStyle name="Comma 5 2 2 4 5" xfId="8630"/>
    <cellStyle name="Comma 5 2 2 4 5 2" xfId="12721"/>
    <cellStyle name="Comma 5 2 2 4 5 2 2" xfId="19260"/>
    <cellStyle name="Comma 5 2 2 4 5 3" xfId="16408"/>
    <cellStyle name="Comma 5 2 2 4 6" xfId="3051"/>
    <cellStyle name="Comma 5 2 2 4 6 2" xfId="11008"/>
    <cellStyle name="Comma 5 2 2 4 6 2 2" xfId="17547"/>
    <cellStyle name="Comma 5 2 2 4 6 3" xfId="14695"/>
    <cellStyle name="Comma 5 2 2 4 7" xfId="2481"/>
    <cellStyle name="Comma 5 2 2 4 7 2" xfId="14129"/>
    <cellStyle name="Comma 5 2 2 4 8" xfId="10442"/>
    <cellStyle name="Comma 5 2 2 4 8 2" xfId="16981"/>
    <cellStyle name="Comma 5 2 2 4 9" xfId="13555"/>
    <cellStyle name="Comma 5 2 2 5" xfId="1347"/>
    <cellStyle name="Comma 5 2 2 5 2" xfId="4767"/>
    <cellStyle name="Comma 5 2 2 5 2 2" xfId="11750"/>
    <cellStyle name="Comma 5 2 2 5 2 2 2" xfId="18289"/>
    <cellStyle name="Comma 5 2 2 5 2 3" xfId="15437"/>
    <cellStyle name="Comma 5 2 2 5 3" xfId="7039"/>
    <cellStyle name="Comma 5 2 2 5 3 2" xfId="12321"/>
    <cellStyle name="Comma 5 2 2 5 3 2 2" xfId="18860"/>
    <cellStyle name="Comma 5 2 2 5 3 3" xfId="16008"/>
    <cellStyle name="Comma 5 2 2 5 4" xfId="9311"/>
    <cellStyle name="Comma 5 2 2 5 4 2" xfId="12892"/>
    <cellStyle name="Comma 5 2 2 5 4 2 2" xfId="19431"/>
    <cellStyle name="Comma 5 2 2 5 4 3" xfId="16579"/>
    <cellStyle name="Comma 5 2 2 5 5" xfId="3222"/>
    <cellStyle name="Comma 5 2 2 5 5 2" xfId="11179"/>
    <cellStyle name="Comma 5 2 2 5 5 2 2" xfId="17718"/>
    <cellStyle name="Comma 5 2 2 5 5 3" xfId="14866"/>
    <cellStyle name="Comma 5 2 2 5 6" xfId="2649"/>
    <cellStyle name="Comma 5 2 2 5 6 2" xfId="14297"/>
    <cellStyle name="Comma 5 2 2 5 7" xfId="10610"/>
    <cellStyle name="Comma 5 2 2 5 7 2" xfId="17149"/>
    <cellStyle name="Comma 5 2 2 5 8" xfId="13726"/>
    <cellStyle name="Comma 5 2 2 6" xfId="3632"/>
    <cellStyle name="Comma 5 2 2 6 2" xfId="11465"/>
    <cellStyle name="Comma 5 2 2 6 2 2" xfId="18004"/>
    <cellStyle name="Comma 5 2 2 6 3" xfId="15152"/>
    <cellStyle name="Comma 5 2 2 7" xfId="5904"/>
    <cellStyle name="Comma 5 2 2 7 2" xfId="12036"/>
    <cellStyle name="Comma 5 2 2 7 2 2" xfId="18575"/>
    <cellStyle name="Comma 5 2 2 7 3" xfId="15723"/>
    <cellStyle name="Comma 5 2 2 8" xfId="8176"/>
    <cellStyle name="Comma 5 2 2 8 2" xfId="12607"/>
    <cellStyle name="Comma 5 2 2 8 2 2" xfId="19146"/>
    <cellStyle name="Comma 5 2 2 8 3" xfId="16294"/>
    <cellStyle name="Comma 5 2 2 9" xfId="2934"/>
    <cellStyle name="Comma 5 2 2 9 2" xfId="10893"/>
    <cellStyle name="Comma 5 2 2 9 2 2" xfId="17432"/>
    <cellStyle name="Comma 5 2 2 9 3" xfId="14580"/>
    <cellStyle name="Comma 5 2 3" xfId="145"/>
    <cellStyle name="Comma 5 2 3 10" xfId="2354"/>
    <cellStyle name="Comma 5 2 3 10 2" xfId="14002"/>
    <cellStyle name="Comma 5 2 3 11" xfId="10315"/>
    <cellStyle name="Comma 5 2 3 11 2" xfId="16854"/>
    <cellStyle name="Comma 5 2 3 12" xfId="13426"/>
    <cellStyle name="Comma 5 2 3 2" xfId="383"/>
    <cellStyle name="Comma 5 2 3 2 10" xfId="13484"/>
    <cellStyle name="Comma 5 2 3 2 2" xfId="837"/>
    <cellStyle name="Comma 5 2 3 2 2 2" xfId="1972"/>
    <cellStyle name="Comma 5 2 3 2 2 2 2" xfId="5392"/>
    <cellStyle name="Comma 5 2 3 2 2 2 2 2" xfId="11907"/>
    <cellStyle name="Comma 5 2 3 2 2 2 2 2 2" xfId="18446"/>
    <cellStyle name="Comma 5 2 3 2 2 2 2 3" xfId="15594"/>
    <cellStyle name="Comma 5 2 3 2 2 2 3" xfId="7664"/>
    <cellStyle name="Comma 5 2 3 2 2 2 3 2" xfId="12478"/>
    <cellStyle name="Comma 5 2 3 2 2 2 3 2 2" xfId="19017"/>
    <cellStyle name="Comma 5 2 3 2 2 2 3 3" xfId="16165"/>
    <cellStyle name="Comma 5 2 3 2 2 2 4" xfId="9936"/>
    <cellStyle name="Comma 5 2 3 2 2 2 4 2" xfId="13049"/>
    <cellStyle name="Comma 5 2 3 2 2 2 4 2 2" xfId="19588"/>
    <cellStyle name="Comma 5 2 3 2 2 2 4 3" xfId="16736"/>
    <cellStyle name="Comma 5 2 3 2 2 2 5" xfId="3379"/>
    <cellStyle name="Comma 5 2 3 2 2 2 5 2" xfId="11336"/>
    <cellStyle name="Comma 5 2 3 2 2 2 5 2 2" xfId="17875"/>
    <cellStyle name="Comma 5 2 3 2 2 2 5 3" xfId="15023"/>
    <cellStyle name="Comma 5 2 3 2 2 2 6" xfId="2803"/>
    <cellStyle name="Comma 5 2 3 2 2 2 6 2" xfId="14451"/>
    <cellStyle name="Comma 5 2 3 2 2 2 7" xfId="10764"/>
    <cellStyle name="Comma 5 2 3 2 2 2 7 2" xfId="17303"/>
    <cellStyle name="Comma 5 2 3 2 2 2 8" xfId="13883"/>
    <cellStyle name="Comma 5 2 3 2 2 3" xfId="4257"/>
    <cellStyle name="Comma 5 2 3 2 2 3 2" xfId="11622"/>
    <cellStyle name="Comma 5 2 3 2 2 3 2 2" xfId="18161"/>
    <cellStyle name="Comma 5 2 3 2 2 3 3" xfId="15309"/>
    <cellStyle name="Comma 5 2 3 2 2 4" xfId="6529"/>
    <cellStyle name="Comma 5 2 3 2 2 4 2" xfId="12193"/>
    <cellStyle name="Comma 5 2 3 2 2 4 2 2" xfId="18732"/>
    <cellStyle name="Comma 5 2 3 2 2 4 3" xfId="15880"/>
    <cellStyle name="Comma 5 2 3 2 2 5" xfId="8801"/>
    <cellStyle name="Comma 5 2 3 2 2 5 2" xfId="12764"/>
    <cellStyle name="Comma 5 2 3 2 2 5 2 2" xfId="19303"/>
    <cellStyle name="Comma 5 2 3 2 2 5 3" xfId="16451"/>
    <cellStyle name="Comma 5 2 3 2 2 6" xfId="3094"/>
    <cellStyle name="Comma 5 2 3 2 2 6 2" xfId="11051"/>
    <cellStyle name="Comma 5 2 3 2 2 6 2 2" xfId="17590"/>
    <cellStyle name="Comma 5 2 3 2 2 6 3" xfId="14738"/>
    <cellStyle name="Comma 5 2 3 2 2 7" xfId="2523"/>
    <cellStyle name="Comma 5 2 3 2 2 7 2" xfId="14171"/>
    <cellStyle name="Comma 5 2 3 2 2 8" xfId="10484"/>
    <cellStyle name="Comma 5 2 3 2 2 8 2" xfId="17023"/>
    <cellStyle name="Comma 5 2 3 2 2 9" xfId="13598"/>
    <cellStyle name="Comma 5 2 3 2 3" xfId="1518"/>
    <cellStyle name="Comma 5 2 3 2 3 2" xfId="4938"/>
    <cellStyle name="Comma 5 2 3 2 3 2 2" xfId="11793"/>
    <cellStyle name="Comma 5 2 3 2 3 2 2 2" xfId="18332"/>
    <cellStyle name="Comma 5 2 3 2 3 2 3" xfId="15480"/>
    <cellStyle name="Comma 5 2 3 2 3 3" xfId="7210"/>
    <cellStyle name="Comma 5 2 3 2 3 3 2" xfId="12364"/>
    <cellStyle name="Comma 5 2 3 2 3 3 2 2" xfId="18903"/>
    <cellStyle name="Comma 5 2 3 2 3 3 3" xfId="16051"/>
    <cellStyle name="Comma 5 2 3 2 3 4" xfId="9482"/>
    <cellStyle name="Comma 5 2 3 2 3 4 2" xfId="12935"/>
    <cellStyle name="Comma 5 2 3 2 3 4 2 2" xfId="19474"/>
    <cellStyle name="Comma 5 2 3 2 3 4 3" xfId="16622"/>
    <cellStyle name="Comma 5 2 3 2 3 5" xfId="3265"/>
    <cellStyle name="Comma 5 2 3 2 3 5 2" xfId="11222"/>
    <cellStyle name="Comma 5 2 3 2 3 5 2 2" xfId="17761"/>
    <cellStyle name="Comma 5 2 3 2 3 5 3" xfId="14909"/>
    <cellStyle name="Comma 5 2 3 2 3 6" xfId="2691"/>
    <cellStyle name="Comma 5 2 3 2 3 6 2" xfId="14339"/>
    <cellStyle name="Comma 5 2 3 2 3 7" xfId="10652"/>
    <cellStyle name="Comma 5 2 3 2 3 7 2" xfId="17191"/>
    <cellStyle name="Comma 5 2 3 2 3 8" xfId="13769"/>
    <cellStyle name="Comma 5 2 3 2 4" xfId="3803"/>
    <cellStyle name="Comma 5 2 3 2 4 2" xfId="11508"/>
    <cellStyle name="Comma 5 2 3 2 4 2 2" xfId="18047"/>
    <cellStyle name="Comma 5 2 3 2 4 3" xfId="15195"/>
    <cellStyle name="Comma 5 2 3 2 5" xfId="6075"/>
    <cellStyle name="Comma 5 2 3 2 5 2" xfId="12079"/>
    <cellStyle name="Comma 5 2 3 2 5 2 2" xfId="18618"/>
    <cellStyle name="Comma 5 2 3 2 5 3" xfId="15766"/>
    <cellStyle name="Comma 5 2 3 2 6" xfId="8347"/>
    <cellStyle name="Comma 5 2 3 2 6 2" xfId="12650"/>
    <cellStyle name="Comma 5 2 3 2 6 2 2" xfId="19189"/>
    <cellStyle name="Comma 5 2 3 2 6 3" xfId="16337"/>
    <cellStyle name="Comma 5 2 3 2 7" xfId="2980"/>
    <cellStyle name="Comma 5 2 3 2 7 2" xfId="10937"/>
    <cellStyle name="Comma 5 2 3 2 7 2 2" xfId="17476"/>
    <cellStyle name="Comma 5 2 3 2 7 3" xfId="14624"/>
    <cellStyle name="Comma 5 2 3 2 8" xfId="2411"/>
    <cellStyle name="Comma 5 2 3 2 8 2" xfId="14059"/>
    <cellStyle name="Comma 5 2 3 2 9" xfId="10372"/>
    <cellStyle name="Comma 5 2 3 2 9 2" xfId="16911"/>
    <cellStyle name="Comma 5 2 3 3" xfId="1064"/>
    <cellStyle name="Comma 5 2 3 3 2" xfId="2199"/>
    <cellStyle name="Comma 5 2 3 3 2 2" xfId="5619"/>
    <cellStyle name="Comma 5 2 3 3 2 2 2" xfId="11964"/>
    <cellStyle name="Comma 5 2 3 3 2 2 2 2" xfId="18503"/>
    <cellStyle name="Comma 5 2 3 3 2 2 3" xfId="15651"/>
    <cellStyle name="Comma 5 2 3 3 2 3" xfId="7891"/>
    <cellStyle name="Comma 5 2 3 3 2 3 2" xfId="12535"/>
    <cellStyle name="Comma 5 2 3 3 2 3 2 2" xfId="19074"/>
    <cellStyle name="Comma 5 2 3 3 2 3 3" xfId="16222"/>
    <cellStyle name="Comma 5 2 3 3 2 4" xfId="10163"/>
    <cellStyle name="Comma 5 2 3 3 2 4 2" xfId="13106"/>
    <cellStyle name="Comma 5 2 3 3 2 4 2 2" xfId="19645"/>
    <cellStyle name="Comma 5 2 3 3 2 4 3" xfId="16793"/>
    <cellStyle name="Comma 5 2 3 3 2 5" xfId="3436"/>
    <cellStyle name="Comma 5 2 3 3 2 5 2" xfId="11393"/>
    <cellStyle name="Comma 5 2 3 3 2 5 2 2" xfId="17932"/>
    <cellStyle name="Comma 5 2 3 3 2 5 3" xfId="15080"/>
    <cellStyle name="Comma 5 2 3 3 2 6" xfId="2859"/>
    <cellStyle name="Comma 5 2 3 3 2 6 2" xfId="14507"/>
    <cellStyle name="Comma 5 2 3 3 2 7" xfId="10820"/>
    <cellStyle name="Comma 5 2 3 3 2 7 2" xfId="17359"/>
    <cellStyle name="Comma 5 2 3 3 2 8" xfId="13940"/>
    <cellStyle name="Comma 5 2 3 3 3" xfId="4484"/>
    <cellStyle name="Comma 5 2 3 3 3 2" xfId="11679"/>
    <cellStyle name="Comma 5 2 3 3 3 2 2" xfId="18218"/>
    <cellStyle name="Comma 5 2 3 3 3 3" xfId="15366"/>
    <cellStyle name="Comma 5 2 3 3 4" xfId="6756"/>
    <cellStyle name="Comma 5 2 3 3 4 2" xfId="12250"/>
    <cellStyle name="Comma 5 2 3 3 4 2 2" xfId="18789"/>
    <cellStyle name="Comma 5 2 3 3 4 3" xfId="15937"/>
    <cellStyle name="Comma 5 2 3 3 5" xfId="9028"/>
    <cellStyle name="Comma 5 2 3 3 5 2" xfId="12821"/>
    <cellStyle name="Comma 5 2 3 3 5 2 2" xfId="19360"/>
    <cellStyle name="Comma 5 2 3 3 5 3" xfId="16508"/>
    <cellStyle name="Comma 5 2 3 3 6" xfId="3151"/>
    <cellStyle name="Comma 5 2 3 3 6 2" xfId="11108"/>
    <cellStyle name="Comma 5 2 3 3 6 2 2" xfId="17647"/>
    <cellStyle name="Comma 5 2 3 3 6 3" xfId="14795"/>
    <cellStyle name="Comma 5 2 3 3 7" xfId="2579"/>
    <cellStyle name="Comma 5 2 3 3 7 2" xfId="14227"/>
    <cellStyle name="Comma 5 2 3 3 8" xfId="10540"/>
    <cellStyle name="Comma 5 2 3 3 8 2" xfId="17079"/>
    <cellStyle name="Comma 5 2 3 3 9" xfId="13655"/>
    <cellStyle name="Comma 5 2 3 4" xfId="610"/>
    <cellStyle name="Comma 5 2 3 4 2" xfId="1745"/>
    <cellStyle name="Comma 5 2 3 4 2 2" xfId="5165"/>
    <cellStyle name="Comma 5 2 3 4 2 2 2" xfId="11850"/>
    <cellStyle name="Comma 5 2 3 4 2 2 2 2" xfId="18389"/>
    <cellStyle name="Comma 5 2 3 4 2 2 3" xfId="15537"/>
    <cellStyle name="Comma 5 2 3 4 2 3" xfId="7437"/>
    <cellStyle name="Comma 5 2 3 4 2 3 2" xfId="12421"/>
    <cellStyle name="Comma 5 2 3 4 2 3 2 2" xfId="18960"/>
    <cellStyle name="Comma 5 2 3 4 2 3 3" xfId="16108"/>
    <cellStyle name="Comma 5 2 3 4 2 4" xfId="9709"/>
    <cellStyle name="Comma 5 2 3 4 2 4 2" xfId="12992"/>
    <cellStyle name="Comma 5 2 3 4 2 4 2 2" xfId="19531"/>
    <cellStyle name="Comma 5 2 3 4 2 4 3" xfId="16679"/>
    <cellStyle name="Comma 5 2 3 4 2 5" xfId="3322"/>
    <cellStyle name="Comma 5 2 3 4 2 5 2" xfId="11279"/>
    <cellStyle name="Comma 5 2 3 4 2 5 2 2" xfId="17818"/>
    <cellStyle name="Comma 5 2 3 4 2 5 3" xfId="14966"/>
    <cellStyle name="Comma 5 2 3 4 2 6" xfId="2747"/>
    <cellStyle name="Comma 5 2 3 4 2 6 2" xfId="14395"/>
    <cellStyle name="Comma 5 2 3 4 2 7" xfId="10708"/>
    <cellStyle name="Comma 5 2 3 4 2 7 2" xfId="17247"/>
    <cellStyle name="Comma 5 2 3 4 2 8" xfId="13826"/>
    <cellStyle name="Comma 5 2 3 4 3" xfId="4030"/>
    <cellStyle name="Comma 5 2 3 4 3 2" xfId="11565"/>
    <cellStyle name="Comma 5 2 3 4 3 2 2" xfId="18104"/>
    <cellStyle name="Comma 5 2 3 4 3 3" xfId="15252"/>
    <cellStyle name="Comma 5 2 3 4 4" xfId="6302"/>
    <cellStyle name="Comma 5 2 3 4 4 2" xfId="12136"/>
    <cellStyle name="Comma 5 2 3 4 4 2 2" xfId="18675"/>
    <cellStyle name="Comma 5 2 3 4 4 3" xfId="15823"/>
    <cellStyle name="Comma 5 2 3 4 5" xfId="8574"/>
    <cellStyle name="Comma 5 2 3 4 5 2" xfId="12707"/>
    <cellStyle name="Comma 5 2 3 4 5 2 2" xfId="19246"/>
    <cellStyle name="Comma 5 2 3 4 5 3" xfId="16394"/>
    <cellStyle name="Comma 5 2 3 4 6" xfId="3037"/>
    <cellStyle name="Comma 5 2 3 4 6 2" xfId="10994"/>
    <cellStyle name="Comma 5 2 3 4 6 2 2" xfId="17533"/>
    <cellStyle name="Comma 5 2 3 4 6 3" xfId="14681"/>
    <cellStyle name="Comma 5 2 3 4 7" xfId="2467"/>
    <cellStyle name="Comma 5 2 3 4 7 2" xfId="14115"/>
    <cellStyle name="Comma 5 2 3 4 8" xfId="10428"/>
    <cellStyle name="Comma 5 2 3 4 8 2" xfId="16967"/>
    <cellStyle name="Comma 5 2 3 4 9" xfId="13541"/>
    <cellStyle name="Comma 5 2 3 5" xfId="1291"/>
    <cellStyle name="Comma 5 2 3 5 2" xfId="4711"/>
    <cellStyle name="Comma 5 2 3 5 2 2" xfId="11736"/>
    <cellStyle name="Comma 5 2 3 5 2 2 2" xfId="18275"/>
    <cellStyle name="Comma 5 2 3 5 2 3" xfId="15423"/>
    <cellStyle name="Comma 5 2 3 5 3" xfId="6983"/>
    <cellStyle name="Comma 5 2 3 5 3 2" xfId="12307"/>
    <cellStyle name="Comma 5 2 3 5 3 2 2" xfId="18846"/>
    <cellStyle name="Comma 5 2 3 5 3 3" xfId="15994"/>
    <cellStyle name="Comma 5 2 3 5 4" xfId="9255"/>
    <cellStyle name="Comma 5 2 3 5 4 2" xfId="12878"/>
    <cellStyle name="Comma 5 2 3 5 4 2 2" xfId="19417"/>
    <cellStyle name="Comma 5 2 3 5 4 3" xfId="16565"/>
    <cellStyle name="Comma 5 2 3 5 5" xfId="3208"/>
    <cellStyle name="Comma 5 2 3 5 5 2" xfId="11165"/>
    <cellStyle name="Comma 5 2 3 5 5 2 2" xfId="17704"/>
    <cellStyle name="Comma 5 2 3 5 5 3" xfId="14852"/>
    <cellStyle name="Comma 5 2 3 5 6" xfId="2635"/>
    <cellStyle name="Comma 5 2 3 5 6 2" xfId="14283"/>
    <cellStyle name="Comma 5 2 3 5 7" xfId="10596"/>
    <cellStyle name="Comma 5 2 3 5 7 2" xfId="17135"/>
    <cellStyle name="Comma 5 2 3 5 8" xfId="13712"/>
    <cellStyle name="Comma 5 2 3 6" xfId="3576"/>
    <cellStyle name="Comma 5 2 3 6 2" xfId="11451"/>
    <cellStyle name="Comma 5 2 3 6 2 2" xfId="17990"/>
    <cellStyle name="Comma 5 2 3 6 3" xfId="15138"/>
    <cellStyle name="Comma 5 2 3 7" xfId="5848"/>
    <cellStyle name="Comma 5 2 3 7 2" xfId="12022"/>
    <cellStyle name="Comma 5 2 3 7 2 2" xfId="18561"/>
    <cellStyle name="Comma 5 2 3 7 3" xfId="15709"/>
    <cellStyle name="Comma 5 2 3 8" xfId="8120"/>
    <cellStyle name="Comma 5 2 3 8 2" xfId="12593"/>
    <cellStyle name="Comma 5 2 3 8 2 2" xfId="19132"/>
    <cellStyle name="Comma 5 2 3 8 3" xfId="16280"/>
    <cellStyle name="Comma 5 2 3 9" xfId="2920"/>
    <cellStyle name="Comma 5 2 3 9 2" xfId="10879"/>
    <cellStyle name="Comma 5 2 3 9 2 2" xfId="17418"/>
    <cellStyle name="Comma 5 2 3 9 3" xfId="14566"/>
    <cellStyle name="Comma 5 2 4" xfId="271"/>
    <cellStyle name="Comma 5 2 4 10" xfId="2383"/>
    <cellStyle name="Comma 5 2 4 10 2" xfId="14031"/>
    <cellStyle name="Comma 5 2 4 11" xfId="10344"/>
    <cellStyle name="Comma 5 2 4 11 2" xfId="16883"/>
    <cellStyle name="Comma 5 2 4 12" xfId="13456"/>
    <cellStyle name="Comma 5 2 4 2" xfId="498"/>
    <cellStyle name="Comma 5 2 4 2 10" xfId="13513"/>
    <cellStyle name="Comma 5 2 4 2 2" xfId="952"/>
    <cellStyle name="Comma 5 2 4 2 2 2" xfId="2087"/>
    <cellStyle name="Comma 5 2 4 2 2 2 2" xfId="5507"/>
    <cellStyle name="Comma 5 2 4 2 2 2 2 2" xfId="11936"/>
    <cellStyle name="Comma 5 2 4 2 2 2 2 2 2" xfId="18475"/>
    <cellStyle name="Comma 5 2 4 2 2 2 2 3" xfId="15623"/>
    <cellStyle name="Comma 5 2 4 2 2 2 3" xfId="7779"/>
    <cellStyle name="Comma 5 2 4 2 2 2 3 2" xfId="12507"/>
    <cellStyle name="Comma 5 2 4 2 2 2 3 2 2" xfId="19046"/>
    <cellStyle name="Comma 5 2 4 2 2 2 3 3" xfId="16194"/>
    <cellStyle name="Comma 5 2 4 2 2 2 4" xfId="10051"/>
    <cellStyle name="Comma 5 2 4 2 2 2 4 2" xfId="13078"/>
    <cellStyle name="Comma 5 2 4 2 2 2 4 2 2" xfId="19617"/>
    <cellStyle name="Comma 5 2 4 2 2 2 4 3" xfId="16765"/>
    <cellStyle name="Comma 5 2 4 2 2 2 5" xfId="3408"/>
    <cellStyle name="Comma 5 2 4 2 2 2 5 2" xfId="11365"/>
    <cellStyle name="Comma 5 2 4 2 2 2 5 2 2" xfId="17904"/>
    <cellStyle name="Comma 5 2 4 2 2 2 5 3" xfId="15052"/>
    <cellStyle name="Comma 5 2 4 2 2 2 6" xfId="2831"/>
    <cellStyle name="Comma 5 2 4 2 2 2 6 2" xfId="14479"/>
    <cellStyle name="Comma 5 2 4 2 2 2 7" xfId="10792"/>
    <cellStyle name="Comma 5 2 4 2 2 2 7 2" xfId="17331"/>
    <cellStyle name="Comma 5 2 4 2 2 2 8" xfId="13912"/>
    <cellStyle name="Comma 5 2 4 2 2 3" xfId="4372"/>
    <cellStyle name="Comma 5 2 4 2 2 3 2" xfId="11651"/>
    <cellStyle name="Comma 5 2 4 2 2 3 2 2" xfId="18190"/>
    <cellStyle name="Comma 5 2 4 2 2 3 3" xfId="15338"/>
    <cellStyle name="Comma 5 2 4 2 2 4" xfId="6644"/>
    <cellStyle name="Comma 5 2 4 2 2 4 2" xfId="12222"/>
    <cellStyle name="Comma 5 2 4 2 2 4 2 2" xfId="18761"/>
    <cellStyle name="Comma 5 2 4 2 2 4 3" xfId="15909"/>
    <cellStyle name="Comma 5 2 4 2 2 5" xfId="8916"/>
    <cellStyle name="Comma 5 2 4 2 2 5 2" xfId="12793"/>
    <cellStyle name="Comma 5 2 4 2 2 5 2 2" xfId="19332"/>
    <cellStyle name="Comma 5 2 4 2 2 5 3" xfId="16480"/>
    <cellStyle name="Comma 5 2 4 2 2 6" xfId="3123"/>
    <cellStyle name="Comma 5 2 4 2 2 6 2" xfId="11080"/>
    <cellStyle name="Comma 5 2 4 2 2 6 2 2" xfId="17619"/>
    <cellStyle name="Comma 5 2 4 2 2 6 3" xfId="14767"/>
    <cellStyle name="Comma 5 2 4 2 2 7" xfId="2551"/>
    <cellStyle name="Comma 5 2 4 2 2 7 2" xfId="14199"/>
    <cellStyle name="Comma 5 2 4 2 2 8" xfId="10512"/>
    <cellStyle name="Comma 5 2 4 2 2 8 2" xfId="17051"/>
    <cellStyle name="Comma 5 2 4 2 2 9" xfId="13627"/>
    <cellStyle name="Comma 5 2 4 2 3" xfId="1633"/>
    <cellStyle name="Comma 5 2 4 2 3 2" xfId="5053"/>
    <cellStyle name="Comma 5 2 4 2 3 2 2" xfId="11822"/>
    <cellStyle name="Comma 5 2 4 2 3 2 2 2" xfId="18361"/>
    <cellStyle name="Comma 5 2 4 2 3 2 3" xfId="15509"/>
    <cellStyle name="Comma 5 2 4 2 3 3" xfId="7325"/>
    <cellStyle name="Comma 5 2 4 2 3 3 2" xfId="12393"/>
    <cellStyle name="Comma 5 2 4 2 3 3 2 2" xfId="18932"/>
    <cellStyle name="Comma 5 2 4 2 3 3 3" xfId="16080"/>
    <cellStyle name="Comma 5 2 4 2 3 4" xfId="9597"/>
    <cellStyle name="Comma 5 2 4 2 3 4 2" xfId="12964"/>
    <cellStyle name="Comma 5 2 4 2 3 4 2 2" xfId="19503"/>
    <cellStyle name="Comma 5 2 4 2 3 4 3" xfId="16651"/>
    <cellStyle name="Comma 5 2 4 2 3 5" xfId="3294"/>
    <cellStyle name="Comma 5 2 4 2 3 5 2" xfId="11251"/>
    <cellStyle name="Comma 5 2 4 2 3 5 2 2" xfId="17790"/>
    <cellStyle name="Comma 5 2 4 2 3 5 3" xfId="14938"/>
    <cellStyle name="Comma 5 2 4 2 3 6" xfId="2719"/>
    <cellStyle name="Comma 5 2 4 2 3 6 2" xfId="14367"/>
    <cellStyle name="Comma 5 2 4 2 3 7" xfId="10680"/>
    <cellStyle name="Comma 5 2 4 2 3 7 2" xfId="17219"/>
    <cellStyle name="Comma 5 2 4 2 3 8" xfId="13798"/>
    <cellStyle name="Comma 5 2 4 2 4" xfId="3918"/>
    <cellStyle name="Comma 5 2 4 2 4 2" xfId="11537"/>
    <cellStyle name="Comma 5 2 4 2 4 2 2" xfId="18076"/>
    <cellStyle name="Comma 5 2 4 2 4 3" xfId="15224"/>
    <cellStyle name="Comma 5 2 4 2 5" xfId="6190"/>
    <cellStyle name="Comma 5 2 4 2 5 2" xfId="12108"/>
    <cellStyle name="Comma 5 2 4 2 5 2 2" xfId="18647"/>
    <cellStyle name="Comma 5 2 4 2 5 3" xfId="15795"/>
    <cellStyle name="Comma 5 2 4 2 6" xfId="8462"/>
    <cellStyle name="Comma 5 2 4 2 6 2" xfId="12679"/>
    <cellStyle name="Comma 5 2 4 2 6 2 2" xfId="19218"/>
    <cellStyle name="Comma 5 2 4 2 6 3" xfId="16366"/>
    <cellStyle name="Comma 5 2 4 2 7" xfId="3009"/>
    <cellStyle name="Comma 5 2 4 2 7 2" xfId="10966"/>
    <cellStyle name="Comma 5 2 4 2 7 2 2" xfId="17505"/>
    <cellStyle name="Comma 5 2 4 2 7 3" xfId="14653"/>
    <cellStyle name="Comma 5 2 4 2 8" xfId="2439"/>
    <cellStyle name="Comma 5 2 4 2 8 2" xfId="14087"/>
    <cellStyle name="Comma 5 2 4 2 9" xfId="10400"/>
    <cellStyle name="Comma 5 2 4 2 9 2" xfId="16939"/>
    <cellStyle name="Comma 5 2 4 3" xfId="1179"/>
    <cellStyle name="Comma 5 2 4 3 2" xfId="2314"/>
    <cellStyle name="Comma 5 2 4 3 2 2" xfId="5734"/>
    <cellStyle name="Comma 5 2 4 3 2 2 2" xfId="11993"/>
    <cellStyle name="Comma 5 2 4 3 2 2 2 2" xfId="18532"/>
    <cellStyle name="Comma 5 2 4 3 2 2 3" xfId="15680"/>
    <cellStyle name="Comma 5 2 4 3 2 3" xfId="8006"/>
    <cellStyle name="Comma 5 2 4 3 2 3 2" xfId="12564"/>
    <cellStyle name="Comma 5 2 4 3 2 3 2 2" xfId="19103"/>
    <cellStyle name="Comma 5 2 4 3 2 3 3" xfId="16251"/>
    <cellStyle name="Comma 5 2 4 3 2 4" xfId="10278"/>
    <cellStyle name="Comma 5 2 4 3 2 4 2" xfId="13135"/>
    <cellStyle name="Comma 5 2 4 3 2 4 2 2" xfId="19674"/>
    <cellStyle name="Comma 5 2 4 3 2 4 3" xfId="16822"/>
    <cellStyle name="Comma 5 2 4 3 2 5" xfId="3465"/>
    <cellStyle name="Comma 5 2 4 3 2 5 2" xfId="11422"/>
    <cellStyle name="Comma 5 2 4 3 2 5 2 2" xfId="17961"/>
    <cellStyle name="Comma 5 2 4 3 2 5 3" xfId="15109"/>
    <cellStyle name="Comma 5 2 4 3 2 6" xfId="2887"/>
    <cellStyle name="Comma 5 2 4 3 2 6 2" xfId="14535"/>
    <cellStyle name="Comma 5 2 4 3 2 7" xfId="10848"/>
    <cellStyle name="Comma 5 2 4 3 2 7 2" xfId="17387"/>
    <cellStyle name="Comma 5 2 4 3 2 8" xfId="13969"/>
    <cellStyle name="Comma 5 2 4 3 3" xfId="4599"/>
    <cellStyle name="Comma 5 2 4 3 3 2" xfId="11708"/>
    <cellStyle name="Comma 5 2 4 3 3 2 2" xfId="18247"/>
    <cellStyle name="Comma 5 2 4 3 3 3" xfId="15395"/>
    <cellStyle name="Comma 5 2 4 3 4" xfId="6871"/>
    <cellStyle name="Comma 5 2 4 3 4 2" xfId="12279"/>
    <cellStyle name="Comma 5 2 4 3 4 2 2" xfId="18818"/>
    <cellStyle name="Comma 5 2 4 3 4 3" xfId="15966"/>
    <cellStyle name="Comma 5 2 4 3 5" xfId="9143"/>
    <cellStyle name="Comma 5 2 4 3 5 2" xfId="12850"/>
    <cellStyle name="Comma 5 2 4 3 5 2 2" xfId="19389"/>
    <cellStyle name="Comma 5 2 4 3 5 3" xfId="16537"/>
    <cellStyle name="Comma 5 2 4 3 6" xfId="3180"/>
    <cellStyle name="Comma 5 2 4 3 6 2" xfId="11137"/>
    <cellStyle name="Comma 5 2 4 3 6 2 2" xfId="17676"/>
    <cellStyle name="Comma 5 2 4 3 6 3" xfId="14824"/>
    <cellStyle name="Comma 5 2 4 3 7" xfId="2607"/>
    <cellStyle name="Comma 5 2 4 3 7 2" xfId="14255"/>
    <cellStyle name="Comma 5 2 4 3 8" xfId="10568"/>
    <cellStyle name="Comma 5 2 4 3 8 2" xfId="17107"/>
    <cellStyle name="Comma 5 2 4 3 9" xfId="13684"/>
    <cellStyle name="Comma 5 2 4 4" xfId="725"/>
    <cellStyle name="Comma 5 2 4 4 2" xfId="1860"/>
    <cellStyle name="Comma 5 2 4 4 2 2" xfId="5280"/>
    <cellStyle name="Comma 5 2 4 4 2 2 2" xfId="11879"/>
    <cellStyle name="Comma 5 2 4 4 2 2 2 2" xfId="18418"/>
    <cellStyle name="Comma 5 2 4 4 2 2 3" xfId="15566"/>
    <cellStyle name="Comma 5 2 4 4 2 3" xfId="7552"/>
    <cellStyle name="Comma 5 2 4 4 2 3 2" xfId="12450"/>
    <cellStyle name="Comma 5 2 4 4 2 3 2 2" xfId="18989"/>
    <cellStyle name="Comma 5 2 4 4 2 3 3" xfId="16137"/>
    <cellStyle name="Comma 5 2 4 4 2 4" xfId="9824"/>
    <cellStyle name="Comma 5 2 4 4 2 4 2" xfId="13021"/>
    <cellStyle name="Comma 5 2 4 4 2 4 2 2" xfId="19560"/>
    <cellStyle name="Comma 5 2 4 4 2 4 3" xfId="16708"/>
    <cellStyle name="Comma 5 2 4 4 2 5" xfId="3351"/>
    <cellStyle name="Comma 5 2 4 4 2 5 2" xfId="11308"/>
    <cellStyle name="Comma 5 2 4 4 2 5 2 2" xfId="17847"/>
    <cellStyle name="Comma 5 2 4 4 2 5 3" xfId="14995"/>
    <cellStyle name="Comma 5 2 4 4 2 6" xfId="2775"/>
    <cellStyle name="Comma 5 2 4 4 2 6 2" xfId="14423"/>
    <cellStyle name="Comma 5 2 4 4 2 7" xfId="10736"/>
    <cellStyle name="Comma 5 2 4 4 2 7 2" xfId="17275"/>
    <cellStyle name="Comma 5 2 4 4 2 8" xfId="13855"/>
    <cellStyle name="Comma 5 2 4 4 3" xfId="4145"/>
    <cellStyle name="Comma 5 2 4 4 3 2" xfId="11594"/>
    <cellStyle name="Comma 5 2 4 4 3 2 2" xfId="18133"/>
    <cellStyle name="Comma 5 2 4 4 3 3" xfId="15281"/>
    <cellStyle name="Comma 5 2 4 4 4" xfId="6417"/>
    <cellStyle name="Comma 5 2 4 4 4 2" xfId="12165"/>
    <cellStyle name="Comma 5 2 4 4 4 2 2" xfId="18704"/>
    <cellStyle name="Comma 5 2 4 4 4 3" xfId="15852"/>
    <cellStyle name="Comma 5 2 4 4 5" xfId="8689"/>
    <cellStyle name="Comma 5 2 4 4 5 2" xfId="12736"/>
    <cellStyle name="Comma 5 2 4 4 5 2 2" xfId="19275"/>
    <cellStyle name="Comma 5 2 4 4 5 3" xfId="16423"/>
    <cellStyle name="Comma 5 2 4 4 6" xfId="3066"/>
    <cellStyle name="Comma 5 2 4 4 6 2" xfId="11023"/>
    <cellStyle name="Comma 5 2 4 4 6 2 2" xfId="17562"/>
    <cellStyle name="Comma 5 2 4 4 6 3" xfId="14710"/>
    <cellStyle name="Comma 5 2 4 4 7" xfId="2495"/>
    <cellStyle name="Comma 5 2 4 4 7 2" xfId="14143"/>
    <cellStyle name="Comma 5 2 4 4 8" xfId="10456"/>
    <cellStyle name="Comma 5 2 4 4 8 2" xfId="16995"/>
    <cellStyle name="Comma 5 2 4 4 9" xfId="13570"/>
    <cellStyle name="Comma 5 2 4 5" xfId="1406"/>
    <cellStyle name="Comma 5 2 4 5 2" xfId="4826"/>
    <cellStyle name="Comma 5 2 4 5 2 2" xfId="11765"/>
    <cellStyle name="Comma 5 2 4 5 2 2 2" xfId="18304"/>
    <cellStyle name="Comma 5 2 4 5 2 3" xfId="15452"/>
    <cellStyle name="Comma 5 2 4 5 3" xfId="7098"/>
    <cellStyle name="Comma 5 2 4 5 3 2" xfId="12336"/>
    <cellStyle name="Comma 5 2 4 5 3 2 2" xfId="18875"/>
    <cellStyle name="Comma 5 2 4 5 3 3" xfId="16023"/>
    <cellStyle name="Comma 5 2 4 5 4" xfId="9370"/>
    <cellStyle name="Comma 5 2 4 5 4 2" xfId="12907"/>
    <cellStyle name="Comma 5 2 4 5 4 2 2" xfId="19446"/>
    <cellStyle name="Comma 5 2 4 5 4 3" xfId="16594"/>
    <cellStyle name="Comma 5 2 4 5 5" xfId="3237"/>
    <cellStyle name="Comma 5 2 4 5 5 2" xfId="11194"/>
    <cellStyle name="Comma 5 2 4 5 5 2 2" xfId="17733"/>
    <cellStyle name="Comma 5 2 4 5 5 3" xfId="14881"/>
    <cellStyle name="Comma 5 2 4 5 6" xfId="2663"/>
    <cellStyle name="Comma 5 2 4 5 6 2" xfId="14311"/>
    <cellStyle name="Comma 5 2 4 5 7" xfId="10624"/>
    <cellStyle name="Comma 5 2 4 5 7 2" xfId="17163"/>
    <cellStyle name="Comma 5 2 4 5 8" xfId="13741"/>
    <cellStyle name="Comma 5 2 4 6" xfId="3691"/>
    <cellStyle name="Comma 5 2 4 6 2" xfId="11480"/>
    <cellStyle name="Comma 5 2 4 6 2 2" xfId="18019"/>
    <cellStyle name="Comma 5 2 4 6 3" xfId="15167"/>
    <cellStyle name="Comma 5 2 4 7" xfId="5963"/>
    <cellStyle name="Comma 5 2 4 7 2" xfId="12051"/>
    <cellStyle name="Comma 5 2 4 7 2 2" xfId="18590"/>
    <cellStyle name="Comma 5 2 4 7 3" xfId="15738"/>
    <cellStyle name="Comma 5 2 4 8" xfId="8235"/>
    <cellStyle name="Comma 5 2 4 8 2" xfId="12622"/>
    <cellStyle name="Comma 5 2 4 8 2 2" xfId="19161"/>
    <cellStyle name="Comma 5 2 4 8 3" xfId="16309"/>
    <cellStyle name="Comma 5 2 4 9" xfId="2952"/>
    <cellStyle name="Comma 5 2 4 9 2" xfId="10909"/>
    <cellStyle name="Comma 5 2 4 9 2 2" xfId="17448"/>
    <cellStyle name="Comma 5 2 4 9 3" xfId="14596"/>
    <cellStyle name="Comma 5 2 5" xfId="327"/>
    <cellStyle name="Comma 5 2 5 10" xfId="13470"/>
    <cellStyle name="Comma 5 2 5 2" xfId="781"/>
    <cellStyle name="Comma 5 2 5 2 2" xfId="1916"/>
    <cellStyle name="Comma 5 2 5 2 2 2" xfId="5336"/>
    <cellStyle name="Comma 5 2 5 2 2 2 2" xfId="11893"/>
    <cellStyle name="Comma 5 2 5 2 2 2 2 2" xfId="18432"/>
    <cellStyle name="Comma 5 2 5 2 2 2 3" xfId="15580"/>
    <cellStyle name="Comma 5 2 5 2 2 3" xfId="7608"/>
    <cellStyle name="Comma 5 2 5 2 2 3 2" xfId="12464"/>
    <cellStyle name="Comma 5 2 5 2 2 3 2 2" xfId="19003"/>
    <cellStyle name="Comma 5 2 5 2 2 3 3" xfId="16151"/>
    <cellStyle name="Comma 5 2 5 2 2 4" xfId="9880"/>
    <cellStyle name="Comma 5 2 5 2 2 4 2" xfId="13035"/>
    <cellStyle name="Comma 5 2 5 2 2 4 2 2" xfId="19574"/>
    <cellStyle name="Comma 5 2 5 2 2 4 3" xfId="16722"/>
    <cellStyle name="Comma 5 2 5 2 2 5" xfId="3365"/>
    <cellStyle name="Comma 5 2 5 2 2 5 2" xfId="11322"/>
    <cellStyle name="Comma 5 2 5 2 2 5 2 2" xfId="17861"/>
    <cellStyle name="Comma 5 2 5 2 2 5 3" xfId="15009"/>
    <cellStyle name="Comma 5 2 5 2 2 6" xfId="2789"/>
    <cellStyle name="Comma 5 2 5 2 2 6 2" xfId="14437"/>
    <cellStyle name="Comma 5 2 5 2 2 7" xfId="10750"/>
    <cellStyle name="Comma 5 2 5 2 2 7 2" xfId="17289"/>
    <cellStyle name="Comma 5 2 5 2 2 8" xfId="13869"/>
    <cellStyle name="Comma 5 2 5 2 3" xfId="4201"/>
    <cellStyle name="Comma 5 2 5 2 3 2" xfId="11608"/>
    <cellStyle name="Comma 5 2 5 2 3 2 2" xfId="18147"/>
    <cellStyle name="Comma 5 2 5 2 3 3" xfId="15295"/>
    <cellStyle name="Comma 5 2 5 2 4" xfId="6473"/>
    <cellStyle name="Comma 5 2 5 2 4 2" xfId="12179"/>
    <cellStyle name="Comma 5 2 5 2 4 2 2" xfId="18718"/>
    <cellStyle name="Comma 5 2 5 2 4 3" xfId="15866"/>
    <cellStyle name="Comma 5 2 5 2 5" xfId="8745"/>
    <cellStyle name="Comma 5 2 5 2 5 2" xfId="12750"/>
    <cellStyle name="Comma 5 2 5 2 5 2 2" xfId="19289"/>
    <cellStyle name="Comma 5 2 5 2 5 3" xfId="16437"/>
    <cellStyle name="Comma 5 2 5 2 6" xfId="3080"/>
    <cellStyle name="Comma 5 2 5 2 6 2" xfId="11037"/>
    <cellStyle name="Comma 5 2 5 2 6 2 2" xfId="17576"/>
    <cellStyle name="Comma 5 2 5 2 6 3" xfId="14724"/>
    <cellStyle name="Comma 5 2 5 2 7" xfId="2509"/>
    <cellStyle name="Comma 5 2 5 2 7 2" xfId="14157"/>
    <cellStyle name="Comma 5 2 5 2 8" xfId="10470"/>
    <cellStyle name="Comma 5 2 5 2 8 2" xfId="17009"/>
    <cellStyle name="Comma 5 2 5 2 9" xfId="13584"/>
    <cellStyle name="Comma 5 2 5 3" xfId="1462"/>
    <cellStyle name="Comma 5 2 5 3 2" xfId="4882"/>
    <cellStyle name="Comma 5 2 5 3 2 2" xfId="11779"/>
    <cellStyle name="Comma 5 2 5 3 2 2 2" xfId="18318"/>
    <cellStyle name="Comma 5 2 5 3 2 3" xfId="15466"/>
    <cellStyle name="Comma 5 2 5 3 3" xfId="7154"/>
    <cellStyle name="Comma 5 2 5 3 3 2" xfId="12350"/>
    <cellStyle name="Comma 5 2 5 3 3 2 2" xfId="18889"/>
    <cellStyle name="Comma 5 2 5 3 3 3" xfId="16037"/>
    <cellStyle name="Comma 5 2 5 3 4" xfId="9426"/>
    <cellStyle name="Comma 5 2 5 3 4 2" xfId="12921"/>
    <cellStyle name="Comma 5 2 5 3 4 2 2" xfId="19460"/>
    <cellStyle name="Comma 5 2 5 3 4 3" xfId="16608"/>
    <cellStyle name="Comma 5 2 5 3 5" xfId="3251"/>
    <cellStyle name="Comma 5 2 5 3 5 2" xfId="11208"/>
    <cellStyle name="Comma 5 2 5 3 5 2 2" xfId="17747"/>
    <cellStyle name="Comma 5 2 5 3 5 3" xfId="14895"/>
    <cellStyle name="Comma 5 2 5 3 6" xfId="2677"/>
    <cellStyle name="Comma 5 2 5 3 6 2" xfId="14325"/>
    <cellStyle name="Comma 5 2 5 3 7" xfId="10638"/>
    <cellStyle name="Comma 5 2 5 3 7 2" xfId="17177"/>
    <cellStyle name="Comma 5 2 5 3 8" xfId="13755"/>
    <cellStyle name="Comma 5 2 5 4" xfId="3747"/>
    <cellStyle name="Comma 5 2 5 4 2" xfId="11494"/>
    <cellStyle name="Comma 5 2 5 4 2 2" xfId="18033"/>
    <cellStyle name="Comma 5 2 5 4 3" xfId="15181"/>
    <cellStyle name="Comma 5 2 5 5" xfId="6019"/>
    <cellStyle name="Comma 5 2 5 5 2" xfId="12065"/>
    <cellStyle name="Comma 5 2 5 5 2 2" xfId="18604"/>
    <cellStyle name="Comma 5 2 5 5 3" xfId="15752"/>
    <cellStyle name="Comma 5 2 5 6" xfId="8291"/>
    <cellStyle name="Comma 5 2 5 6 2" xfId="12636"/>
    <cellStyle name="Comma 5 2 5 6 2 2" xfId="19175"/>
    <cellStyle name="Comma 5 2 5 6 3" xfId="16323"/>
    <cellStyle name="Comma 5 2 5 7" xfId="2966"/>
    <cellStyle name="Comma 5 2 5 7 2" xfId="10923"/>
    <cellStyle name="Comma 5 2 5 7 2 2" xfId="17462"/>
    <cellStyle name="Comma 5 2 5 7 3" xfId="14610"/>
    <cellStyle name="Comma 5 2 5 8" xfId="2397"/>
    <cellStyle name="Comma 5 2 5 8 2" xfId="14045"/>
    <cellStyle name="Comma 5 2 5 9" xfId="10358"/>
    <cellStyle name="Comma 5 2 5 9 2" xfId="16897"/>
    <cellStyle name="Comma 5 2 6" xfId="1008"/>
    <cellStyle name="Comma 5 2 6 2" xfId="2143"/>
    <cellStyle name="Comma 5 2 6 2 2" xfId="5563"/>
    <cellStyle name="Comma 5 2 6 2 2 2" xfId="11950"/>
    <cellStyle name="Comma 5 2 6 2 2 2 2" xfId="18489"/>
    <cellStyle name="Comma 5 2 6 2 2 3" xfId="15637"/>
    <cellStyle name="Comma 5 2 6 2 3" xfId="7835"/>
    <cellStyle name="Comma 5 2 6 2 3 2" xfId="12521"/>
    <cellStyle name="Comma 5 2 6 2 3 2 2" xfId="19060"/>
    <cellStyle name="Comma 5 2 6 2 3 3" xfId="16208"/>
    <cellStyle name="Comma 5 2 6 2 4" xfId="10107"/>
    <cellStyle name="Comma 5 2 6 2 4 2" xfId="13092"/>
    <cellStyle name="Comma 5 2 6 2 4 2 2" xfId="19631"/>
    <cellStyle name="Comma 5 2 6 2 4 3" xfId="16779"/>
    <cellStyle name="Comma 5 2 6 2 5" xfId="3422"/>
    <cellStyle name="Comma 5 2 6 2 5 2" xfId="11379"/>
    <cellStyle name="Comma 5 2 6 2 5 2 2" xfId="17918"/>
    <cellStyle name="Comma 5 2 6 2 5 3" xfId="15066"/>
    <cellStyle name="Comma 5 2 6 2 6" xfId="2845"/>
    <cellStyle name="Comma 5 2 6 2 6 2" xfId="14493"/>
    <cellStyle name="Comma 5 2 6 2 7" xfId="10806"/>
    <cellStyle name="Comma 5 2 6 2 7 2" xfId="17345"/>
    <cellStyle name="Comma 5 2 6 2 8" xfId="13926"/>
    <cellStyle name="Comma 5 2 6 3" xfId="4428"/>
    <cellStyle name="Comma 5 2 6 3 2" xfId="11665"/>
    <cellStyle name="Comma 5 2 6 3 2 2" xfId="18204"/>
    <cellStyle name="Comma 5 2 6 3 3" xfId="15352"/>
    <cellStyle name="Comma 5 2 6 4" xfId="6700"/>
    <cellStyle name="Comma 5 2 6 4 2" xfId="12236"/>
    <cellStyle name="Comma 5 2 6 4 2 2" xfId="18775"/>
    <cellStyle name="Comma 5 2 6 4 3" xfId="15923"/>
    <cellStyle name="Comma 5 2 6 5" xfId="8972"/>
    <cellStyle name="Comma 5 2 6 5 2" xfId="12807"/>
    <cellStyle name="Comma 5 2 6 5 2 2" xfId="19346"/>
    <cellStyle name="Comma 5 2 6 5 3" xfId="16494"/>
    <cellStyle name="Comma 5 2 6 6" xfId="3137"/>
    <cellStyle name="Comma 5 2 6 6 2" xfId="11094"/>
    <cellStyle name="Comma 5 2 6 6 2 2" xfId="17633"/>
    <cellStyle name="Comma 5 2 6 6 3" xfId="14781"/>
    <cellStyle name="Comma 5 2 6 7" xfId="2565"/>
    <cellStyle name="Comma 5 2 6 7 2" xfId="14213"/>
    <cellStyle name="Comma 5 2 6 8" xfId="10526"/>
    <cellStyle name="Comma 5 2 6 8 2" xfId="17065"/>
    <cellStyle name="Comma 5 2 6 9" xfId="13641"/>
    <cellStyle name="Comma 5 2 7" xfId="554"/>
    <cellStyle name="Comma 5 2 7 2" xfId="1689"/>
    <cellStyle name="Comma 5 2 7 2 2" xfId="5109"/>
    <cellStyle name="Comma 5 2 7 2 2 2" xfId="11836"/>
    <cellStyle name="Comma 5 2 7 2 2 2 2" xfId="18375"/>
    <cellStyle name="Comma 5 2 7 2 2 3" xfId="15523"/>
    <cellStyle name="Comma 5 2 7 2 3" xfId="7381"/>
    <cellStyle name="Comma 5 2 7 2 3 2" xfId="12407"/>
    <cellStyle name="Comma 5 2 7 2 3 2 2" xfId="18946"/>
    <cellStyle name="Comma 5 2 7 2 3 3" xfId="16094"/>
    <cellStyle name="Comma 5 2 7 2 4" xfId="9653"/>
    <cellStyle name="Comma 5 2 7 2 4 2" xfId="12978"/>
    <cellStyle name="Comma 5 2 7 2 4 2 2" xfId="19517"/>
    <cellStyle name="Comma 5 2 7 2 4 3" xfId="16665"/>
    <cellStyle name="Comma 5 2 7 2 5" xfId="3308"/>
    <cellStyle name="Comma 5 2 7 2 5 2" xfId="11265"/>
    <cellStyle name="Comma 5 2 7 2 5 2 2" xfId="17804"/>
    <cellStyle name="Comma 5 2 7 2 5 3" xfId="14952"/>
    <cellStyle name="Comma 5 2 7 2 6" xfId="2733"/>
    <cellStyle name="Comma 5 2 7 2 6 2" xfId="14381"/>
    <cellStyle name="Comma 5 2 7 2 7" xfId="10694"/>
    <cellStyle name="Comma 5 2 7 2 7 2" xfId="17233"/>
    <cellStyle name="Comma 5 2 7 2 8" xfId="13812"/>
    <cellStyle name="Comma 5 2 7 3" xfId="3974"/>
    <cellStyle name="Comma 5 2 7 3 2" xfId="11551"/>
    <cellStyle name="Comma 5 2 7 3 2 2" xfId="18090"/>
    <cellStyle name="Comma 5 2 7 3 3" xfId="15238"/>
    <cellStyle name="Comma 5 2 7 4" xfId="6246"/>
    <cellStyle name="Comma 5 2 7 4 2" xfId="12122"/>
    <cellStyle name="Comma 5 2 7 4 2 2" xfId="18661"/>
    <cellStyle name="Comma 5 2 7 4 3" xfId="15809"/>
    <cellStyle name="Comma 5 2 7 5" xfId="8518"/>
    <cellStyle name="Comma 5 2 7 5 2" xfId="12693"/>
    <cellStyle name="Comma 5 2 7 5 2 2" xfId="19232"/>
    <cellStyle name="Comma 5 2 7 5 3" xfId="16380"/>
    <cellStyle name="Comma 5 2 7 6" xfId="3023"/>
    <cellStyle name="Comma 5 2 7 6 2" xfId="10980"/>
    <cellStyle name="Comma 5 2 7 6 2 2" xfId="17519"/>
    <cellStyle name="Comma 5 2 7 6 3" xfId="14667"/>
    <cellStyle name="Comma 5 2 7 7" xfId="2453"/>
    <cellStyle name="Comma 5 2 7 7 2" xfId="14101"/>
    <cellStyle name="Comma 5 2 7 8" xfId="10414"/>
    <cellStyle name="Comma 5 2 7 8 2" xfId="16953"/>
    <cellStyle name="Comma 5 2 7 9" xfId="13527"/>
    <cellStyle name="Comma 5 2 8" xfId="1235"/>
    <cellStyle name="Comma 5 2 8 2" xfId="4655"/>
    <cellStyle name="Comma 5 2 8 2 2" xfId="11722"/>
    <cellStyle name="Comma 5 2 8 2 2 2" xfId="18261"/>
    <cellStyle name="Comma 5 2 8 2 3" xfId="15409"/>
    <cellStyle name="Comma 5 2 8 3" xfId="6927"/>
    <cellStyle name="Comma 5 2 8 3 2" xfId="12293"/>
    <cellStyle name="Comma 5 2 8 3 2 2" xfId="18832"/>
    <cellStyle name="Comma 5 2 8 3 3" xfId="15980"/>
    <cellStyle name="Comma 5 2 8 4" xfId="9199"/>
    <cellStyle name="Comma 5 2 8 4 2" xfId="12864"/>
    <cellStyle name="Comma 5 2 8 4 2 2" xfId="19403"/>
    <cellStyle name="Comma 5 2 8 4 3" xfId="16551"/>
    <cellStyle name="Comma 5 2 8 5" xfId="3194"/>
    <cellStyle name="Comma 5 2 8 5 2" xfId="11151"/>
    <cellStyle name="Comma 5 2 8 5 2 2" xfId="17690"/>
    <cellStyle name="Comma 5 2 8 5 3" xfId="14838"/>
    <cellStyle name="Comma 5 2 8 6" xfId="2621"/>
    <cellStyle name="Comma 5 2 8 6 2" xfId="14269"/>
    <cellStyle name="Comma 5 2 8 7" xfId="10582"/>
    <cellStyle name="Comma 5 2 8 7 2" xfId="17121"/>
    <cellStyle name="Comma 5 2 8 8" xfId="13698"/>
    <cellStyle name="Comma 5 2 9" xfId="3520"/>
    <cellStyle name="Comma 5 2 9 2" xfId="11437"/>
    <cellStyle name="Comma 5 2 9 2 2" xfId="17976"/>
    <cellStyle name="Comma 5 2 9 3" xfId="15124"/>
    <cellStyle name="Comma 5 3" xfId="173"/>
    <cellStyle name="Comma 5 3 10" xfId="2361"/>
    <cellStyle name="Comma 5 3 10 2" xfId="14009"/>
    <cellStyle name="Comma 5 3 11" xfId="10322"/>
    <cellStyle name="Comma 5 3 11 2" xfId="16861"/>
    <cellStyle name="Comma 5 3 12" xfId="13433"/>
    <cellStyle name="Comma 5 3 2" xfId="411"/>
    <cellStyle name="Comma 5 3 2 10" xfId="13491"/>
    <cellStyle name="Comma 5 3 2 2" xfId="865"/>
    <cellStyle name="Comma 5 3 2 2 2" xfId="2000"/>
    <cellStyle name="Comma 5 3 2 2 2 2" xfId="5420"/>
    <cellStyle name="Comma 5 3 2 2 2 2 2" xfId="11914"/>
    <cellStyle name="Comma 5 3 2 2 2 2 2 2" xfId="18453"/>
    <cellStyle name="Comma 5 3 2 2 2 2 3" xfId="15601"/>
    <cellStyle name="Comma 5 3 2 2 2 3" xfId="7692"/>
    <cellStyle name="Comma 5 3 2 2 2 3 2" xfId="12485"/>
    <cellStyle name="Comma 5 3 2 2 2 3 2 2" xfId="19024"/>
    <cellStyle name="Comma 5 3 2 2 2 3 3" xfId="16172"/>
    <cellStyle name="Comma 5 3 2 2 2 4" xfId="9964"/>
    <cellStyle name="Comma 5 3 2 2 2 4 2" xfId="13056"/>
    <cellStyle name="Comma 5 3 2 2 2 4 2 2" xfId="19595"/>
    <cellStyle name="Comma 5 3 2 2 2 4 3" xfId="16743"/>
    <cellStyle name="Comma 5 3 2 2 2 5" xfId="3386"/>
    <cellStyle name="Comma 5 3 2 2 2 5 2" xfId="11343"/>
    <cellStyle name="Comma 5 3 2 2 2 5 2 2" xfId="17882"/>
    <cellStyle name="Comma 5 3 2 2 2 5 3" xfId="15030"/>
    <cellStyle name="Comma 5 3 2 2 2 6" xfId="2810"/>
    <cellStyle name="Comma 5 3 2 2 2 6 2" xfId="14458"/>
    <cellStyle name="Comma 5 3 2 2 2 7" xfId="10771"/>
    <cellStyle name="Comma 5 3 2 2 2 7 2" xfId="17310"/>
    <cellStyle name="Comma 5 3 2 2 2 8" xfId="13890"/>
    <cellStyle name="Comma 5 3 2 2 3" xfId="4285"/>
    <cellStyle name="Comma 5 3 2 2 3 2" xfId="11629"/>
    <cellStyle name="Comma 5 3 2 2 3 2 2" xfId="18168"/>
    <cellStyle name="Comma 5 3 2 2 3 3" xfId="15316"/>
    <cellStyle name="Comma 5 3 2 2 4" xfId="6557"/>
    <cellStyle name="Comma 5 3 2 2 4 2" xfId="12200"/>
    <cellStyle name="Comma 5 3 2 2 4 2 2" xfId="18739"/>
    <cellStyle name="Comma 5 3 2 2 4 3" xfId="15887"/>
    <cellStyle name="Comma 5 3 2 2 5" xfId="8829"/>
    <cellStyle name="Comma 5 3 2 2 5 2" xfId="12771"/>
    <cellStyle name="Comma 5 3 2 2 5 2 2" xfId="19310"/>
    <cellStyle name="Comma 5 3 2 2 5 3" xfId="16458"/>
    <cellStyle name="Comma 5 3 2 2 6" xfId="3101"/>
    <cellStyle name="Comma 5 3 2 2 6 2" xfId="11058"/>
    <cellStyle name="Comma 5 3 2 2 6 2 2" xfId="17597"/>
    <cellStyle name="Comma 5 3 2 2 6 3" xfId="14745"/>
    <cellStyle name="Comma 5 3 2 2 7" xfId="2530"/>
    <cellStyle name="Comma 5 3 2 2 7 2" xfId="14178"/>
    <cellStyle name="Comma 5 3 2 2 8" xfId="10491"/>
    <cellStyle name="Comma 5 3 2 2 8 2" xfId="17030"/>
    <cellStyle name="Comma 5 3 2 2 9" xfId="13605"/>
    <cellStyle name="Comma 5 3 2 3" xfId="1546"/>
    <cellStyle name="Comma 5 3 2 3 2" xfId="4966"/>
    <cellStyle name="Comma 5 3 2 3 2 2" xfId="11800"/>
    <cellStyle name="Comma 5 3 2 3 2 2 2" xfId="18339"/>
    <cellStyle name="Comma 5 3 2 3 2 3" xfId="15487"/>
    <cellStyle name="Comma 5 3 2 3 3" xfId="7238"/>
    <cellStyle name="Comma 5 3 2 3 3 2" xfId="12371"/>
    <cellStyle name="Comma 5 3 2 3 3 2 2" xfId="18910"/>
    <cellStyle name="Comma 5 3 2 3 3 3" xfId="16058"/>
    <cellStyle name="Comma 5 3 2 3 4" xfId="9510"/>
    <cellStyle name="Comma 5 3 2 3 4 2" xfId="12942"/>
    <cellStyle name="Comma 5 3 2 3 4 2 2" xfId="19481"/>
    <cellStyle name="Comma 5 3 2 3 4 3" xfId="16629"/>
    <cellStyle name="Comma 5 3 2 3 5" xfId="3272"/>
    <cellStyle name="Comma 5 3 2 3 5 2" xfId="11229"/>
    <cellStyle name="Comma 5 3 2 3 5 2 2" xfId="17768"/>
    <cellStyle name="Comma 5 3 2 3 5 3" xfId="14916"/>
    <cellStyle name="Comma 5 3 2 3 6" xfId="2698"/>
    <cellStyle name="Comma 5 3 2 3 6 2" xfId="14346"/>
    <cellStyle name="Comma 5 3 2 3 7" xfId="10659"/>
    <cellStyle name="Comma 5 3 2 3 7 2" xfId="17198"/>
    <cellStyle name="Comma 5 3 2 3 8" xfId="13776"/>
    <cellStyle name="Comma 5 3 2 4" xfId="3831"/>
    <cellStyle name="Comma 5 3 2 4 2" xfId="11515"/>
    <cellStyle name="Comma 5 3 2 4 2 2" xfId="18054"/>
    <cellStyle name="Comma 5 3 2 4 3" xfId="15202"/>
    <cellStyle name="Comma 5 3 2 5" xfId="6103"/>
    <cellStyle name="Comma 5 3 2 5 2" xfId="12086"/>
    <cellStyle name="Comma 5 3 2 5 2 2" xfId="18625"/>
    <cellStyle name="Comma 5 3 2 5 3" xfId="15773"/>
    <cellStyle name="Comma 5 3 2 6" xfId="8375"/>
    <cellStyle name="Comma 5 3 2 6 2" xfId="12657"/>
    <cellStyle name="Comma 5 3 2 6 2 2" xfId="19196"/>
    <cellStyle name="Comma 5 3 2 6 3" xfId="16344"/>
    <cellStyle name="Comma 5 3 2 7" xfId="2987"/>
    <cellStyle name="Comma 5 3 2 7 2" xfId="10944"/>
    <cellStyle name="Comma 5 3 2 7 2 2" xfId="17483"/>
    <cellStyle name="Comma 5 3 2 7 3" xfId="14631"/>
    <cellStyle name="Comma 5 3 2 8" xfId="2418"/>
    <cellStyle name="Comma 5 3 2 8 2" xfId="14066"/>
    <cellStyle name="Comma 5 3 2 9" xfId="10379"/>
    <cellStyle name="Comma 5 3 2 9 2" xfId="16918"/>
    <cellStyle name="Comma 5 3 3" xfId="1092"/>
    <cellStyle name="Comma 5 3 3 2" xfId="2227"/>
    <cellStyle name="Comma 5 3 3 2 2" xfId="5647"/>
    <cellStyle name="Comma 5 3 3 2 2 2" xfId="11971"/>
    <cellStyle name="Comma 5 3 3 2 2 2 2" xfId="18510"/>
    <cellStyle name="Comma 5 3 3 2 2 3" xfId="15658"/>
    <cellStyle name="Comma 5 3 3 2 3" xfId="7919"/>
    <cellStyle name="Comma 5 3 3 2 3 2" xfId="12542"/>
    <cellStyle name="Comma 5 3 3 2 3 2 2" xfId="19081"/>
    <cellStyle name="Comma 5 3 3 2 3 3" xfId="16229"/>
    <cellStyle name="Comma 5 3 3 2 4" xfId="10191"/>
    <cellStyle name="Comma 5 3 3 2 4 2" xfId="13113"/>
    <cellStyle name="Comma 5 3 3 2 4 2 2" xfId="19652"/>
    <cellStyle name="Comma 5 3 3 2 4 3" xfId="16800"/>
    <cellStyle name="Comma 5 3 3 2 5" xfId="3443"/>
    <cellStyle name="Comma 5 3 3 2 5 2" xfId="11400"/>
    <cellStyle name="Comma 5 3 3 2 5 2 2" xfId="17939"/>
    <cellStyle name="Comma 5 3 3 2 5 3" xfId="15087"/>
    <cellStyle name="Comma 5 3 3 2 6" xfId="2866"/>
    <cellStyle name="Comma 5 3 3 2 6 2" xfId="14514"/>
    <cellStyle name="Comma 5 3 3 2 7" xfId="10827"/>
    <cellStyle name="Comma 5 3 3 2 7 2" xfId="17366"/>
    <cellStyle name="Comma 5 3 3 2 8" xfId="13947"/>
    <cellStyle name="Comma 5 3 3 3" xfId="4512"/>
    <cellStyle name="Comma 5 3 3 3 2" xfId="11686"/>
    <cellStyle name="Comma 5 3 3 3 2 2" xfId="18225"/>
    <cellStyle name="Comma 5 3 3 3 3" xfId="15373"/>
    <cellStyle name="Comma 5 3 3 4" xfId="6784"/>
    <cellStyle name="Comma 5 3 3 4 2" xfId="12257"/>
    <cellStyle name="Comma 5 3 3 4 2 2" xfId="18796"/>
    <cellStyle name="Comma 5 3 3 4 3" xfId="15944"/>
    <cellStyle name="Comma 5 3 3 5" xfId="9056"/>
    <cellStyle name="Comma 5 3 3 5 2" xfId="12828"/>
    <cellStyle name="Comma 5 3 3 5 2 2" xfId="19367"/>
    <cellStyle name="Comma 5 3 3 5 3" xfId="16515"/>
    <cellStyle name="Comma 5 3 3 6" xfId="3158"/>
    <cellStyle name="Comma 5 3 3 6 2" xfId="11115"/>
    <cellStyle name="Comma 5 3 3 6 2 2" xfId="17654"/>
    <cellStyle name="Comma 5 3 3 6 3" xfId="14802"/>
    <cellStyle name="Comma 5 3 3 7" xfId="2586"/>
    <cellStyle name="Comma 5 3 3 7 2" xfId="14234"/>
    <cellStyle name="Comma 5 3 3 8" xfId="10547"/>
    <cellStyle name="Comma 5 3 3 8 2" xfId="17086"/>
    <cellStyle name="Comma 5 3 3 9" xfId="13662"/>
    <cellStyle name="Comma 5 3 4" xfId="638"/>
    <cellStyle name="Comma 5 3 4 2" xfId="1773"/>
    <cellStyle name="Comma 5 3 4 2 2" xfId="5193"/>
    <cellStyle name="Comma 5 3 4 2 2 2" xfId="11857"/>
    <cellStyle name="Comma 5 3 4 2 2 2 2" xfId="18396"/>
    <cellStyle name="Comma 5 3 4 2 2 3" xfId="15544"/>
    <cellStyle name="Comma 5 3 4 2 3" xfId="7465"/>
    <cellStyle name="Comma 5 3 4 2 3 2" xfId="12428"/>
    <cellStyle name="Comma 5 3 4 2 3 2 2" xfId="18967"/>
    <cellStyle name="Comma 5 3 4 2 3 3" xfId="16115"/>
    <cellStyle name="Comma 5 3 4 2 4" xfId="9737"/>
    <cellStyle name="Comma 5 3 4 2 4 2" xfId="12999"/>
    <cellStyle name="Comma 5 3 4 2 4 2 2" xfId="19538"/>
    <cellStyle name="Comma 5 3 4 2 4 3" xfId="16686"/>
    <cellStyle name="Comma 5 3 4 2 5" xfId="3329"/>
    <cellStyle name="Comma 5 3 4 2 5 2" xfId="11286"/>
    <cellStyle name="Comma 5 3 4 2 5 2 2" xfId="17825"/>
    <cellStyle name="Comma 5 3 4 2 5 3" xfId="14973"/>
    <cellStyle name="Comma 5 3 4 2 6" xfId="2754"/>
    <cellStyle name="Comma 5 3 4 2 6 2" xfId="14402"/>
    <cellStyle name="Comma 5 3 4 2 7" xfId="10715"/>
    <cellStyle name="Comma 5 3 4 2 7 2" xfId="17254"/>
    <cellStyle name="Comma 5 3 4 2 8" xfId="13833"/>
    <cellStyle name="Comma 5 3 4 3" xfId="4058"/>
    <cellStyle name="Comma 5 3 4 3 2" xfId="11572"/>
    <cellStyle name="Comma 5 3 4 3 2 2" xfId="18111"/>
    <cellStyle name="Comma 5 3 4 3 3" xfId="15259"/>
    <cellStyle name="Comma 5 3 4 4" xfId="6330"/>
    <cellStyle name="Comma 5 3 4 4 2" xfId="12143"/>
    <cellStyle name="Comma 5 3 4 4 2 2" xfId="18682"/>
    <cellStyle name="Comma 5 3 4 4 3" xfId="15830"/>
    <cellStyle name="Comma 5 3 4 5" xfId="8602"/>
    <cellStyle name="Comma 5 3 4 5 2" xfId="12714"/>
    <cellStyle name="Comma 5 3 4 5 2 2" xfId="19253"/>
    <cellStyle name="Comma 5 3 4 5 3" xfId="16401"/>
    <cellStyle name="Comma 5 3 4 6" xfId="3044"/>
    <cellStyle name="Comma 5 3 4 6 2" xfId="11001"/>
    <cellStyle name="Comma 5 3 4 6 2 2" xfId="17540"/>
    <cellStyle name="Comma 5 3 4 6 3" xfId="14688"/>
    <cellStyle name="Comma 5 3 4 7" xfId="2474"/>
    <cellStyle name="Comma 5 3 4 7 2" xfId="14122"/>
    <cellStyle name="Comma 5 3 4 8" xfId="10435"/>
    <cellStyle name="Comma 5 3 4 8 2" xfId="16974"/>
    <cellStyle name="Comma 5 3 4 9" xfId="13548"/>
    <cellStyle name="Comma 5 3 5" xfId="1319"/>
    <cellStyle name="Comma 5 3 5 2" xfId="4739"/>
    <cellStyle name="Comma 5 3 5 2 2" xfId="11743"/>
    <cellStyle name="Comma 5 3 5 2 2 2" xfId="18282"/>
    <cellStyle name="Comma 5 3 5 2 3" xfId="15430"/>
    <cellStyle name="Comma 5 3 5 3" xfId="7011"/>
    <cellStyle name="Comma 5 3 5 3 2" xfId="12314"/>
    <cellStyle name="Comma 5 3 5 3 2 2" xfId="18853"/>
    <cellStyle name="Comma 5 3 5 3 3" xfId="16001"/>
    <cellStyle name="Comma 5 3 5 4" xfId="9283"/>
    <cellStyle name="Comma 5 3 5 4 2" xfId="12885"/>
    <cellStyle name="Comma 5 3 5 4 2 2" xfId="19424"/>
    <cellStyle name="Comma 5 3 5 4 3" xfId="16572"/>
    <cellStyle name="Comma 5 3 5 5" xfId="3215"/>
    <cellStyle name="Comma 5 3 5 5 2" xfId="11172"/>
    <cellStyle name="Comma 5 3 5 5 2 2" xfId="17711"/>
    <cellStyle name="Comma 5 3 5 5 3" xfId="14859"/>
    <cellStyle name="Comma 5 3 5 6" xfId="2642"/>
    <cellStyle name="Comma 5 3 5 6 2" xfId="14290"/>
    <cellStyle name="Comma 5 3 5 7" xfId="10603"/>
    <cellStyle name="Comma 5 3 5 7 2" xfId="17142"/>
    <cellStyle name="Comma 5 3 5 8" xfId="13719"/>
    <cellStyle name="Comma 5 3 6" xfId="3604"/>
    <cellStyle name="Comma 5 3 6 2" xfId="11458"/>
    <cellStyle name="Comma 5 3 6 2 2" xfId="17997"/>
    <cellStyle name="Comma 5 3 6 3" xfId="15145"/>
    <cellStyle name="Comma 5 3 7" xfId="5876"/>
    <cellStyle name="Comma 5 3 7 2" xfId="12029"/>
    <cellStyle name="Comma 5 3 7 2 2" xfId="18568"/>
    <cellStyle name="Comma 5 3 7 3" xfId="15716"/>
    <cellStyle name="Comma 5 3 8" xfId="8148"/>
    <cellStyle name="Comma 5 3 8 2" xfId="12600"/>
    <cellStyle name="Comma 5 3 8 2 2" xfId="19139"/>
    <cellStyle name="Comma 5 3 8 3" xfId="16287"/>
    <cellStyle name="Comma 5 3 9" xfId="2927"/>
    <cellStyle name="Comma 5 3 9 2" xfId="10886"/>
    <cellStyle name="Comma 5 3 9 2 2" xfId="17425"/>
    <cellStyle name="Comma 5 3 9 3" xfId="14573"/>
    <cellStyle name="Comma 5 4" xfId="117"/>
    <cellStyle name="Comma 5 4 10" xfId="2347"/>
    <cellStyle name="Comma 5 4 10 2" xfId="13995"/>
    <cellStyle name="Comma 5 4 11" xfId="10308"/>
    <cellStyle name="Comma 5 4 11 2" xfId="16847"/>
    <cellStyle name="Comma 5 4 12" xfId="13419"/>
    <cellStyle name="Comma 5 4 2" xfId="355"/>
    <cellStyle name="Comma 5 4 2 10" xfId="13477"/>
    <cellStyle name="Comma 5 4 2 2" xfId="809"/>
    <cellStyle name="Comma 5 4 2 2 2" xfId="1944"/>
    <cellStyle name="Comma 5 4 2 2 2 2" xfId="5364"/>
    <cellStyle name="Comma 5 4 2 2 2 2 2" xfId="11900"/>
    <cellStyle name="Comma 5 4 2 2 2 2 2 2" xfId="18439"/>
    <cellStyle name="Comma 5 4 2 2 2 2 3" xfId="15587"/>
    <cellStyle name="Comma 5 4 2 2 2 3" xfId="7636"/>
    <cellStyle name="Comma 5 4 2 2 2 3 2" xfId="12471"/>
    <cellStyle name="Comma 5 4 2 2 2 3 2 2" xfId="19010"/>
    <cellStyle name="Comma 5 4 2 2 2 3 3" xfId="16158"/>
    <cellStyle name="Comma 5 4 2 2 2 4" xfId="9908"/>
    <cellStyle name="Comma 5 4 2 2 2 4 2" xfId="13042"/>
    <cellStyle name="Comma 5 4 2 2 2 4 2 2" xfId="19581"/>
    <cellStyle name="Comma 5 4 2 2 2 4 3" xfId="16729"/>
    <cellStyle name="Comma 5 4 2 2 2 5" xfId="3372"/>
    <cellStyle name="Comma 5 4 2 2 2 5 2" xfId="11329"/>
    <cellStyle name="Comma 5 4 2 2 2 5 2 2" xfId="17868"/>
    <cellStyle name="Comma 5 4 2 2 2 5 3" xfId="15016"/>
    <cellStyle name="Comma 5 4 2 2 2 6" xfId="2796"/>
    <cellStyle name="Comma 5 4 2 2 2 6 2" xfId="14444"/>
    <cellStyle name="Comma 5 4 2 2 2 7" xfId="10757"/>
    <cellStyle name="Comma 5 4 2 2 2 7 2" xfId="17296"/>
    <cellStyle name="Comma 5 4 2 2 2 8" xfId="13876"/>
    <cellStyle name="Comma 5 4 2 2 3" xfId="4229"/>
    <cellStyle name="Comma 5 4 2 2 3 2" xfId="11615"/>
    <cellStyle name="Comma 5 4 2 2 3 2 2" xfId="18154"/>
    <cellStyle name="Comma 5 4 2 2 3 3" xfId="15302"/>
    <cellStyle name="Comma 5 4 2 2 4" xfId="6501"/>
    <cellStyle name="Comma 5 4 2 2 4 2" xfId="12186"/>
    <cellStyle name="Comma 5 4 2 2 4 2 2" xfId="18725"/>
    <cellStyle name="Comma 5 4 2 2 4 3" xfId="15873"/>
    <cellStyle name="Comma 5 4 2 2 5" xfId="8773"/>
    <cellStyle name="Comma 5 4 2 2 5 2" xfId="12757"/>
    <cellStyle name="Comma 5 4 2 2 5 2 2" xfId="19296"/>
    <cellStyle name="Comma 5 4 2 2 5 3" xfId="16444"/>
    <cellStyle name="Comma 5 4 2 2 6" xfId="3087"/>
    <cellStyle name="Comma 5 4 2 2 6 2" xfId="11044"/>
    <cellStyle name="Comma 5 4 2 2 6 2 2" xfId="17583"/>
    <cellStyle name="Comma 5 4 2 2 6 3" xfId="14731"/>
    <cellStyle name="Comma 5 4 2 2 7" xfId="2516"/>
    <cellStyle name="Comma 5 4 2 2 7 2" xfId="14164"/>
    <cellStyle name="Comma 5 4 2 2 8" xfId="10477"/>
    <cellStyle name="Comma 5 4 2 2 8 2" xfId="17016"/>
    <cellStyle name="Comma 5 4 2 2 9" xfId="13591"/>
    <cellStyle name="Comma 5 4 2 3" xfId="1490"/>
    <cellStyle name="Comma 5 4 2 3 2" xfId="4910"/>
    <cellStyle name="Comma 5 4 2 3 2 2" xfId="11786"/>
    <cellStyle name="Comma 5 4 2 3 2 2 2" xfId="18325"/>
    <cellStyle name="Comma 5 4 2 3 2 3" xfId="15473"/>
    <cellStyle name="Comma 5 4 2 3 3" xfId="7182"/>
    <cellStyle name="Comma 5 4 2 3 3 2" xfId="12357"/>
    <cellStyle name="Comma 5 4 2 3 3 2 2" xfId="18896"/>
    <cellStyle name="Comma 5 4 2 3 3 3" xfId="16044"/>
    <cellStyle name="Comma 5 4 2 3 4" xfId="9454"/>
    <cellStyle name="Comma 5 4 2 3 4 2" xfId="12928"/>
    <cellStyle name="Comma 5 4 2 3 4 2 2" xfId="19467"/>
    <cellStyle name="Comma 5 4 2 3 4 3" xfId="16615"/>
    <cellStyle name="Comma 5 4 2 3 5" xfId="3258"/>
    <cellStyle name="Comma 5 4 2 3 5 2" xfId="11215"/>
    <cellStyle name="Comma 5 4 2 3 5 2 2" xfId="17754"/>
    <cellStyle name="Comma 5 4 2 3 5 3" xfId="14902"/>
    <cellStyle name="Comma 5 4 2 3 6" xfId="2684"/>
    <cellStyle name="Comma 5 4 2 3 6 2" xfId="14332"/>
    <cellStyle name="Comma 5 4 2 3 7" xfId="10645"/>
    <cellStyle name="Comma 5 4 2 3 7 2" xfId="17184"/>
    <cellStyle name="Comma 5 4 2 3 8" xfId="13762"/>
    <cellStyle name="Comma 5 4 2 4" xfId="3775"/>
    <cellStyle name="Comma 5 4 2 4 2" xfId="11501"/>
    <cellStyle name="Comma 5 4 2 4 2 2" xfId="18040"/>
    <cellStyle name="Comma 5 4 2 4 3" xfId="15188"/>
    <cellStyle name="Comma 5 4 2 5" xfId="6047"/>
    <cellStyle name="Comma 5 4 2 5 2" xfId="12072"/>
    <cellStyle name="Comma 5 4 2 5 2 2" xfId="18611"/>
    <cellStyle name="Comma 5 4 2 5 3" xfId="15759"/>
    <cellStyle name="Comma 5 4 2 6" xfId="8319"/>
    <cellStyle name="Comma 5 4 2 6 2" xfId="12643"/>
    <cellStyle name="Comma 5 4 2 6 2 2" xfId="19182"/>
    <cellStyle name="Comma 5 4 2 6 3" xfId="16330"/>
    <cellStyle name="Comma 5 4 2 7" xfId="2973"/>
    <cellStyle name="Comma 5 4 2 7 2" xfId="10930"/>
    <cellStyle name="Comma 5 4 2 7 2 2" xfId="17469"/>
    <cellStyle name="Comma 5 4 2 7 3" xfId="14617"/>
    <cellStyle name="Comma 5 4 2 8" xfId="2404"/>
    <cellStyle name="Comma 5 4 2 8 2" xfId="14052"/>
    <cellStyle name="Comma 5 4 2 9" xfId="10365"/>
    <cellStyle name="Comma 5 4 2 9 2" xfId="16904"/>
    <cellStyle name="Comma 5 4 3" xfId="1036"/>
    <cellStyle name="Comma 5 4 3 2" xfId="2171"/>
    <cellStyle name="Comma 5 4 3 2 2" xfId="5591"/>
    <cellStyle name="Comma 5 4 3 2 2 2" xfId="11957"/>
    <cellStyle name="Comma 5 4 3 2 2 2 2" xfId="18496"/>
    <cellStyle name="Comma 5 4 3 2 2 3" xfId="15644"/>
    <cellStyle name="Comma 5 4 3 2 3" xfId="7863"/>
    <cellStyle name="Comma 5 4 3 2 3 2" xfId="12528"/>
    <cellStyle name="Comma 5 4 3 2 3 2 2" xfId="19067"/>
    <cellStyle name="Comma 5 4 3 2 3 3" xfId="16215"/>
    <cellStyle name="Comma 5 4 3 2 4" xfId="10135"/>
    <cellStyle name="Comma 5 4 3 2 4 2" xfId="13099"/>
    <cellStyle name="Comma 5 4 3 2 4 2 2" xfId="19638"/>
    <cellStyle name="Comma 5 4 3 2 4 3" xfId="16786"/>
    <cellStyle name="Comma 5 4 3 2 5" xfId="3429"/>
    <cellStyle name="Comma 5 4 3 2 5 2" xfId="11386"/>
    <cellStyle name="Comma 5 4 3 2 5 2 2" xfId="17925"/>
    <cellStyle name="Comma 5 4 3 2 5 3" xfId="15073"/>
    <cellStyle name="Comma 5 4 3 2 6" xfId="2852"/>
    <cellStyle name="Comma 5 4 3 2 6 2" xfId="14500"/>
    <cellStyle name="Comma 5 4 3 2 7" xfId="10813"/>
    <cellStyle name="Comma 5 4 3 2 7 2" xfId="17352"/>
    <cellStyle name="Comma 5 4 3 2 8" xfId="13933"/>
    <cellStyle name="Comma 5 4 3 3" xfId="4456"/>
    <cellStyle name="Comma 5 4 3 3 2" xfId="11672"/>
    <cellStyle name="Comma 5 4 3 3 2 2" xfId="18211"/>
    <cellStyle name="Comma 5 4 3 3 3" xfId="15359"/>
    <cellStyle name="Comma 5 4 3 4" xfId="6728"/>
    <cellStyle name="Comma 5 4 3 4 2" xfId="12243"/>
    <cellStyle name="Comma 5 4 3 4 2 2" xfId="18782"/>
    <cellStyle name="Comma 5 4 3 4 3" xfId="15930"/>
    <cellStyle name="Comma 5 4 3 5" xfId="9000"/>
    <cellStyle name="Comma 5 4 3 5 2" xfId="12814"/>
    <cellStyle name="Comma 5 4 3 5 2 2" xfId="19353"/>
    <cellStyle name="Comma 5 4 3 5 3" xfId="16501"/>
    <cellStyle name="Comma 5 4 3 6" xfId="3144"/>
    <cellStyle name="Comma 5 4 3 6 2" xfId="11101"/>
    <cellStyle name="Comma 5 4 3 6 2 2" xfId="17640"/>
    <cellStyle name="Comma 5 4 3 6 3" xfId="14788"/>
    <cellStyle name="Comma 5 4 3 7" xfId="2572"/>
    <cellStyle name="Comma 5 4 3 7 2" xfId="14220"/>
    <cellStyle name="Comma 5 4 3 8" xfId="10533"/>
    <cellStyle name="Comma 5 4 3 8 2" xfId="17072"/>
    <cellStyle name="Comma 5 4 3 9" xfId="13648"/>
    <cellStyle name="Comma 5 4 4" xfId="582"/>
    <cellStyle name="Comma 5 4 4 2" xfId="1717"/>
    <cellStyle name="Comma 5 4 4 2 2" xfId="5137"/>
    <cellStyle name="Comma 5 4 4 2 2 2" xfId="11843"/>
    <cellStyle name="Comma 5 4 4 2 2 2 2" xfId="18382"/>
    <cellStyle name="Comma 5 4 4 2 2 3" xfId="15530"/>
    <cellStyle name="Comma 5 4 4 2 3" xfId="7409"/>
    <cellStyle name="Comma 5 4 4 2 3 2" xfId="12414"/>
    <cellStyle name="Comma 5 4 4 2 3 2 2" xfId="18953"/>
    <cellStyle name="Comma 5 4 4 2 3 3" xfId="16101"/>
    <cellStyle name="Comma 5 4 4 2 4" xfId="9681"/>
    <cellStyle name="Comma 5 4 4 2 4 2" xfId="12985"/>
    <cellStyle name="Comma 5 4 4 2 4 2 2" xfId="19524"/>
    <cellStyle name="Comma 5 4 4 2 4 3" xfId="16672"/>
    <cellStyle name="Comma 5 4 4 2 5" xfId="3315"/>
    <cellStyle name="Comma 5 4 4 2 5 2" xfId="11272"/>
    <cellStyle name="Comma 5 4 4 2 5 2 2" xfId="17811"/>
    <cellStyle name="Comma 5 4 4 2 5 3" xfId="14959"/>
    <cellStyle name="Comma 5 4 4 2 6" xfId="2740"/>
    <cellStyle name="Comma 5 4 4 2 6 2" xfId="14388"/>
    <cellStyle name="Comma 5 4 4 2 7" xfId="10701"/>
    <cellStyle name="Comma 5 4 4 2 7 2" xfId="17240"/>
    <cellStyle name="Comma 5 4 4 2 8" xfId="13819"/>
    <cellStyle name="Comma 5 4 4 3" xfId="4002"/>
    <cellStyle name="Comma 5 4 4 3 2" xfId="11558"/>
    <cellStyle name="Comma 5 4 4 3 2 2" xfId="18097"/>
    <cellStyle name="Comma 5 4 4 3 3" xfId="15245"/>
    <cellStyle name="Comma 5 4 4 4" xfId="6274"/>
    <cellStyle name="Comma 5 4 4 4 2" xfId="12129"/>
    <cellStyle name="Comma 5 4 4 4 2 2" xfId="18668"/>
    <cellStyle name="Comma 5 4 4 4 3" xfId="15816"/>
    <cellStyle name="Comma 5 4 4 5" xfId="8546"/>
    <cellStyle name="Comma 5 4 4 5 2" xfId="12700"/>
    <cellStyle name="Comma 5 4 4 5 2 2" xfId="19239"/>
    <cellStyle name="Comma 5 4 4 5 3" xfId="16387"/>
    <cellStyle name="Comma 5 4 4 6" xfId="3030"/>
    <cellStyle name="Comma 5 4 4 6 2" xfId="10987"/>
    <cellStyle name="Comma 5 4 4 6 2 2" xfId="17526"/>
    <cellStyle name="Comma 5 4 4 6 3" xfId="14674"/>
    <cellStyle name="Comma 5 4 4 7" xfId="2460"/>
    <cellStyle name="Comma 5 4 4 7 2" xfId="14108"/>
    <cellStyle name="Comma 5 4 4 8" xfId="10421"/>
    <cellStyle name="Comma 5 4 4 8 2" xfId="16960"/>
    <cellStyle name="Comma 5 4 4 9" xfId="13534"/>
    <cellStyle name="Comma 5 4 5" xfId="1263"/>
    <cellStyle name="Comma 5 4 5 2" xfId="4683"/>
    <cellStyle name="Comma 5 4 5 2 2" xfId="11729"/>
    <cellStyle name="Comma 5 4 5 2 2 2" xfId="18268"/>
    <cellStyle name="Comma 5 4 5 2 3" xfId="15416"/>
    <cellStyle name="Comma 5 4 5 3" xfId="6955"/>
    <cellStyle name="Comma 5 4 5 3 2" xfId="12300"/>
    <cellStyle name="Comma 5 4 5 3 2 2" xfId="18839"/>
    <cellStyle name="Comma 5 4 5 3 3" xfId="15987"/>
    <cellStyle name="Comma 5 4 5 4" xfId="9227"/>
    <cellStyle name="Comma 5 4 5 4 2" xfId="12871"/>
    <cellStyle name="Comma 5 4 5 4 2 2" xfId="19410"/>
    <cellStyle name="Comma 5 4 5 4 3" xfId="16558"/>
    <cellStyle name="Comma 5 4 5 5" xfId="3201"/>
    <cellStyle name="Comma 5 4 5 5 2" xfId="11158"/>
    <cellStyle name="Comma 5 4 5 5 2 2" xfId="17697"/>
    <cellStyle name="Comma 5 4 5 5 3" xfId="14845"/>
    <cellStyle name="Comma 5 4 5 6" xfId="2628"/>
    <cellStyle name="Comma 5 4 5 6 2" xfId="14276"/>
    <cellStyle name="Comma 5 4 5 7" xfId="10589"/>
    <cellStyle name="Comma 5 4 5 7 2" xfId="17128"/>
    <cellStyle name="Comma 5 4 5 8" xfId="13705"/>
    <cellStyle name="Comma 5 4 6" xfId="3548"/>
    <cellStyle name="Comma 5 4 6 2" xfId="11444"/>
    <cellStyle name="Comma 5 4 6 2 2" xfId="17983"/>
    <cellStyle name="Comma 5 4 6 3" xfId="15131"/>
    <cellStyle name="Comma 5 4 7" xfId="5820"/>
    <cellStyle name="Comma 5 4 7 2" xfId="12015"/>
    <cellStyle name="Comma 5 4 7 2 2" xfId="18554"/>
    <cellStyle name="Comma 5 4 7 3" xfId="15702"/>
    <cellStyle name="Comma 5 4 8" xfId="8092"/>
    <cellStyle name="Comma 5 4 8 2" xfId="12586"/>
    <cellStyle name="Comma 5 4 8 2 2" xfId="19125"/>
    <cellStyle name="Comma 5 4 8 3" xfId="16273"/>
    <cellStyle name="Comma 5 4 9" xfId="2913"/>
    <cellStyle name="Comma 5 4 9 2" xfId="10872"/>
    <cellStyle name="Comma 5 4 9 2 2" xfId="17411"/>
    <cellStyle name="Comma 5 4 9 3" xfId="14559"/>
    <cellStyle name="Comma 5 5" xfId="243"/>
    <cellStyle name="Comma 5 5 10" xfId="2376"/>
    <cellStyle name="Comma 5 5 10 2" xfId="14024"/>
    <cellStyle name="Comma 5 5 11" xfId="10337"/>
    <cellStyle name="Comma 5 5 11 2" xfId="16876"/>
    <cellStyle name="Comma 5 5 12" xfId="13449"/>
    <cellStyle name="Comma 5 5 2" xfId="470"/>
    <cellStyle name="Comma 5 5 2 10" xfId="13506"/>
    <cellStyle name="Comma 5 5 2 2" xfId="924"/>
    <cellStyle name="Comma 5 5 2 2 2" xfId="2059"/>
    <cellStyle name="Comma 5 5 2 2 2 2" xfId="5479"/>
    <cellStyle name="Comma 5 5 2 2 2 2 2" xfId="11929"/>
    <cellStyle name="Comma 5 5 2 2 2 2 2 2" xfId="18468"/>
    <cellStyle name="Comma 5 5 2 2 2 2 3" xfId="15616"/>
    <cellStyle name="Comma 5 5 2 2 2 3" xfId="7751"/>
    <cellStyle name="Comma 5 5 2 2 2 3 2" xfId="12500"/>
    <cellStyle name="Comma 5 5 2 2 2 3 2 2" xfId="19039"/>
    <cellStyle name="Comma 5 5 2 2 2 3 3" xfId="16187"/>
    <cellStyle name="Comma 5 5 2 2 2 4" xfId="10023"/>
    <cellStyle name="Comma 5 5 2 2 2 4 2" xfId="13071"/>
    <cellStyle name="Comma 5 5 2 2 2 4 2 2" xfId="19610"/>
    <cellStyle name="Comma 5 5 2 2 2 4 3" xfId="16758"/>
    <cellStyle name="Comma 5 5 2 2 2 5" xfId="3401"/>
    <cellStyle name="Comma 5 5 2 2 2 5 2" xfId="11358"/>
    <cellStyle name="Comma 5 5 2 2 2 5 2 2" xfId="17897"/>
    <cellStyle name="Comma 5 5 2 2 2 5 3" xfId="15045"/>
    <cellStyle name="Comma 5 5 2 2 2 6" xfId="2824"/>
    <cellStyle name="Comma 5 5 2 2 2 6 2" xfId="14472"/>
    <cellStyle name="Comma 5 5 2 2 2 7" xfId="10785"/>
    <cellStyle name="Comma 5 5 2 2 2 7 2" xfId="17324"/>
    <cellStyle name="Comma 5 5 2 2 2 8" xfId="13905"/>
    <cellStyle name="Comma 5 5 2 2 3" xfId="4344"/>
    <cellStyle name="Comma 5 5 2 2 3 2" xfId="11644"/>
    <cellStyle name="Comma 5 5 2 2 3 2 2" xfId="18183"/>
    <cellStyle name="Comma 5 5 2 2 3 3" xfId="15331"/>
    <cellStyle name="Comma 5 5 2 2 4" xfId="6616"/>
    <cellStyle name="Comma 5 5 2 2 4 2" xfId="12215"/>
    <cellStyle name="Comma 5 5 2 2 4 2 2" xfId="18754"/>
    <cellStyle name="Comma 5 5 2 2 4 3" xfId="15902"/>
    <cellStyle name="Comma 5 5 2 2 5" xfId="8888"/>
    <cellStyle name="Comma 5 5 2 2 5 2" xfId="12786"/>
    <cellStyle name="Comma 5 5 2 2 5 2 2" xfId="19325"/>
    <cellStyle name="Comma 5 5 2 2 5 3" xfId="16473"/>
    <cellStyle name="Comma 5 5 2 2 6" xfId="3116"/>
    <cellStyle name="Comma 5 5 2 2 6 2" xfId="11073"/>
    <cellStyle name="Comma 5 5 2 2 6 2 2" xfId="17612"/>
    <cellStyle name="Comma 5 5 2 2 6 3" xfId="14760"/>
    <cellStyle name="Comma 5 5 2 2 7" xfId="2544"/>
    <cellStyle name="Comma 5 5 2 2 7 2" xfId="14192"/>
    <cellStyle name="Comma 5 5 2 2 8" xfId="10505"/>
    <cellStyle name="Comma 5 5 2 2 8 2" xfId="17044"/>
    <cellStyle name="Comma 5 5 2 2 9" xfId="13620"/>
    <cellStyle name="Comma 5 5 2 3" xfId="1605"/>
    <cellStyle name="Comma 5 5 2 3 2" xfId="5025"/>
    <cellStyle name="Comma 5 5 2 3 2 2" xfId="11815"/>
    <cellStyle name="Comma 5 5 2 3 2 2 2" xfId="18354"/>
    <cellStyle name="Comma 5 5 2 3 2 3" xfId="15502"/>
    <cellStyle name="Comma 5 5 2 3 3" xfId="7297"/>
    <cellStyle name="Comma 5 5 2 3 3 2" xfId="12386"/>
    <cellStyle name="Comma 5 5 2 3 3 2 2" xfId="18925"/>
    <cellStyle name="Comma 5 5 2 3 3 3" xfId="16073"/>
    <cellStyle name="Comma 5 5 2 3 4" xfId="9569"/>
    <cellStyle name="Comma 5 5 2 3 4 2" xfId="12957"/>
    <cellStyle name="Comma 5 5 2 3 4 2 2" xfId="19496"/>
    <cellStyle name="Comma 5 5 2 3 4 3" xfId="16644"/>
    <cellStyle name="Comma 5 5 2 3 5" xfId="3287"/>
    <cellStyle name="Comma 5 5 2 3 5 2" xfId="11244"/>
    <cellStyle name="Comma 5 5 2 3 5 2 2" xfId="17783"/>
    <cellStyle name="Comma 5 5 2 3 5 3" xfId="14931"/>
    <cellStyle name="Comma 5 5 2 3 6" xfId="2712"/>
    <cellStyle name="Comma 5 5 2 3 6 2" xfId="14360"/>
    <cellStyle name="Comma 5 5 2 3 7" xfId="10673"/>
    <cellStyle name="Comma 5 5 2 3 7 2" xfId="17212"/>
    <cellStyle name="Comma 5 5 2 3 8" xfId="13791"/>
    <cellStyle name="Comma 5 5 2 4" xfId="3890"/>
    <cellStyle name="Comma 5 5 2 4 2" xfId="11530"/>
    <cellStyle name="Comma 5 5 2 4 2 2" xfId="18069"/>
    <cellStyle name="Comma 5 5 2 4 3" xfId="15217"/>
    <cellStyle name="Comma 5 5 2 5" xfId="6162"/>
    <cellStyle name="Comma 5 5 2 5 2" xfId="12101"/>
    <cellStyle name="Comma 5 5 2 5 2 2" xfId="18640"/>
    <cellStyle name="Comma 5 5 2 5 3" xfId="15788"/>
    <cellStyle name="Comma 5 5 2 6" xfId="8434"/>
    <cellStyle name="Comma 5 5 2 6 2" xfId="12672"/>
    <cellStyle name="Comma 5 5 2 6 2 2" xfId="19211"/>
    <cellStyle name="Comma 5 5 2 6 3" xfId="16359"/>
    <cellStyle name="Comma 5 5 2 7" xfId="3002"/>
    <cellStyle name="Comma 5 5 2 7 2" xfId="10959"/>
    <cellStyle name="Comma 5 5 2 7 2 2" xfId="17498"/>
    <cellStyle name="Comma 5 5 2 7 3" xfId="14646"/>
    <cellStyle name="Comma 5 5 2 8" xfId="2432"/>
    <cellStyle name="Comma 5 5 2 8 2" xfId="14080"/>
    <cellStyle name="Comma 5 5 2 9" xfId="10393"/>
    <cellStyle name="Comma 5 5 2 9 2" xfId="16932"/>
    <cellStyle name="Comma 5 5 3" xfId="1151"/>
    <cellStyle name="Comma 5 5 3 2" xfId="2286"/>
    <cellStyle name="Comma 5 5 3 2 2" xfId="5706"/>
    <cellStyle name="Comma 5 5 3 2 2 2" xfId="11986"/>
    <cellStyle name="Comma 5 5 3 2 2 2 2" xfId="18525"/>
    <cellStyle name="Comma 5 5 3 2 2 3" xfId="15673"/>
    <cellStyle name="Comma 5 5 3 2 3" xfId="7978"/>
    <cellStyle name="Comma 5 5 3 2 3 2" xfId="12557"/>
    <cellStyle name="Comma 5 5 3 2 3 2 2" xfId="19096"/>
    <cellStyle name="Comma 5 5 3 2 3 3" xfId="16244"/>
    <cellStyle name="Comma 5 5 3 2 4" xfId="10250"/>
    <cellStyle name="Comma 5 5 3 2 4 2" xfId="13128"/>
    <cellStyle name="Comma 5 5 3 2 4 2 2" xfId="19667"/>
    <cellStyle name="Comma 5 5 3 2 4 3" xfId="16815"/>
    <cellStyle name="Comma 5 5 3 2 5" xfId="3458"/>
    <cellStyle name="Comma 5 5 3 2 5 2" xfId="11415"/>
    <cellStyle name="Comma 5 5 3 2 5 2 2" xfId="17954"/>
    <cellStyle name="Comma 5 5 3 2 5 3" xfId="15102"/>
    <cellStyle name="Comma 5 5 3 2 6" xfId="2880"/>
    <cellStyle name="Comma 5 5 3 2 6 2" xfId="14528"/>
    <cellStyle name="Comma 5 5 3 2 7" xfId="10841"/>
    <cellStyle name="Comma 5 5 3 2 7 2" xfId="17380"/>
    <cellStyle name="Comma 5 5 3 2 8" xfId="13962"/>
    <cellStyle name="Comma 5 5 3 3" xfId="4571"/>
    <cellStyle name="Comma 5 5 3 3 2" xfId="11701"/>
    <cellStyle name="Comma 5 5 3 3 2 2" xfId="18240"/>
    <cellStyle name="Comma 5 5 3 3 3" xfId="15388"/>
    <cellStyle name="Comma 5 5 3 4" xfId="6843"/>
    <cellStyle name="Comma 5 5 3 4 2" xfId="12272"/>
    <cellStyle name="Comma 5 5 3 4 2 2" xfId="18811"/>
    <cellStyle name="Comma 5 5 3 4 3" xfId="15959"/>
    <cellStyle name="Comma 5 5 3 5" xfId="9115"/>
    <cellStyle name="Comma 5 5 3 5 2" xfId="12843"/>
    <cellStyle name="Comma 5 5 3 5 2 2" xfId="19382"/>
    <cellStyle name="Comma 5 5 3 5 3" xfId="16530"/>
    <cellStyle name="Comma 5 5 3 6" xfId="3173"/>
    <cellStyle name="Comma 5 5 3 6 2" xfId="11130"/>
    <cellStyle name="Comma 5 5 3 6 2 2" xfId="17669"/>
    <cellStyle name="Comma 5 5 3 6 3" xfId="14817"/>
    <cellStyle name="Comma 5 5 3 7" xfId="2600"/>
    <cellStyle name="Comma 5 5 3 7 2" xfId="14248"/>
    <cellStyle name="Comma 5 5 3 8" xfId="10561"/>
    <cellStyle name="Comma 5 5 3 8 2" xfId="17100"/>
    <cellStyle name="Comma 5 5 3 9" xfId="13677"/>
    <cellStyle name="Comma 5 5 4" xfId="697"/>
    <cellStyle name="Comma 5 5 4 2" xfId="1832"/>
    <cellStyle name="Comma 5 5 4 2 2" xfId="5252"/>
    <cellStyle name="Comma 5 5 4 2 2 2" xfId="11872"/>
    <cellStyle name="Comma 5 5 4 2 2 2 2" xfId="18411"/>
    <cellStyle name="Comma 5 5 4 2 2 3" xfId="15559"/>
    <cellStyle name="Comma 5 5 4 2 3" xfId="7524"/>
    <cellStyle name="Comma 5 5 4 2 3 2" xfId="12443"/>
    <cellStyle name="Comma 5 5 4 2 3 2 2" xfId="18982"/>
    <cellStyle name="Comma 5 5 4 2 3 3" xfId="16130"/>
    <cellStyle name="Comma 5 5 4 2 4" xfId="9796"/>
    <cellStyle name="Comma 5 5 4 2 4 2" xfId="13014"/>
    <cellStyle name="Comma 5 5 4 2 4 2 2" xfId="19553"/>
    <cellStyle name="Comma 5 5 4 2 4 3" xfId="16701"/>
    <cellStyle name="Comma 5 5 4 2 5" xfId="3344"/>
    <cellStyle name="Comma 5 5 4 2 5 2" xfId="11301"/>
    <cellStyle name="Comma 5 5 4 2 5 2 2" xfId="17840"/>
    <cellStyle name="Comma 5 5 4 2 5 3" xfId="14988"/>
    <cellStyle name="Comma 5 5 4 2 6" xfId="2768"/>
    <cellStyle name="Comma 5 5 4 2 6 2" xfId="14416"/>
    <cellStyle name="Comma 5 5 4 2 7" xfId="10729"/>
    <cellStyle name="Comma 5 5 4 2 7 2" xfId="17268"/>
    <cellStyle name="Comma 5 5 4 2 8" xfId="13848"/>
    <cellStyle name="Comma 5 5 4 3" xfId="4117"/>
    <cellStyle name="Comma 5 5 4 3 2" xfId="11587"/>
    <cellStyle name="Comma 5 5 4 3 2 2" xfId="18126"/>
    <cellStyle name="Comma 5 5 4 3 3" xfId="15274"/>
    <cellStyle name="Comma 5 5 4 4" xfId="6389"/>
    <cellStyle name="Comma 5 5 4 4 2" xfId="12158"/>
    <cellStyle name="Comma 5 5 4 4 2 2" xfId="18697"/>
    <cellStyle name="Comma 5 5 4 4 3" xfId="15845"/>
    <cellStyle name="Comma 5 5 4 5" xfId="8661"/>
    <cellStyle name="Comma 5 5 4 5 2" xfId="12729"/>
    <cellStyle name="Comma 5 5 4 5 2 2" xfId="19268"/>
    <cellStyle name="Comma 5 5 4 5 3" xfId="16416"/>
    <cellStyle name="Comma 5 5 4 6" xfId="3059"/>
    <cellStyle name="Comma 5 5 4 6 2" xfId="11016"/>
    <cellStyle name="Comma 5 5 4 6 2 2" xfId="17555"/>
    <cellStyle name="Comma 5 5 4 6 3" xfId="14703"/>
    <cellStyle name="Comma 5 5 4 7" xfId="2488"/>
    <cellStyle name="Comma 5 5 4 7 2" xfId="14136"/>
    <cellStyle name="Comma 5 5 4 8" xfId="10449"/>
    <cellStyle name="Comma 5 5 4 8 2" xfId="16988"/>
    <cellStyle name="Comma 5 5 4 9" xfId="13563"/>
    <cellStyle name="Comma 5 5 5" xfId="1378"/>
    <cellStyle name="Comma 5 5 5 2" xfId="4798"/>
    <cellStyle name="Comma 5 5 5 2 2" xfId="11758"/>
    <cellStyle name="Comma 5 5 5 2 2 2" xfId="18297"/>
    <cellStyle name="Comma 5 5 5 2 3" xfId="15445"/>
    <cellStyle name="Comma 5 5 5 3" xfId="7070"/>
    <cellStyle name="Comma 5 5 5 3 2" xfId="12329"/>
    <cellStyle name="Comma 5 5 5 3 2 2" xfId="18868"/>
    <cellStyle name="Comma 5 5 5 3 3" xfId="16016"/>
    <cellStyle name="Comma 5 5 5 4" xfId="9342"/>
    <cellStyle name="Comma 5 5 5 4 2" xfId="12900"/>
    <cellStyle name="Comma 5 5 5 4 2 2" xfId="19439"/>
    <cellStyle name="Comma 5 5 5 4 3" xfId="16587"/>
    <cellStyle name="Comma 5 5 5 5" xfId="3230"/>
    <cellStyle name="Comma 5 5 5 5 2" xfId="11187"/>
    <cellStyle name="Comma 5 5 5 5 2 2" xfId="17726"/>
    <cellStyle name="Comma 5 5 5 5 3" xfId="14874"/>
    <cellStyle name="Comma 5 5 5 6" xfId="2656"/>
    <cellStyle name="Comma 5 5 5 6 2" xfId="14304"/>
    <cellStyle name="Comma 5 5 5 7" xfId="10617"/>
    <cellStyle name="Comma 5 5 5 7 2" xfId="17156"/>
    <cellStyle name="Comma 5 5 5 8" xfId="13734"/>
    <cellStyle name="Comma 5 5 6" xfId="3663"/>
    <cellStyle name="Comma 5 5 6 2" xfId="11473"/>
    <cellStyle name="Comma 5 5 6 2 2" xfId="18012"/>
    <cellStyle name="Comma 5 5 6 3" xfId="15160"/>
    <cellStyle name="Comma 5 5 7" xfId="5935"/>
    <cellStyle name="Comma 5 5 7 2" xfId="12044"/>
    <cellStyle name="Comma 5 5 7 2 2" xfId="18583"/>
    <cellStyle name="Comma 5 5 7 3" xfId="15731"/>
    <cellStyle name="Comma 5 5 8" xfId="8207"/>
    <cellStyle name="Comma 5 5 8 2" xfId="12615"/>
    <cellStyle name="Comma 5 5 8 2 2" xfId="19154"/>
    <cellStyle name="Comma 5 5 8 3" xfId="16302"/>
    <cellStyle name="Comma 5 5 9" xfId="2945"/>
    <cellStyle name="Comma 5 5 9 2" xfId="10902"/>
    <cellStyle name="Comma 5 5 9 2 2" xfId="17441"/>
    <cellStyle name="Comma 5 5 9 3" xfId="14589"/>
    <cellStyle name="Comma 5 6" xfId="299"/>
    <cellStyle name="Comma 5 6 10" xfId="13463"/>
    <cellStyle name="Comma 5 6 2" xfId="753"/>
    <cellStyle name="Comma 5 6 2 2" xfId="1888"/>
    <cellStyle name="Comma 5 6 2 2 2" xfId="5308"/>
    <cellStyle name="Comma 5 6 2 2 2 2" xfId="11886"/>
    <cellStyle name="Comma 5 6 2 2 2 2 2" xfId="18425"/>
    <cellStyle name="Comma 5 6 2 2 2 3" xfId="15573"/>
    <cellStyle name="Comma 5 6 2 2 3" xfId="7580"/>
    <cellStyle name="Comma 5 6 2 2 3 2" xfId="12457"/>
    <cellStyle name="Comma 5 6 2 2 3 2 2" xfId="18996"/>
    <cellStyle name="Comma 5 6 2 2 3 3" xfId="16144"/>
    <cellStyle name="Comma 5 6 2 2 4" xfId="9852"/>
    <cellStyle name="Comma 5 6 2 2 4 2" xfId="13028"/>
    <cellStyle name="Comma 5 6 2 2 4 2 2" xfId="19567"/>
    <cellStyle name="Comma 5 6 2 2 4 3" xfId="16715"/>
    <cellStyle name="Comma 5 6 2 2 5" xfId="3358"/>
    <cellStyle name="Comma 5 6 2 2 5 2" xfId="11315"/>
    <cellStyle name="Comma 5 6 2 2 5 2 2" xfId="17854"/>
    <cellStyle name="Comma 5 6 2 2 5 3" xfId="15002"/>
    <cellStyle name="Comma 5 6 2 2 6" xfId="2782"/>
    <cellStyle name="Comma 5 6 2 2 6 2" xfId="14430"/>
    <cellStyle name="Comma 5 6 2 2 7" xfId="10743"/>
    <cellStyle name="Comma 5 6 2 2 7 2" xfId="17282"/>
    <cellStyle name="Comma 5 6 2 2 8" xfId="13862"/>
    <cellStyle name="Comma 5 6 2 3" xfId="4173"/>
    <cellStyle name="Comma 5 6 2 3 2" xfId="11601"/>
    <cellStyle name="Comma 5 6 2 3 2 2" xfId="18140"/>
    <cellStyle name="Comma 5 6 2 3 3" xfId="15288"/>
    <cellStyle name="Comma 5 6 2 4" xfId="6445"/>
    <cellStyle name="Comma 5 6 2 4 2" xfId="12172"/>
    <cellStyle name="Comma 5 6 2 4 2 2" xfId="18711"/>
    <cellStyle name="Comma 5 6 2 4 3" xfId="15859"/>
    <cellStyle name="Comma 5 6 2 5" xfId="8717"/>
    <cellStyle name="Comma 5 6 2 5 2" xfId="12743"/>
    <cellStyle name="Comma 5 6 2 5 2 2" xfId="19282"/>
    <cellStyle name="Comma 5 6 2 5 3" xfId="16430"/>
    <cellStyle name="Comma 5 6 2 6" xfId="3073"/>
    <cellStyle name="Comma 5 6 2 6 2" xfId="11030"/>
    <cellStyle name="Comma 5 6 2 6 2 2" xfId="17569"/>
    <cellStyle name="Comma 5 6 2 6 3" xfId="14717"/>
    <cellStyle name="Comma 5 6 2 7" xfId="2502"/>
    <cellStyle name="Comma 5 6 2 7 2" xfId="14150"/>
    <cellStyle name="Comma 5 6 2 8" xfId="10463"/>
    <cellStyle name="Comma 5 6 2 8 2" xfId="17002"/>
    <cellStyle name="Comma 5 6 2 9" xfId="13577"/>
    <cellStyle name="Comma 5 6 3" xfId="1434"/>
    <cellStyle name="Comma 5 6 3 2" xfId="4854"/>
    <cellStyle name="Comma 5 6 3 2 2" xfId="11772"/>
    <cellStyle name="Comma 5 6 3 2 2 2" xfId="18311"/>
    <cellStyle name="Comma 5 6 3 2 3" xfId="15459"/>
    <cellStyle name="Comma 5 6 3 3" xfId="7126"/>
    <cellStyle name="Comma 5 6 3 3 2" xfId="12343"/>
    <cellStyle name="Comma 5 6 3 3 2 2" xfId="18882"/>
    <cellStyle name="Comma 5 6 3 3 3" xfId="16030"/>
    <cellStyle name="Comma 5 6 3 4" xfId="9398"/>
    <cellStyle name="Comma 5 6 3 4 2" xfId="12914"/>
    <cellStyle name="Comma 5 6 3 4 2 2" xfId="19453"/>
    <cellStyle name="Comma 5 6 3 4 3" xfId="16601"/>
    <cellStyle name="Comma 5 6 3 5" xfId="3244"/>
    <cellStyle name="Comma 5 6 3 5 2" xfId="11201"/>
    <cellStyle name="Comma 5 6 3 5 2 2" xfId="17740"/>
    <cellStyle name="Comma 5 6 3 5 3" xfId="14888"/>
    <cellStyle name="Comma 5 6 3 6" xfId="2670"/>
    <cellStyle name="Comma 5 6 3 6 2" xfId="14318"/>
    <cellStyle name="Comma 5 6 3 7" xfId="10631"/>
    <cellStyle name="Comma 5 6 3 7 2" xfId="17170"/>
    <cellStyle name="Comma 5 6 3 8" xfId="13748"/>
    <cellStyle name="Comma 5 6 4" xfId="3719"/>
    <cellStyle name="Comma 5 6 4 2" xfId="11487"/>
    <cellStyle name="Comma 5 6 4 2 2" xfId="18026"/>
    <cellStyle name="Comma 5 6 4 3" xfId="15174"/>
    <cellStyle name="Comma 5 6 5" xfId="5991"/>
    <cellStyle name="Comma 5 6 5 2" xfId="12058"/>
    <cellStyle name="Comma 5 6 5 2 2" xfId="18597"/>
    <cellStyle name="Comma 5 6 5 3" xfId="15745"/>
    <cellStyle name="Comma 5 6 6" xfId="8263"/>
    <cellStyle name="Comma 5 6 6 2" xfId="12629"/>
    <cellStyle name="Comma 5 6 6 2 2" xfId="19168"/>
    <cellStyle name="Comma 5 6 6 3" xfId="16316"/>
    <cellStyle name="Comma 5 6 7" xfId="2959"/>
    <cellStyle name="Comma 5 6 7 2" xfId="10916"/>
    <cellStyle name="Comma 5 6 7 2 2" xfId="17455"/>
    <cellStyle name="Comma 5 6 7 3" xfId="14603"/>
    <cellStyle name="Comma 5 6 8" xfId="2390"/>
    <cellStyle name="Comma 5 6 8 2" xfId="14038"/>
    <cellStyle name="Comma 5 6 9" xfId="10351"/>
    <cellStyle name="Comma 5 6 9 2" xfId="16890"/>
    <cellStyle name="Comma 5 7" xfId="980"/>
    <cellStyle name="Comma 5 7 2" xfId="2115"/>
    <cellStyle name="Comma 5 7 2 2" xfId="5535"/>
    <cellStyle name="Comma 5 7 2 2 2" xfId="11943"/>
    <cellStyle name="Comma 5 7 2 2 2 2" xfId="18482"/>
    <cellStyle name="Comma 5 7 2 2 3" xfId="15630"/>
    <cellStyle name="Comma 5 7 2 3" xfId="7807"/>
    <cellStyle name="Comma 5 7 2 3 2" xfId="12514"/>
    <cellStyle name="Comma 5 7 2 3 2 2" xfId="19053"/>
    <cellStyle name="Comma 5 7 2 3 3" xfId="16201"/>
    <cellStyle name="Comma 5 7 2 4" xfId="10079"/>
    <cellStyle name="Comma 5 7 2 4 2" xfId="13085"/>
    <cellStyle name="Comma 5 7 2 4 2 2" xfId="19624"/>
    <cellStyle name="Comma 5 7 2 4 3" xfId="16772"/>
    <cellStyle name="Comma 5 7 2 5" xfId="3415"/>
    <cellStyle name="Comma 5 7 2 5 2" xfId="11372"/>
    <cellStyle name="Comma 5 7 2 5 2 2" xfId="17911"/>
    <cellStyle name="Comma 5 7 2 5 3" xfId="15059"/>
    <cellStyle name="Comma 5 7 2 6" xfId="2838"/>
    <cellStyle name="Comma 5 7 2 6 2" xfId="14486"/>
    <cellStyle name="Comma 5 7 2 7" xfId="10799"/>
    <cellStyle name="Comma 5 7 2 7 2" xfId="17338"/>
    <cellStyle name="Comma 5 7 2 8" xfId="13919"/>
    <cellStyle name="Comma 5 7 3" xfId="4400"/>
    <cellStyle name="Comma 5 7 3 2" xfId="11658"/>
    <cellStyle name="Comma 5 7 3 2 2" xfId="18197"/>
    <cellStyle name="Comma 5 7 3 3" xfId="15345"/>
    <cellStyle name="Comma 5 7 4" xfId="6672"/>
    <cellStyle name="Comma 5 7 4 2" xfId="12229"/>
    <cellStyle name="Comma 5 7 4 2 2" xfId="18768"/>
    <cellStyle name="Comma 5 7 4 3" xfId="15916"/>
    <cellStyle name="Comma 5 7 5" xfId="8944"/>
    <cellStyle name="Comma 5 7 5 2" xfId="12800"/>
    <cellStyle name="Comma 5 7 5 2 2" xfId="19339"/>
    <cellStyle name="Comma 5 7 5 3" xfId="16487"/>
    <cellStyle name="Comma 5 7 6" xfId="3130"/>
    <cellStyle name="Comma 5 7 6 2" xfId="11087"/>
    <cellStyle name="Comma 5 7 6 2 2" xfId="17626"/>
    <cellStyle name="Comma 5 7 6 3" xfId="14774"/>
    <cellStyle name="Comma 5 7 7" xfId="2558"/>
    <cellStyle name="Comma 5 7 7 2" xfId="14206"/>
    <cellStyle name="Comma 5 7 8" xfId="10519"/>
    <cellStyle name="Comma 5 7 8 2" xfId="17058"/>
    <cellStyle name="Comma 5 7 9" xfId="13634"/>
    <cellStyle name="Comma 5 8" xfId="526"/>
    <cellStyle name="Comma 5 8 2" xfId="1661"/>
    <cellStyle name="Comma 5 8 2 2" xfId="5081"/>
    <cellStyle name="Comma 5 8 2 2 2" xfId="11829"/>
    <cellStyle name="Comma 5 8 2 2 2 2" xfId="18368"/>
    <cellStyle name="Comma 5 8 2 2 3" xfId="15516"/>
    <cellStyle name="Comma 5 8 2 3" xfId="7353"/>
    <cellStyle name="Comma 5 8 2 3 2" xfId="12400"/>
    <cellStyle name="Comma 5 8 2 3 2 2" xfId="18939"/>
    <cellStyle name="Comma 5 8 2 3 3" xfId="16087"/>
    <cellStyle name="Comma 5 8 2 4" xfId="9625"/>
    <cellStyle name="Comma 5 8 2 4 2" xfId="12971"/>
    <cellStyle name="Comma 5 8 2 4 2 2" xfId="19510"/>
    <cellStyle name="Comma 5 8 2 4 3" xfId="16658"/>
    <cellStyle name="Comma 5 8 2 5" xfId="3301"/>
    <cellStyle name="Comma 5 8 2 5 2" xfId="11258"/>
    <cellStyle name="Comma 5 8 2 5 2 2" xfId="17797"/>
    <cellStyle name="Comma 5 8 2 5 3" xfId="14945"/>
    <cellStyle name="Comma 5 8 2 6" xfId="2726"/>
    <cellStyle name="Comma 5 8 2 6 2" xfId="14374"/>
    <cellStyle name="Comma 5 8 2 7" xfId="10687"/>
    <cellStyle name="Comma 5 8 2 7 2" xfId="17226"/>
    <cellStyle name="Comma 5 8 2 8" xfId="13805"/>
    <cellStyle name="Comma 5 8 3" xfId="3946"/>
    <cellStyle name="Comma 5 8 3 2" xfId="11544"/>
    <cellStyle name="Comma 5 8 3 2 2" xfId="18083"/>
    <cellStyle name="Comma 5 8 3 3" xfId="15231"/>
    <cellStyle name="Comma 5 8 4" xfId="6218"/>
    <cellStyle name="Comma 5 8 4 2" xfId="12115"/>
    <cellStyle name="Comma 5 8 4 2 2" xfId="18654"/>
    <cellStyle name="Comma 5 8 4 3" xfId="15802"/>
    <cellStyle name="Comma 5 8 5" xfId="8490"/>
    <cellStyle name="Comma 5 8 5 2" xfId="12686"/>
    <cellStyle name="Comma 5 8 5 2 2" xfId="19225"/>
    <cellStyle name="Comma 5 8 5 3" xfId="16373"/>
    <cellStyle name="Comma 5 8 6" xfId="3016"/>
    <cellStyle name="Comma 5 8 6 2" xfId="10973"/>
    <cellStyle name="Comma 5 8 6 2 2" xfId="17512"/>
    <cellStyle name="Comma 5 8 6 3" xfId="14660"/>
    <cellStyle name="Comma 5 8 7" xfId="2446"/>
    <cellStyle name="Comma 5 8 7 2" xfId="14094"/>
    <cellStyle name="Comma 5 8 8" xfId="10407"/>
    <cellStyle name="Comma 5 8 8 2" xfId="16946"/>
    <cellStyle name="Comma 5 8 9" xfId="13520"/>
    <cellStyle name="Comma 5 9" xfId="1207"/>
    <cellStyle name="Comma 5 9 2" xfId="4627"/>
    <cellStyle name="Comma 5 9 2 2" xfId="11715"/>
    <cellStyle name="Comma 5 9 2 2 2" xfId="18254"/>
    <cellStyle name="Comma 5 9 2 3" xfId="15402"/>
    <cellStyle name="Comma 5 9 3" xfId="6899"/>
    <cellStyle name="Comma 5 9 3 2" xfId="12286"/>
    <cellStyle name="Comma 5 9 3 2 2" xfId="18825"/>
    <cellStyle name="Comma 5 9 3 3" xfId="15973"/>
    <cellStyle name="Comma 5 9 4" xfId="9171"/>
    <cellStyle name="Comma 5 9 4 2" xfId="12857"/>
    <cellStyle name="Comma 5 9 4 2 2" xfId="19396"/>
    <cellStyle name="Comma 5 9 4 3" xfId="16544"/>
    <cellStyle name="Comma 5 9 5" xfId="3187"/>
    <cellStyle name="Comma 5 9 5 2" xfId="11144"/>
    <cellStyle name="Comma 5 9 5 2 2" xfId="17683"/>
    <cellStyle name="Comma 5 9 5 3" xfId="14831"/>
    <cellStyle name="Comma 5 9 6" xfId="2614"/>
    <cellStyle name="Comma 5 9 6 2" xfId="14262"/>
    <cellStyle name="Comma 5 9 7" xfId="10575"/>
    <cellStyle name="Comma 5 9 7 2" xfId="17114"/>
    <cellStyle name="Comma 5 9 8" xfId="13691"/>
    <cellStyle name="Comma 50" xfId="13249"/>
    <cellStyle name="Comma 50 2" xfId="19758"/>
    <cellStyle name="Comma 51" xfId="13250"/>
    <cellStyle name="Comma 51 2" xfId="19759"/>
    <cellStyle name="Comma 52" xfId="13251"/>
    <cellStyle name="Comma 52 2" xfId="19760"/>
    <cellStyle name="Comma 53" xfId="13252"/>
    <cellStyle name="Comma 53 2" xfId="19761"/>
    <cellStyle name="Comma 54" xfId="13253"/>
    <cellStyle name="Comma 54 2" xfId="19762"/>
    <cellStyle name="Comma 55" xfId="13254"/>
    <cellStyle name="Comma 55 2" xfId="19763"/>
    <cellStyle name="Comma 56" xfId="13255"/>
    <cellStyle name="Comma 56 2" xfId="19764"/>
    <cellStyle name="Comma 57" xfId="13256"/>
    <cellStyle name="Comma 57 2" xfId="19765"/>
    <cellStyle name="Comma 58" xfId="13257"/>
    <cellStyle name="Comma 58 2" xfId="19766"/>
    <cellStyle name="Comma 59" xfId="13258"/>
    <cellStyle name="Comma 59 2" xfId="19767"/>
    <cellStyle name="Comma 6" xfId="61"/>
    <cellStyle name="Comma 6 10" xfId="3494"/>
    <cellStyle name="Comma 6 10 2" xfId="11431"/>
    <cellStyle name="Comma 6 10 2 2" xfId="17970"/>
    <cellStyle name="Comma 6 10 3" xfId="15118"/>
    <cellStyle name="Comma 6 11" xfId="5766"/>
    <cellStyle name="Comma 6 11 2" xfId="12002"/>
    <cellStyle name="Comma 6 11 2 2" xfId="18541"/>
    <cellStyle name="Comma 6 11 3" xfId="15689"/>
    <cellStyle name="Comma 6 12" xfId="8038"/>
    <cellStyle name="Comma 6 12 2" xfId="12573"/>
    <cellStyle name="Comma 6 12 2 2" xfId="19112"/>
    <cellStyle name="Comma 6 12 3" xfId="16260"/>
    <cellStyle name="Comma 6 13" xfId="2898"/>
    <cellStyle name="Comma 6 13 2" xfId="10858"/>
    <cellStyle name="Comma 6 13 2 2" xfId="17397"/>
    <cellStyle name="Comma 6 13 3" xfId="14545"/>
    <cellStyle name="Comma 6 14" xfId="2333"/>
    <cellStyle name="Comma 6 14 2" xfId="13981"/>
    <cellStyle name="Comma 6 15" xfId="10294"/>
    <cellStyle name="Comma 6 15 2" xfId="16833"/>
    <cellStyle name="Comma 6 16" xfId="13259"/>
    <cellStyle name="Comma 6 16 2" xfId="19768"/>
    <cellStyle name="Comma 6 17" xfId="13405"/>
    <cellStyle name="Comma 6 2" xfId="91"/>
    <cellStyle name="Comma 6 2 10" xfId="5794"/>
    <cellStyle name="Comma 6 2 10 2" xfId="12009"/>
    <cellStyle name="Comma 6 2 10 2 2" xfId="18548"/>
    <cellStyle name="Comma 6 2 10 3" xfId="15696"/>
    <cellStyle name="Comma 6 2 11" xfId="8066"/>
    <cellStyle name="Comma 6 2 11 2" xfId="12580"/>
    <cellStyle name="Comma 6 2 11 2 2" xfId="19119"/>
    <cellStyle name="Comma 6 2 11 3" xfId="16267"/>
    <cellStyle name="Comma 6 2 12" xfId="2907"/>
    <cellStyle name="Comma 6 2 12 2" xfId="10866"/>
    <cellStyle name="Comma 6 2 12 2 2" xfId="17405"/>
    <cellStyle name="Comma 6 2 12 3" xfId="14553"/>
    <cellStyle name="Comma 6 2 13" xfId="2341"/>
    <cellStyle name="Comma 6 2 13 2" xfId="13989"/>
    <cellStyle name="Comma 6 2 14" xfId="10302"/>
    <cellStyle name="Comma 6 2 14 2" xfId="16841"/>
    <cellStyle name="Comma 6 2 15" xfId="13260"/>
    <cellStyle name="Comma 6 2 15 2" xfId="19769"/>
    <cellStyle name="Comma 6 2 16" xfId="13413"/>
    <cellStyle name="Comma 6 2 2" xfId="203"/>
    <cellStyle name="Comma 6 2 2 10" xfId="2369"/>
    <cellStyle name="Comma 6 2 2 10 2" xfId="14017"/>
    <cellStyle name="Comma 6 2 2 11" xfId="10330"/>
    <cellStyle name="Comma 6 2 2 11 2" xfId="16869"/>
    <cellStyle name="Comma 6 2 2 12" xfId="13441"/>
    <cellStyle name="Comma 6 2 2 2" xfId="441"/>
    <cellStyle name="Comma 6 2 2 2 10" xfId="13499"/>
    <cellStyle name="Comma 6 2 2 2 2" xfId="895"/>
    <cellStyle name="Comma 6 2 2 2 2 2" xfId="2030"/>
    <cellStyle name="Comma 6 2 2 2 2 2 2" xfId="5450"/>
    <cellStyle name="Comma 6 2 2 2 2 2 2 2" xfId="11922"/>
    <cellStyle name="Comma 6 2 2 2 2 2 2 2 2" xfId="18461"/>
    <cellStyle name="Comma 6 2 2 2 2 2 2 3" xfId="15609"/>
    <cellStyle name="Comma 6 2 2 2 2 2 3" xfId="7722"/>
    <cellStyle name="Comma 6 2 2 2 2 2 3 2" xfId="12493"/>
    <cellStyle name="Comma 6 2 2 2 2 2 3 2 2" xfId="19032"/>
    <cellStyle name="Comma 6 2 2 2 2 2 3 3" xfId="16180"/>
    <cellStyle name="Comma 6 2 2 2 2 2 4" xfId="9994"/>
    <cellStyle name="Comma 6 2 2 2 2 2 4 2" xfId="13064"/>
    <cellStyle name="Comma 6 2 2 2 2 2 4 2 2" xfId="19603"/>
    <cellStyle name="Comma 6 2 2 2 2 2 4 3" xfId="16751"/>
    <cellStyle name="Comma 6 2 2 2 2 2 5" xfId="3394"/>
    <cellStyle name="Comma 6 2 2 2 2 2 5 2" xfId="11351"/>
    <cellStyle name="Comma 6 2 2 2 2 2 5 2 2" xfId="17890"/>
    <cellStyle name="Comma 6 2 2 2 2 2 5 3" xfId="15038"/>
    <cellStyle name="Comma 6 2 2 2 2 2 6" xfId="2818"/>
    <cellStyle name="Comma 6 2 2 2 2 2 6 2" xfId="14466"/>
    <cellStyle name="Comma 6 2 2 2 2 2 7" xfId="10779"/>
    <cellStyle name="Comma 6 2 2 2 2 2 7 2" xfId="17318"/>
    <cellStyle name="Comma 6 2 2 2 2 2 8" xfId="13898"/>
    <cellStyle name="Comma 6 2 2 2 2 3" xfId="4315"/>
    <cellStyle name="Comma 6 2 2 2 2 3 2" xfId="11637"/>
    <cellStyle name="Comma 6 2 2 2 2 3 2 2" xfId="18176"/>
    <cellStyle name="Comma 6 2 2 2 2 3 3" xfId="15324"/>
    <cellStyle name="Comma 6 2 2 2 2 4" xfId="6587"/>
    <cellStyle name="Comma 6 2 2 2 2 4 2" xfId="12208"/>
    <cellStyle name="Comma 6 2 2 2 2 4 2 2" xfId="18747"/>
    <cellStyle name="Comma 6 2 2 2 2 4 3" xfId="15895"/>
    <cellStyle name="Comma 6 2 2 2 2 5" xfId="8859"/>
    <cellStyle name="Comma 6 2 2 2 2 5 2" xfId="12779"/>
    <cellStyle name="Comma 6 2 2 2 2 5 2 2" xfId="19318"/>
    <cellStyle name="Comma 6 2 2 2 2 5 3" xfId="16466"/>
    <cellStyle name="Comma 6 2 2 2 2 6" xfId="3109"/>
    <cellStyle name="Comma 6 2 2 2 2 6 2" xfId="11066"/>
    <cellStyle name="Comma 6 2 2 2 2 6 2 2" xfId="17605"/>
    <cellStyle name="Comma 6 2 2 2 2 6 3" xfId="14753"/>
    <cellStyle name="Comma 6 2 2 2 2 7" xfId="2538"/>
    <cellStyle name="Comma 6 2 2 2 2 7 2" xfId="14186"/>
    <cellStyle name="Comma 6 2 2 2 2 8" xfId="10499"/>
    <cellStyle name="Comma 6 2 2 2 2 8 2" xfId="17038"/>
    <cellStyle name="Comma 6 2 2 2 2 9" xfId="13613"/>
    <cellStyle name="Comma 6 2 2 2 3" xfId="1576"/>
    <cellStyle name="Comma 6 2 2 2 3 2" xfId="4996"/>
    <cellStyle name="Comma 6 2 2 2 3 2 2" xfId="11808"/>
    <cellStyle name="Comma 6 2 2 2 3 2 2 2" xfId="18347"/>
    <cellStyle name="Comma 6 2 2 2 3 2 3" xfId="15495"/>
    <cellStyle name="Comma 6 2 2 2 3 3" xfId="7268"/>
    <cellStyle name="Comma 6 2 2 2 3 3 2" xfId="12379"/>
    <cellStyle name="Comma 6 2 2 2 3 3 2 2" xfId="18918"/>
    <cellStyle name="Comma 6 2 2 2 3 3 3" xfId="16066"/>
    <cellStyle name="Comma 6 2 2 2 3 4" xfId="9540"/>
    <cellStyle name="Comma 6 2 2 2 3 4 2" xfId="12950"/>
    <cellStyle name="Comma 6 2 2 2 3 4 2 2" xfId="19489"/>
    <cellStyle name="Comma 6 2 2 2 3 4 3" xfId="16637"/>
    <cellStyle name="Comma 6 2 2 2 3 5" xfId="3280"/>
    <cellStyle name="Comma 6 2 2 2 3 5 2" xfId="11237"/>
    <cellStyle name="Comma 6 2 2 2 3 5 2 2" xfId="17776"/>
    <cellStyle name="Comma 6 2 2 2 3 5 3" xfId="14924"/>
    <cellStyle name="Comma 6 2 2 2 3 6" xfId="2706"/>
    <cellStyle name="Comma 6 2 2 2 3 6 2" xfId="14354"/>
    <cellStyle name="Comma 6 2 2 2 3 7" xfId="10667"/>
    <cellStyle name="Comma 6 2 2 2 3 7 2" xfId="17206"/>
    <cellStyle name="Comma 6 2 2 2 3 8" xfId="13784"/>
    <cellStyle name="Comma 6 2 2 2 4" xfId="3861"/>
    <cellStyle name="Comma 6 2 2 2 4 2" xfId="11523"/>
    <cellStyle name="Comma 6 2 2 2 4 2 2" xfId="18062"/>
    <cellStyle name="Comma 6 2 2 2 4 3" xfId="15210"/>
    <cellStyle name="Comma 6 2 2 2 5" xfId="6133"/>
    <cellStyle name="Comma 6 2 2 2 5 2" xfId="12094"/>
    <cellStyle name="Comma 6 2 2 2 5 2 2" xfId="18633"/>
    <cellStyle name="Comma 6 2 2 2 5 3" xfId="15781"/>
    <cellStyle name="Comma 6 2 2 2 6" xfId="8405"/>
    <cellStyle name="Comma 6 2 2 2 6 2" xfId="12665"/>
    <cellStyle name="Comma 6 2 2 2 6 2 2" xfId="19204"/>
    <cellStyle name="Comma 6 2 2 2 6 3" xfId="16352"/>
    <cellStyle name="Comma 6 2 2 2 7" xfId="2995"/>
    <cellStyle name="Comma 6 2 2 2 7 2" xfId="10952"/>
    <cellStyle name="Comma 6 2 2 2 7 2 2" xfId="17491"/>
    <cellStyle name="Comma 6 2 2 2 7 3" xfId="14639"/>
    <cellStyle name="Comma 6 2 2 2 8" xfId="2426"/>
    <cellStyle name="Comma 6 2 2 2 8 2" xfId="14074"/>
    <cellStyle name="Comma 6 2 2 2 9" xfId="10387"/>
    <cellStyle name="Comma 6 2 2 2 9 2" xfId="16926"/>
    <cellStyle name="Comma 6 2 2 3" xfId="1122"/>
    <cellStyle name="Comma 6 2 2 3 2" xfId="2257"/>
    <cellStyle name="Comma 6 2 2 3 2 2" xfId="5677"/>
    <cellStyle name="Comma 6 2 2 3 2 2 2" xfId="11979"/>
    <cellStyle name="Comma 6 2 2 3 2 2 2 2" xfId="18518"/>
    <cellStyle name="Comma 6 2 2 3 2 2 3" xfId="15666"/>
    <cellStyle name="Comma 6 2 2 3 2 3" xfId="7949"/>
    <cellStyle name="Comma 6 2 2 3 2 3 2" xfId="12550"/>
    <cellStyle name="Comma 6 2 2 3 2 3 2 2" xfId="19089"/>
    <cellStyle name="Comma 6 2 2 3 2 3 3" xfId="16237"/>
    <cellStyle name="Comma 6 2 2 3 2 4" xfId="10221"/>
    <cellStyle name="Comma 6 2 2 3 2 4 2" xfId="13121"/>
    <cellStyle name="Comma 6 2 2 3 2 4 2 2" xfId="19660"/>
    <cellStyle name="Comma 6 2 2 3 2 4 3" xfId="16808"/>
    <cellStyle name="Comma 6 2 2 3 2 5" xfId="3451"/>
    <cellStyle name="Comma 6 2 2 3 2 5 2" xfId="11408"/>
    <cellStyle name="Comma 6 2 2 3 2 5 2 2" xfId="17947"/>
    <cellStyle name="Comma 6 2 2 3 2 5 3" xfId="15095"/>
    <cellStyle name="Comma 6 2 2 3 2 6" xfId="2874"/>
    <cellStyle name="Comma 6 2 2 3 2 6 2" xfId="14522"/>
    <cellStyle name="Comma 6 2 2 3 2 7" xfId="10835"/>
    <cellStyle name="Comma 6 2 2 3 2 7 2" xfId="17374"/>
    <cellStyle name="Comma 6 2 2 3 2 8" xfId="13955"/>
    <cellStyle name="Comma 6 2 2 3 3" xfId="4542"/>
    <cellStyle name="Comma 6 2 2 3 3 2" xfId="11694"/>
    <cellStyle name="Comma 6 2 2 3 3 2 2" xfId="18233"/>
    <cellStyle name="Comma 6 2 2 3 3 3" xfId="15381"/>
    <cellStyle name="Comma 6 2 2 3 4" xfId="6814"/>
    <cellStyle name="Comma 6 2 2 3 4 2" xfId="12265"/>
    <cellStyle name="Comma 6 2 2 3 4 2 2" xfId="18804"/>
    <cellStyle name="Comma 6 2 2 3 4 3" xfId="15952"/>
    <cellStyle name="Comma 6 2 2 3 5" xfId="9086"/>
    <cellStyle name="Comma 6 2 2 3 5 2" xfId="12836"/>
    <cellStyle name="Comma 6 2 2 3 5 2 2" xfId="19375"/>
    <cellStyle name="Comma 6 2 2 3 5 3" xfId="16523"/>
    <cellStyle name="Comma 6 2 2 3 6" xfId="3166"/>
    <cellStyle name="Comma 6 2 2 3 6 2" xfId="11123"/>
    <cellStyle name="Comma 6 2 2 3 6 2 2" xfId="17662"/>
    <cellStyle name="Comma 6 2 2 3 6 3" xfId="14810"/>
    <cellStyle name="Comma 6 2 2 3 7" xfId="2594"/>
    <cellStyle name="Comma 6 2 2 3 7 2" xfId="14242"/>
    <cellStyle name="Comma 6 2 2 3 8" xfId="10555"/>
    <cellStyle name="Comma 6 2 2 3 8 2" xfId="17094"/>
    <cellStyle name="Comma 6 2 2 3 9" xfId="13670"/>
    <cellStyle name="Comma 6 2 2 4" xfId="668"/>
    <cellStyle name="Comma 6 2 2 4 2" xfId="1803"/>
    <cellStyle name="Comma 6 2 2 4 2 2" xfId="5223"/>
    <cellStyle name="Comma 6 2 2 4 2 2 2" xfId="11865"/>
    <cellStyle name="Comma 6 2 2 4 2 2 2 2" xfId="18404"/>
    <cellStyle name="Comma 6 2 2 4 2 2 3" xfId="15552"/>
    <cellStyle name="Comma 6 2 2 4 2 3" xfId="7495"/>
    <cellStyle name="Comma 6 2 2 4 2 3 2" xfId="12436"/>
    <cellStyle name="Comma 6 2 2 4 2 3 2 2" xfId="18975"/>
    <cellStyle name="Comma 6 2 2 4 2 3 3" xfId="16123"/>
    <cellStyle name="Comma 6 2 2 4 2 4" xfId="9767"/>
    <cellStyle name="Comma 6 2 2 4 2 4 2" xfId="13007"/>
    <cellStyle name="Comma 6 2 2 4 2 4 2 2" xfId="19546"/>
    <cellStyle name="Comma 6 2 2 4 2 4 3" xfId="16694"/>
    <cellStyle name="Comma 6 2 2 4 2 5" xfId="3337"/>
    <cellStyle name="Comma 6 2 2 4 2 5 2" xfId="11294"/>
    <cellStyle name="Comma 6 2 2 4 2 5 2 2" xfId="17833"/>
    <cellStyle name="Comma 6 2 2 4 2 5 3" xfId="14981"/>
    <cellStyle name="Comma 6 2 2 4 2 6" xfId="2762"/>
    <cellStyle name="Comma 6 2 2 4 2 6 2" xfId="14410"/>
    <cellStyle name="Comma 6 2 2 4 2 7" xfId="10723"/>
    <cellStyle name="Comma 6 2 2 4 2 7 2" xfId="17262"/>
    <cellStyle name="Comma 6 2 2 4 2 8" xfId="13841"/>
    <cellStyle name="Comma 6 2 2 4 3" xfId="4088"/>
    <cellStyle name="Comma 6 2 2 4 3 2" xfId="11580"/>
    <cellStyle name="Comma 6 2 2 4 3 2 2" xfId="18119"/>
    <cellStyle name="Comma 6 2 2 4 3 3" xfId="15267"/>
    <cellStyle name="Comma 6 2 2 4 4" xfId="6360"/>
    <cellStyle name="Comma 6 2 2 4 4 2" xfId="12151"/>
    <cellStyle name="Comma 6 2 2 4 4 2 2" xfId="18690"/>
    <cellStyle name="Comma 6 2 2 4 4 3" xfId="15838"/>
    <cellStyle name="Comma 6 2 2 4 5" xfId="8632"/>
    <cellStyle name="Comma 6 2 2 4 5 2" xfId="12722"/>
    <cellStyle name="Comma 6 2 2 4 5 2 2" xfId="19261"/>
    <cellStyle name="Comma 6 2 2 4 5 3" xfId="16409"/>
    <cellStyle name="Comma 6 2 2 4 6" xfId="3052"/>
    <cellStyle name="Comma 6 2 2 4 6 2" xfId="11009"/>
    <cellStyle name="Comma 6 2 2 4 6 2 2" xfId="17548"/>
    <cellStyle name="Comma 6 2 2 4 6 3" xfId="14696"/>
    <cellStyle name="Comma 6 2 2 4 7" xfId="2482"/>
    <cellStyle name="Comma 6 2 2 4 7 2" xfId="14130"/>
    <cellStyle name="Comma 6 2 2 4 8" xfId="10443"/>
    <cellStyle name="Comma 6 2 2 4 8 2" xfId="16982"/>
    <cellStyle name="Comma 6 2 2 4 9" xfId="13556"/>
    <cellStyle name="Comma 6 2 2 5" xfId="1349"/>
    <cellStyle name="Comma 6 2 2 5 2" xfId="4769"/>
    <cellStyle name="Comma 6 2 2 5 2 2" xfId="11751"/>
    <cellStyle name="Comma 6 2 2 5 2 2 2" xfId="18290"/>
    <cellStyle name="Comma 6 2 2 5 2 3" xfId="15438"/>
    <cellStyle name="Comma 6 2 2 5 3" xfId="7041"/>
    <cellStyle name="Comma 6 2 2 5 3 2" xfId="12322"/>
    <cellStyle name="Comma 6 2 2 5 3 2 2" xfId="18861"/>
    <cellStyle name="Comma 6 2 2 5 3 3" xfId="16009"/>
    <cellStyle name="Comma 6 2 2 5 4" xfId="9313"/>
    <cellStyle name="Comma 6 2 2 5 4 2" xfId="12893"/>
    <cellStyle name="Comma 6 2 2 5 4 2 2" xfId="19432"/>
    <cellStyle name="Comma 6 2 2 5 4 3" xfId="16580"/>
    <cellStyle name="Comma 6 2 2 5 5" xfId="3223"/>
    <cellStyle name="Comma 6 2 2 5 5 2" xfId="11180"/>
    <cellStyle name="Comma 6 2 2 5 5 2 2" xfId="17719"/>
    <cellStyle name="Comma 6 2 2 5 5 3" xfId="14867"/>
    <cellStyle name="Comma 6 2 2 5 6" xfId="2650"/>
    <cellStyle name="Comma 6 2 2 5 6 2" xfId="14298"/>
    <cellStyle name="Comma 6 2 2 5 7" xfId="10611"/>
    <cellStyle name="Comma 6 2 2 5 7 2" xfId="17150"/>
    <cellStyle name="Comma 6 2 2 5 8" xfId="13727"/>
    <cellStyle name="Comma 6 2 2 6" xfId="3634"/>
    <cellStyle name="Comma 6 2 2 6 2" xfId="11466"/>
    <cellStyle name="Comma 6 2 2 6 2 2" xfId="18005"/>
    <cellStyle name="Comma 6 2 2 6 3" xfId="15153"/>
    <cellStyle name="Comma 6 2 2 7" xfId="5906"/>
    <cellStyle name="Comma 6 2 2 7 2" xfId="12037"/>
    <cellStyle name="Comma 6 2 2 7 2 2" xfId="18576"/>
    <cellStyle name="Comma 6 2 2 7 3" xfId="15724"/>
    <cellStyle name="Comma 6 2 2 8" xfId="8178"/>
    <cellStyle name="Comma 6 2 2 8 2" xfId="12608"/>
    <cellStyle name="Comma 6 2 2 8 2 2" xfId="19147"/>
    <cellStyle name="Comma 6 2 2 8 3" xfId="16295"/>
    <cellStyle name="Comma 6 2 2 9" xfId="2935"/>
    <cellStyle name="Comma 6 2 2 9 2" xfId="10894"/>
    <cellStyle name="Comma 6 2 2 9 2 2" xfId="17433"/>
    <cellStyle name="Comma 6 2 2 9 3" xfId="14581"/>
    <cellStyle name="Comma 6 2 3" xfId="147"/>
    <cellStyle name="Comma 6 2 3 10" xfId="2355"/>
    <cellStyle name="Comma 6 2 3 10 2" xfId="14003"/>
    <cellStyle name="Comma 6 2 3 11" xfId="10316"/>
    <cellStyle name="Comma 6 2 3 11 2" xfId="16855"/>
    <cellStyle name="Comma 6 2 3 12" xfId="13427"/>
    <cellStyle name="Comma 6 2 3 2" xfId="385"/>
    <cellStyle name="Comma 6 2 3 2 10" xfId="13485"/>
    <cellStyle name="Comma 6 2 3 2 2" xfId="839"/>
    <cellStyle name="Comma 6 2 3 2 2 2" xfId="1974"/>
    <cellStyle name="Comma 6 2 3 2 2 2 2" xfId="5394"/>
    <cellStyle name="Comma 6 2 3 2 2 2 2 2" xfId="11908"/>
    <cellStyle name="Comma 6 2 3 2 2 2 2 2 2" xfId="18447"/>
    <cellStyle name="Comma 6 2 3 2 2 2 2 3" xfId="15595"/>
    <cellStyle name="Comma 6 2 3 2 2 2 3" xfId="7666"/>
    <cellStyle name="Comma 6 2 3 2 2 2 3 2" xfId="12479"/>
    <cellStyle name="Comma 6 2 3 2 2 2 3 2 2" xfId="19018"/>
    <cellStyle name="Comma 6 2 3 2 2 2 3 3" xfId="16166"/>
    <cellStyle name="Comma 6 2 3 2 2 2 4" xfId="9938"/>
    <cellStyle name="Comma 6 2 3 2 2 2 4 2" xfId="13050"/>
    <cellStyle name="Comma 6 2 3 2 2 2 4 2 2" xfId="19589"/>
    <cellStyle name="Comma 6 2 3 2 2 2 4 3" xfId="16737"/>
    <cellStyle name="Comma 6 2 3 2 2 2 5" xfId="3380"/>
    <cellStyle name="Comma 6 2 3 2 2 2 5 2" xfId="11337"/>
    <cellStyle name="Comma 6 2 3 2 2 2 5 2 2" xfId="17876"/>
    <cellStyle name="Comma 6 2 3 2 2 2 5 3" xfId="15024"/>
    <cellStyle name="Comma 6 2 3 2 2 2 6" xfId="2804"/>
    <cellStyle name="Comma 6 2 3 2 2 2 6 2" xfId="14452"/>
    <cellStyle name="Comma 6 2 3 2 2 2 7" xfId="10765"/>
    <cellStyle name="Comma 6 2 3 2 2 2 7 2" xfId="17304"/>
    <cellStyle name="Comma 6 2 3 2 2 2 8" xfId="13884"/>
    <cellStyle name="Comma 6 2 3 2 2 3" xfId="4259"/>
    <cellStyle name="Comma 6 2 3 2 2 3 2" xfId="11623"/>
    <cellStyle name="Comma 6 2 3 2 2 3 2 2" xfId="18162"/>
    <cellStyle name="Comma 6 2 3 2 2 3 3" xfId="15310"/>
    <cellStyle name="Comma 6 2 3 2 2 4" xfId="6531"/>
    <cellStyle name="Comma 6 2 3 2 2 4 2" xfId="12194"/>
    <cellStyle name="Comma 6 2 3 2 2 4 2 2" xfId="18733"/>
    <cellStyle name="Comma 6 2 3 2 2 4 3" xfId="15881"/>
    <cellStyle name="Comma 6 2 3 2 2 5" xfId="8803"/>
    <cellStyle name="Comma 6 2 3 2 2 5 2" xfId="12765"/>
    <cellStyle name="Comma 6 2 3 2 2 5 2 2" xfId="19304"/>
    <cellStyle name="Comma 6 2 3 2 2 5 3" xfId="16452"/>
    <cellStyle name="Comma 6 2 3 2 2 6" xfId="3095"/>
    <cellStyle name="Comma 6 2 3 2 2 6 2" xfId="11052"/>
    <cellStyle name="Comma 6 2 3 2 2 6 2 2" xfId="17591"/>
    <cellStyle name="Comma 6 2 3 2 2 6 3" xfId="14739"/>
    <cellStyle name="Comma 6 2 3 2 2 7" xfId="2524"/>
    <cellStyle name="Comma 6 2 3 2 2 7 2" xfId="14172"/>
    <cellStyle name="Comma 6 2 3 2 2 8" xfId="10485"/>
    <cellStyle name="Comma 6 2 3 2 2 8 2" xfId="17024"/>
    <cellStyle name="Comma 6 2 3 2 2 9" xfId="13599"/>
    <cellStyle name="Comma 6 2 3 2 3" xfId="1520"/>
    <cellStyle name="Comma 6 2 3 2 3 2" xfId="4940"/>
    <cellStyle name="Comma 6 2 3 2 3 2 2" xfId="11794"/>
    <cellStyle name="Comma 6 2 3 2 3 2 2 2" xfId="18333"/>
    <cellStyle name="Comma 6 2 3 2 3 2 3" xfId="15481"/>
    <cellStyle name="Comma 6 2 3 2 3 3" xfId="7212"/>
    <cellStyle name="Comma 6 2 3 2 3 3 2" xfId="12365"/>
    <cellStyle name="Comma 6 2 3 2 3 3 2 2" xfId="18904"/>
    <cellStyle name="Comma 6 2 3 2 3 3 3" xfId="16052"/>
    <cellStyle name="Comma 6 2 3 2 3 4" xfId="9484"/>
    <cellStyle name="Comma 6 2 3 2 3 4 2" xfId="12936"/>
    <cellStyle name="Comma 6 2 3 2 3 4 2 2" xfId="19475"/>
    <cellStyle name="Comma 6 2 3 2 3 4 3" xfId="16623"/>
    <cellStyle name="Comma 6 2 3 2 3 5" xfId="3266"/>
    <cellStyle name="Comma 6 2 3 2 3 5 2" xfId="11223"/>
    <cellStyle name="Comma 6 2 3 2 3 5 2 2" xfId="17762"/>
    <cellStyle name="Comma 6 2 3 2 3 5 3" xfId="14910"/>
    <cellStyle name="Comma 6 2 3 2 3 6" xfId="2692"/>
    <cellStyle name="Comma 6 2 3 2 3 6 2" xfId="14340"/>
    <cellStyle name="Comma 6 2 3 2 3 7" xfId="10653"/>
    <cellStyle name="Comma 6 2 3 2 3 7 2" xfId="17192"/>
    <cellStyle name="Comma 6 2 3 2 3 8" xfId="13770"/>
    <cellStyle name="Comma 6 2 3 2 4" xfId="3805"/>
    <cellStyle name="Comma 6 2 3 2 4 2" xfId="11509"/>
    <cellStyle name="Comma 6 2 3 2 4 2 2" xfId="18048"/>
    <cellStyle name="Comma 6 2 3 2 4 3" xfId="15196"/>
    <cellStyle name="Comma 6 2 3 2 5" xfId="6077"/>
    <cellStyle name="Comma 6 2 3 2 5 2" xfId="12080"/>
    <cellStyle name="Comma 6 2 3 2 5 2 2" xfId="18619"/>
    <cellStyle name="Comma 6 2 3 2 5 3" xfId="15767"/>
    <cellStyle name="Comma 6 2 3 2 6" xfId="8349"/>
    <cellStyle name="Comma 6 2 3 2 6 2" xfId="12651"/>
    <cellStyle name="Comma 6 2 3 2 6 2 2" xfId="19190"/>
    <cellStyle name="Comma 6 2 3 2 6 3" xfId="16338"/>
    <cellStyle name="Comma 6 2 3 2 7" xfId="2981"/>
    <cellStyle name="Comma 6 2 3 2 7 2" xfId="10938"/>
    <cellStyle name="Comma 6 2 3 2 7 2 2" xfId="17477"/>
    <cellStyle name="Comma 6 2 3 2 7 3" xfId="14625"/>
    <cellStyle name="Comma 6 2 3 2 8" xfId="2412"/>
    <cellStyle name="Comma 6 2 3 2 8 2" xfId="14060"/>
    <cellStyle name="Comma 6 2 3 2 9" xfId="10373"/>
    <cellStyle name="Comma 6 2 3 2 9 2" xfId="16912"/>
    <cellStyle name="Comma 6 2 3 3" xfId="1066"/>
    <cellStyle name="Comma 6 2 3 3 2" xfId="2201"/>
    <cellStyle name="Comma 6 2 3 3 2 2" xfId="5621"/>
    <cellStyle name="Comma 6 2 3 3 2 2 2" xfId="11965"/>
    <cellStyle name="Comma 6 2 3 3 2 2 2 2" xfId="18504"/>
    <cellStyle name="Comma 6 2 3 3 2 2 3" xfId="15652"/>
    <cellStyle name="Comma 6 2 3 3 2 3" xfId="7893"/>
    <cellStyle name="Comma 6 2 3 3 2 3 2" xfId="12536"/>
    <cellStyle name="Comma 6 2 3 3 2 3 2 2" xfId="19075"/>
    <cellStyle name="Comma 6 2 3 3 2 3 3" xfId="16223"/>
    <cellStyle name="Comma 6 2 3 3 2 4" xfId="10165"/>
    <cellStyle name="Comma 6 2 3 3 2 4 2" xfId="13107"/>
    <cellStyle name="Comma 6 2 3 3 2 4 2 2" xfId="19646"/>
    <cellStyle name="Comma 6 2 3 3 2 4 3" xfId="16794"/>
    <cellStyle name="Comma 6 2 3 3 2 5" xfId="3437"/>
    <cellStyle name="Comma 6 2 3 3 2 5 2" xfId="11394"/>
    <cellStyle name="Comma 6 2 3 3 2 5 2 2" xfId="17933"/>
    <cellStyle name="Comma 6 2 3 3 2 5 3" xfId="15081"/>
    <cellStyle name="Comma 6 2 3 3 2 6" xfId="2860"/>
    <cellStyle name="Comma 6 2 3 3 2 6 2" xfId="14508"/>
    <cellStyle name="Comma 6 2 3 3 2 7" xfId="10821"/>
    <cellStyle name="Comma 6 2 3 3 2 7 2" xfId="17360"/>
    <cellStyle name="Comma 6 2 3 3 2 8" xfId="13941"/>
    <cellStyle name="Comma 6 2 3 3 3" xfId="4486"/>
    <cellStyle name="Comma 6 2 3 3 3 2" xfId="11680"/>
    <cellStyle name="Comma 6 2 3 3 3 2 2" xfId="18219"/>
    <cellStyle name="Comma 6 2 3 3 3 3" xfId="15367"/>
    <cellStyle name="Comma 6 2 3 3 4" xfId="6758"/>
    <cellStyle name="Comma 6 2 3 3 4 2" xfId="12251"/>
    <cellStyle name="Comma 6 2 3 3 4 2 2" xfId="18790"/>
    <cellStyle name="Comma 6 2 3 3 4 3" xfId="15938"/>
    <cellStyle name="Comma 6 2 3 3 5" xfId="9030"/>
    <cellStyle name="Comma 6 2 3 3 5 2" xfId="12822"/>
    <cellStyle name="Comma 6 2 3 3 5 2 2" xfId="19361"/>
    <cellStyle name="Comma 6 2 3 3 5 3" xfId="16509"/>
    <cellStyle name="Comma 6 2 3 3 6" xfId="3152"/>
    <cellStyle name="Comma 6 2 3 3 6 2" xfId="11109"/>
    <cellStyle name="Comma 6 2 3 3 6 2 2" xfId="17648"/>
    <cellStyle name="Comma 6 2 3 3 6 3" xfId="14796"/>
    <cellStyle name="Comma 6 2 3 3 7" xfId="2580"/>
    <cellStyle name="Comma 6 2 3 3 7 2" xfId="14228"/>
    <cellStyle name="Comma 6 2 3 3 8" xfId="10541"/>
    <cellStyle name="Comma 6 2 3 3 8 2" xfId="17080"/>
    <cellStyle name="Comma 6 2 3 3 9" xfId="13656"/>
    <cellStyle name="Comma 6 2 3 4" xfId="612"/>
    <cellStyle name="Comma 6 2 3 4 2" xfId="1747"/>
    <cellStyle name="Comma 6 2 3 4 2 2" xfId="5167"/>
    <cellStyle name="Comma 6 2 3 4 2 2 2" xfId="11851"/>
    <cellStyle name="Comma 6 2 3 4 2 2 2 2" xfId="18390"/>
    <cellStyle name="Comma 6 2 3 4 2 2 3" xfId="15538"/>
    <cellStyle name="Comma 6 2 3 4 2 3" xfId="7439"/>
    <cellStyle name="Comma 6 2 3 4 2 3 2" xfId="12422"/>
    <cellStyle name="Comma 6 2 3 4 2 3 2 2" xfId="18961"/>
    <cellStyle name="Comma 6 2 3 4 2 3 3" xfId="16109"/>
    <cellStyle name="Comma 6 2 3 4 2 4" xfId="9711"/>
    <cellStyle name="Comma 6 2 3 4 2 4 2" xfId="12993"/>
    <cellStyle name="Comma 6 2 3 4 2 4 2 2" xfId="19532"/>
    <cellStyle name="Comma 6 2 3 4 2 4 3" xfId="16680"/>
    <cellStyle name="Comma 6 2 3 4 2 5" xfId="3323"/>
    <cellStyle name="Comma 6 2 3 4 2 5 2" xfId="11280"/>
    <cellStyle name="Comma 6 2 3 4 2 5 2 2" xfId="17819"/>
    <cellStyle name="Comma 6 2 3 4 2 5 3" xfId="14967"/>
    <cellStyle name="Comma 6 2 3 4 2 6" xfId="2748"/>
    <cellStyle name="Comma 6 2 3 4 2 6 2" xfId="14396"/>
    <cellStyle name="Comma 6 2 3 4 2 7" xfId="10709"/>
    <cellStyle name="Comma 6 2 3 4 2 7 2" xfId="17248"/>
    <cellStyle name="Comma 6 2 3 4 2 8" xfId="13827"/>
    <cellStyle name="Comma 6 2 3 4 3" xfId="4032"/>
    <cellStyle name="Comma 6 2 3 4 3 2" xfId="11566"/>
    <cellStyle name="Comma 6 2 3 4 3 2 2" xfId="18105"/>
    <cellStyle name="Comma 6 2 3 4 3 3" xfId="15253"/>
    <cellStyle name="Comma 6 2 3 4 4" xfId="6304"/>
    <cellStyle name="Comma 6 2 3 4 4 2" xfId="12137"/>
    <cellStyle name="Comma 6 2 3 4 4 2 2" xfId="18676"/>
    <cellStyle name="Comma 6 2 3 4 4 3" xfId="15824"/>
    <cellStyle name="Comma 6 2 3 4 5" xfId="8576"/>
    <cellStyle name="Comma 6 2 3 4 5 2" xfId="12708"/>
    <cellStyle name="Comma 6 2 3 4 5 2 2" xfId="19247"/>
    <cellStyle name="Comma 6 2 3 4 5 3" xfId="16395"/>
    <cellStyle name="Comma 6 2 3 4 6" xfId="3038"/>
    <cellStyle name="Comma 6 2 3 4 6 2" xfId="10995"/>
    <cellStyle name="Comma 6 2 3 4 6 2 2" xfId="17534"/>
    <cellStyle name="Comma 6 2 3 4 6 3" xfId="14682"/>
    <cellStyle name="Comma 6 2 3 4 7" xfId="2468"/>
    <cellStyle name="Comma 6 2 3 4 7 2" xfId="14116"/>
    <cellStyle name="Comma 6 2 3 4 8" xfId="10429"/>
    <cellStyle name="Comma 6 2 3 4 8 2" xfId="16968"/>
    <cellStyle name="Comma 6 2 3 4 9" xfId="13542"/>
    <cellStyle name="Comma 6 2 3 5" xfId="1293"/>
    <cellStyle name="Comma 6 2 3 5 2" xfId="4713"/>
    <cellStyle name="Comma 6 2 3 5 2 2" xfId="11737"/>
    <cellStyle name="Comma 6 2 3 5 2 2 2" xfId="18276"/>
    <cellStyle name="Comma 6 2 3 5 2 3" xfId="15424"/>
    <cellStyle name="Comma 6 2 3 5 3" xfId="6985"/>
    <cellStyle name="Comma 6 2 3 5 3 2" xfId="12308"/>
    <cellStyle name="Comma 6 2 3 5 3 2 2" xfId="18847"/>
    <cellStyle name="Comma 6 2 3 5 3 3" xfId="15995"/>
    <cellStyle name="Comma 6 2 3 5 4" xfId="9257"/>
    <cellStyle name="Comma 6 2 3 5 4 2" xfId="12879"/>
    <cellStyle name="Comma 6 2 3 5 4 2 2" xfId="19418"/>
    <cellStyle name="Comma 6 2 3 5 4 3" xfId="16566"/>
    <cellStyle name="Comma 6 2 3 5 5" xfId="3209"/>
    <cellStyle name="Comma 6 2 3 5 5 2" xfId="11166"/>
    <cellStyle name="Comma 6 2 3 5 5 2 2" xfId="17705"/>
    <cellStyle name="Comma 6 2 3 5 5 3" xfId="14853"/>
    <cellStyle name="Comma 6 2 3 5 6" xfId="2636"/>
    <cellStyle name="Comma 6 2 3 5 6 2" xfId="14284"/>
    <cellStyle name="Comma 6 2 3 5 7" xfId="10597"/>
    <cellStyle name="Comma 6 2 3 5 7 2" xfId="17136"/>
    <cellStyle name="Comma 6 2 3 5 8" xfId="13713"/>
    <cellStyle name="Comma 6 2 3 6" xfId="3578"/>
    <cellStyle name="Comma 6 2 3 6 2" xfId="11452"/>
    <cellStyle name="Comma 6 2 3 6 2 2" xfId="17991"/>
    <cellStyle name="Comma 6 2 3 6 3" xfId="15139"/>
    <cellStyle name="Comma 6 2 3 7" xfId="5850"/>
    <cellStyle name="Comma 6 2 3 7 2" xfId="12023"/>
    <cellStyle name="Comma 6 2 3 7 2 2" xfId="18562"/>
    <cellStyle name="Comma 6 2 3 7 3" xfId="15710"/>
    <cellStyle name="Comma 6 2 3 8" xfId="8122"/>
    <cellStyle name="Comma 6 2 3 8 2" xfId="12594"/>
    <cellStyle name="Comma 6 2 3 8 2 2" xfId="19133"/>
    <cellStyle name="Comma 6 2 3 8 3" xfId="16281"/>
    <cellStyle name="Comma 6 2 3 9" xfId="2921"/>
    <cellStyle name="Comma 6 2 3 9 2" xfId="10880"/>
    <cellStyle name="Comma 6 2 3 9 2 2" xfId="17419"/>
    <cellStyle name="Comma 6 2 3 9 3" xfId="14567"/>
    <cellStyle name="Comma 6 2 4" xfId="273"/>
    <cellStyle name="Comma 6 2 4 10" xfId="2384"/>
    <cellStyle name="Comma 6 2 4 10 2" xfId="14032"/>
    <cellStyle name="Comma 6 2 4 11" xfId="10345"/>
    <cellStyle name="Comma 6 2 4 11 2" xfId="16884"/>
    <cellStyle name="Comma 6 2 4 12" xfId="13457"/>
    <cellStyle name="Comma 6 2 4 2" xfId="500"/>
    <cellStyle name="Comma 6 2 4 2 10" xfId="13514"/>
    <cellStyle name="Comma 6 2 4 2 2" xfId="954"/>
    <cellStyle name="Comma 6 2 4 2 2 2" xfId="2089"/>
    <cellStyle name="Comma 6 2 4 2 2 2 2" xfId="5509"/>
    <cellStyle name="Comma 6 2 4 2 2 2 2 2" xfId="11937"/>
    <cellStyle name="Comma 6 2 4 2 2 2 2 2 2" xfId="18476"/>
    <cellStyle name="Comma 6 2 4 2 2 2 2 3" xfId="15624"/>
    <cellStyle name="Comma 6 2 4 2 2 2 3" xfId="7781"/>
    <cellStyle name="Comma 6 2 4 2 2 2 3 2" xfId="12508"/>
    <cellStyle name="Comma 6 2 4 2 2 2 3 2 2" xfId="19047"/>
    <cellStyle name="Comma 6 2 4 2 2 2 3 3" xfId="16195"/>
    <cellStyle name="Comma 6 2 4 2 2 2 4" xfId="10053"/>
    <cellStyle name="Comma 6 2 4 2 2 2 4 2" xfId="13079"/>
    <cellStyle name="Comma 6 2 4 2 2 2 4 2 2" xfId="19618"/>
    <cellStyle name="Comma 6 2 4 2 2 2 4 3" xfId="16766"/>
    <cellStyle name="Comma 6 2 4 2 2 2 5" xfId="3409"/>
    <cellStyle name="Comma 6 2 4 2 2 2 5 2" xfId="11366"/>
    <cellStyle name="Comma 6 2 4 2 2 2 5 2 2" xfId="17905"/>
    <cellStyle name="Comma 6 2 4 2 2 2 5 3" xfId="15053"/>
    <cellStyle name="Comma 6 2 4 2 2 2 6" xfId="2832"/>
    <cellStyle name="Comma 6 2 4 2 2 2 6 2" xfId="14480"/>
    <cellStyle name="Comma 6 2 4 2 2 2 7" xfId="10793"/>
    <cellStyle name="Comma 6 2 4 2 2 2 7 2" xfId="17332"/>
    <cellStyle name="Comma 6 2 4 2 2 2 8" xfId="13913"/>
    <cellStyle name="Comma 6 2 4 2 2 3" xfId="4374"/>
    <cellStyle name="Comma 6 2 4 2 2 3 2" xfId="11652"/>
    <cellStyle name="Comma 6 2 4 2 2 3 2 2" xfId="18191"/>
    <cellStyle name="Comma 6 2 4 2 2 3 3" xfId="15339"/>
    <cellStyle name="Comma 6 2 4 2 2 4" xfId="6646"/>
    <cellStyle name="Comma 6 2 4 2 2 4 2" xfId="12223"/>
    <cellStyle name="Comma 6 2 4 2 2 4 2 2" xfId="18762"/>
    <cellStyle name="Comma 6 2 4 2 2 4 3" xfId="15910"/>
    <cellStyle name="Comma 6 2 4 2 2 5" xfId="8918"/>
    <cellStyle name="Comma 6 2 4 2 2 5 2" xfId="12794"/>
    <cellStyle name="Comma 6 2 4 2 2 5 2 2" xfId="19333"/>
    <cellStyle name="Comma 6 2 4 2 2 5 3" xfId="16481"/>
    <cellStyle name="Comma 6 2 4 2 2 6" xfId="3124"/>
    <cellStyle name="Comma 6 2 4 2 2 6 2" xfId="11081"/>
    <cellStyle name="Comma 6 2 4 2 2 6 2 2" xfId="17620"/>
    <cellStyle name="Comma 6 2 4 2 2 6 3" xfId="14768"/>
    <cellStyle name="Comma 6 2 4 2 2 7" xfId="2552"/>
    <cellStyle name="Comma 6 2 4 2 2 7 2" xfId="14200"/>
    <cellStyle name="Comma 6 2 4 2 2 8" xfId="10513"/>
    <cellStyle name="Comma 6 2 4 2 2 8 2" xfId="17052"/>
    <cellStyle name="Comma 6 2 4 2 2 9" xfId="13628"/>
    <cellStyle name="Comma 6 2 4 2 3" xfId="1635"/>
    <cellStyle name="Comma 6 2 4 2 3 2" xfId="5055"/>
    <cellStyle name="Comma 6 2 4 2 3 2 2" xfId="11823"/>
    <cellStyle name="Comma 6 2 4 2 3 2 2 2" xfId="18362"/>
    <cellStyle name="Comma 6 2 4 2 3 2 3" xfId="15510"/>
    <cellStyle name="Comma 6 2 4 2 3 3" xfId="7327"/>
    <cellStyle name="Comma 6 2 4 2 3 3 2" xfId="12394"/>
    <cellStyle name="Comma 6 2 4 2 3 3 2 2" xfId="18933"/>
    <cellStyle name="Comma 6 2 4 2 3 3 3" xfId="16081"/>
    <cellStyle name="Comma 6 2 4 2 3 4" xfId="9599"/>
    <cellStyle name="Comma 6 2 4 2 3 4 2" xfId="12965"/>
    <cellStyle name="Comma 6 2 4 2 3 4 2 2" xfId="19504"/>
    <cellStyle name="Comma 6 2 4 2 3 4 3" xfId="16652"/>
    <cellStyle name="Comma 6 2 4 2 3 5" xfId="3295"/>
    <cellStyle name="Comma 6 2 4 2 3 5 2" xfId="11252"/>
    <cellStyle name="Comma 6 2 4 2 3 5 2 2" xfId="17791"/>
    <cellStyle name="Comma 6 2 4 2 3 5 3" xfId="14939"/>
    <cellStyle name="Comma 6 2 4 2 3 6" xfId="2720"/>
    <cellStyle name="Comma 6 2 4 2 3 6 2" xfId="14368"/>
    <cellStyle name="Comma 6 2 4 2 3 7" xfId="10681"/>
    <cellStyle name="Comma 6 2 4 2 3 7 2" xfId="17220"/>
    <cellStyle name="Comma 6 2 4 2 3 8" xfId="13799"/>
    <cellStyle name="Comma 6 2 4 2 4" xfId="3920"/>
    <cellStyle name="Comma 6 2 4 2 4 2" xfId="11538"/>
    <cellStyle name="Comma 6 2 4 2 4 2 2" xfId="18077"/>
    <cellStyle name="Comma 6 2 4 2 4 3" xfId="15225"/>
    <cellStyle name="Comma 6 2 4 2 5" xfId="6192"/>
    <cellStyle name="Comma 6 2 4 2 5 2" xfId="12109"/>
    <cellStyle name="Comma 6 2 4 2 5 2 2" xfId="18648"/>
    <cellStyle name="Comma 6 2 4 2 5 3" xfId="15796"/>
    <cellStyle name="Comma 6 2 4 2 6" xfId="8464"/>
    <cellStyle name="Comma 6 2 4 2 6 2" xfId="12680"/>
    <cellStyle name="Comma 6 2 4 2 6 2 2" xfId="19219"/>
    <cellStyle name="Comma 6 2 4 2 6 3" xfId="16367"/>
    <cellStyle name="Comma 6 2 4 2 7" xfId="3010"/>
    <cellStyle name="Comma 6 2 4 2 7 2" xfId="10967"/>
    <cellStyle name="Comma 6 2 4 2 7 2 2" xfId="17506"/>
    <cellStyle name="Comma 6 2 4 2 7 3" xfId="14654"/>
    <cellStyle name="Comma 6 2 4 2 8" xfId="2440"/>
    <cellStyle name="Comma 6 2 4 2 8 2" xfId="14088"/>
    <cellStyle name="Comma 6 2 4 2 9" xfId="10401"/>
    <cellStyle name="Comma 6 2 4 2 9 2" xfId="16940"/>
    <cellStyle name="Comma 6 2 4 3" xfId="1181"/>
    <cellStyle name="Comma 6 2 4 3 2" xfId="2316"/>
    <cellStyle name="Comma 6 2 4 3 2 2" xfId="5736"/>
    <cellStyle name="Comma 6 2 4 3 2 2 2" xfId="11994"/>
    <cellStyle name="Comma 6 2 4 3 2 2 2 2" xfId="18533"/>
    <cellStyle name="Comma 6 2 4 3 2 2 3" xfId="15681"/>
    <cellStyle name="Comma 6 2 4 3 2 3" xfId="8008"/>
    <cellStyle name="Comma 6 2 4 3 2 3 2" xfId="12565"/>
    <cellStyle name="Comma 6 2 4 3 2 3 2 2" xfId="19104"/>
    <cellStyle name="Comma 6 2 4 3 2 3 3" xfId="16252"/>
    <cellStyle name="Comma 6 2 4 3 2 4" xfId="10280"/>
    <cellStyle name="Comma 6 2 4 3 2 4 2" xfId="13136"/>
    <cellStyle name="Comma 6 2 4 3 2 4 2 2" xfId="19675"/>
    <cellStyle name="Comma 6 2 4 3 2 4 3" xfId="16823"/>
    <cellStyle name="Comma 6 2 4 3 2 5" xfId="3466"/>
    <cellStyle name="Comma 6 2 4 3 2 5 2" xfId="11423"/>
    <cellStyle name="Comma 6 2 4 3 2 5 2 2" xfId="17962"/>
    <cellStyle name="Comma 6 2 4 3 2 5 3" xfId="15110"/>
    <cellStyle name="Comma 6 2 4 3 2 6" xfId="2888"/>
    <cellStyle name="Comma 6 2 4 3 2 6 2" xfId="14536"/>
    <cellStyle name="Comma 6 2 4 3 2 7" xfId="10849"/>
    <cellStyle name="Comma 6 2 4 3 2 7 2" xfId="17388"/>
    <cellStyle name="Comma 6 2 4 3 2 8" xfId="13970"/>
    <cellStyle name="Comma 6 2 4 3 3" xfId="4601"/>
    <cellStyle name="Comma 6 2 4 3 3 2" xfId="11709"/>
    <cellStyle name="Comma 6 2 4 3 3 2 2" xfId="18248"/>
    <cellStyle name="Comma 6 2 4 3 3 3" xfId="15396"/>
    <cellStyle name="Comma 6 2 4 3 4" xfId="6873"/>
    <cellStyle name="Comma 6 2 4 3 4 2" xfId="12280"/>
    <cellStyle name="Comma 6 2 4 3 4 2 2" xfId="18819"/>
    <cellStyle name="Comma 6 2 4 3 4 3" xfId="15967"/>
    <cellStyle name="Comma 6 2 4 3 5" xfId="9145"/>
    <cellStyle name="Comma 6 2 4 3 5 2" xfId="12851"/>
    <cellStyle name="Comma 6 2 4 3 5 2 2" xfId="19390"/>
    <cellStyle name="Comma 6 2 4 3 5 3" xfId="16538"/>
    <cellStyle name="Comma 6 2 4 3 6" xfId="3181"/>
    <cellStyle name="Comma 6 2 4 3 6 2" xfId="11138"/>
    <cellStyle name="Comma 6 2 4 3 6 2 2" xfId="17677"/>
    <cellStyle name="Comma 6 2 4 3 6 3" xfId="14825"/>
    <cellStyle name="Comma 6 2 4 3 7" xfId="2608"/>
    <cellStyle name="Comma 6 2 4 3 7 2" xfId="14256"/>
    <cellStyle name="Comma 6 2 4 3 8" xfId="10569"/>
    <cellStyle name="Comma 6 2 4 3 8 2" xfId="17108"/>
    <cellStyle name="Comma 6 2 4 3 9" xfId="13685"/>
    <cellStyle name="Comma 6 2 4 4" xfId="727"/>
    <cellStyle name="Comma 6 2 4 4 2" xfId="1862"/>
    <cellStyle name="Comma 6 2 4 4 2 2" xfId="5282"/>
    <cellStyle name="Comma 6 2 4 4 2 2 2" xfId="11880"/>
    <cellStyle name="Comma 6 2 4 4 2 2 2 2" xfId="18419"/>
    <cellStyle name="Comma 6 2 4 4 2 2 3" xfId="15567"/>
    <cellStyle name="Comma 6 2 4 4 2 3" xfId="7554"/>
    <cellStyle name="Comma 6 2 4 4 2 3 2" xfId="12451"/>
    <cellStyle name="Comma 6 2 4 4 2 3 2 2" xfId="18990"/>
    <cellStyle name="Comma 6 2 4 4 2 3 3" xfId="16138"/>
    <cellStyle name="Comma 6 2 4 4 2 4" xfId="9826"/>
    <cellStyle name="Comma 6 2 4 4 2 4 2" xfId="13022"/>
    <cellStyle name="Comma 6 2 4 4 2 4 2 2" xfId="19561"/>
    <cellStyle name="Comma 6 2 4 4 2 4 3" xfId="16709"/>
    <cellStyle name="Comma 6 2 4 4 2 5" xfId="3352"/>
    <cellStyle name="Comma 6 2 4 4 2 5 2" xfId="11309"/>
    <cellStyle name="Comma 6 2 4 4 2 5 2 2" xfId="17848"/>
    <cellStyle name="Comma 6 2 4 4 2 5 3" xfId="14996"/>
    <cellStyle name="Comma 6 2 4 4 2 6" xfId="2776"/>
    <cellStyle name="Comma 6 2 4 4 2 6 2" xfId="14424"/>
    <cellStyle name="Comma 6 2 4 4 2 7" xfId="10737"/>
    <cellStyle name="Comma 6 2 4 4 2 7 2" xfId="17276"/>
    <cellStyle name="Comma 6 2 4 4 2 8" xfId="13856"/>
    <cellStyle name="Comma 6 2 4 4 3" xfId="4147"/>
    <cellStyle name="Comma 6 2 4 4 3 2" xfId="11595"/>
    <cellStyle name="Comma 6 2 4 4 3 2 2" xfId="18134"/>
    <cellStyle name="Comma 6 2 4 4 3 3" xfId="15282"/>
    <cellStyle name="Comma 6 2 4 4 4" xfId="6419"/>
    <cellStyle name="Comma 6 2 4 4 4 2" xfId="12166"/>
    <cellStyle name="Comma 6 2 4 4 4 2 2" xfId="18705"/>
    <cellStyle name="Comma 6 2 4 4 4 3" xfId="15853"/>
    <cellStyle name="Comma 6 2 4 4 5" xfId="8691"/>
    <cellStyle name="Comma 6 2 4 4 5 2" xfId="12737"/>
    <cellStyle name="Comma 6 2 4 4 5 2 2" xfId="19276"/>
    <cellStyle name="Comma 6 2 4 4 5 3" xfId="16424"/>
    <cellStyle name="Comma 6 2 4 4 6" xfId="3067"/>
    <cellStyle name="Comma 6 2 4 4 6 2" xfId="11024"/>
    <cellStyle name="Comma 6 2 4 4 6 2 2" xfId="17563"/>
    <cellStyle name="Comma 6 2 4 4 6 3" xfId="14711"/>
    <cellStyle name="Comma 6 2 4 4 7" xfId="2496"/>
    <cellStyle name="Comma 6 2 4 4 7 2" xfId="14144"/>
    <cellStyle name="Comma 6 2 4 4 8" xfId="10457"/>
    <cellStyle name="Comma 6 2 4 4 8 2" xfId="16996"/>
    <cellStyle name="Comma 6 2 4 4 9" xfId="13571"/>
    <cellStyle name="Comma 6 2 4 5" xfId="1408"/>
    <cellStyle name="Comma 6 2 4 5 2" xfId="4828"/>
    <cellStyle name="Comma 6 2 4 5 2 2" xfId="11766"/>
    <cellStyle name="Comma 6 2 4 5 2 2 2" xfId="18305"/>
    <cellStyle name="Comma 6 2 4 5 2 3" xfId="15453"/>
    <cellStyle name="Comma 6 2 4 5 3" xfId="7100"/>
    <cellStyle name="Comma 6 2 4 5 3 2" xfId="12337"/>
    <cellStyle name="Comma 6 2 4 5 3 2 2" xfId="18876"/>
    <cellStyle name="Comma 6 2 4 5 3 3" xfId="16024"/>
    <cellStyle name="Comma 6 2 4 5 4" xfId="9372"/>
    <cellStyle name="Comma 6 2 4 5 4 2" xfId="12908"/>
    <cellStyle name="Comma 6 2 4 5 4 2 2" xfId="19447"/>
    <cellStyle name="Comma 6 2 4 5 4 3" xfId="16595"/>
    <cellStyle name="Comma 6 2 4 5 5" xfId="3238"/>
    <cellStyle name="Comma 6 2 4 5 5 2" xfId="11195"/>
    <cellStyle name="Comma 6 2 4 5 5 2 2" xfId="17734"/>
    <cellStyle name="Comma 6 2 4 5 5 3" xfId="14882"/>
    <cellStyle name="Comma 6 2 4 5 6" xfId="2664"/>
    <cellStyle name="Comma 6 2 4 5 6 2" xfId="14312"/>
    <cellStyle name="Comma 6 2 4 5 7" xfId="10625"/>
    <cellStyle name="Comma 6 2 4 5 7 2" xfId="17164"/>
    <cellStyle name="Comma 6 2 4 5 8" xfId="13742"/>
    <cellStyle name="Comma 6 2 4 6" xfId="3693"/>
    <cellStyle name="Comma 6 2 4 6 2" xfId="11481"/>
    <cellStyle name="Comma 6 2 4 6 2 2" xfId="18020"/>
    <cellStyle name="Comma 6 2 4 6 3" xfId="15168"/>
    <cellStyle name="Comma 6 2 4 7" xfId="5965"/>
    <cellStyle name="Comma 6 2 4 7 2" xfId="12052"/>
    <cellStyle name="Comma 6 2 4 7 2 2" xfId="18591"/>
    <cellStyle name="Comma 6 2 4 7 3" xfId="15739"/>
    <cellStyle name="Comma 6 2 4 8" xfId="8237"/>
    <cellStyle name="Comma 6 2 4 8 2" xfId="12623"/>
    <cellStyle name="Comma 6 2 4 8 2 2" xfId="19162"/>
    <cellStyle name="Comma 6 2 4 8 3" xfId="16310"/>
    <cellStyle name="Comma 6 2 4 9" xfId="2953"/>
    <cellStyle name="Comma 6 2 4 9 2" xfId="10910"/>
    <cellStyle name="Comma 6 2 4 9 2 2" xfId="17449"/>
    <cellStyle name="Comma 6 2 4 9 3" xfId="14597"/>
    <cellStyle name="Comma 6 2 5" xfId="329"/>
    <cellStyle name="Comma 6 2 5 10" xfId="13471"/>
    <cellStyle name="Comma 6 2 5 2" xfId="783"/>
    <cellStyle name="Comma 6 2 5 2 2" xfId="1918"/>
    <cellStyle name="Comma 6 2 5 2 2 2" xfId="5338"/>
    <cellStyle name="Comma 6 2 5 2 2 2 2" xfId="11894"/>
    <cellStyle name="Comma 6 2 5 2 2 2 2 2" xfId="18433"/>
    <cellStyle name="Comma 6 2 5 2 2 2 3" xfId="15581"/>
    <cellStyle name="Comma 6 2 5 2 2 3" xfId="7610"/>
    <cellStyle name="Comma 6 2 5 2 2 3 2" xfId="12465"/>
    <cellStyle name="Comma 6 2 5 2 2 3 2 2" xfId="19004"/>
    <cellStyle name="Comma 6 2 5 2 2 3 3" xfId="16152"/>
    <cellStyle name="Comma 6 2 5 2 2 4" xfId="9882"/>
    <cellStyle name="Comma 6 2 5 2 2 4 2" xfId="13036"/>
    <cellStyle name="Comma 6 2 5 2 2 4 2 2" xfId="19575"/>
    <cellStyle name="Comma 6 2 5 2 2 4 3" xfId="16723"/>
    <cellStyle name="Comma 6 2 5 2 2 5" xfId="3366"/>
    <cellStyle name="Comma 6 2 5 2 2 5 2" xfId="11323"/>
    <cellStyle name="Comma 6 2 5 2 2 5 2 2" xfId="17862"/>
    <cellStyle name="Comma 6 2 5 2 2 5 3" xfId="15010"/>
    <cellStyle name="Comma 6 2 5 2 2 6" xfId="2790"/>
    <cellStyle name="Comma 6 2 5 2 2 6 2" xfId="14438"/>
    <cellStyle name="Comma 6 2 5 2 2 7" xfId="10751"/>
    <cellStyle name="Comma 6 2 5 2 2 7 2" xfId="17290"/>
    <cellStyle name="Comma 6 2 5 2 2 8" xfId="13870"/>
    <cellStyle name="Comma 6 2 5 2 3" xfId="4203"/>
    <cellStyle name="Comma 6 2 5 2 3 2" xfId="11609"/>
    <cellStyle name="Comma 6 2 5 2 3 2 2" xfId="18148"/>
    <cellStyle name="Comma 6 2 5 2 3 3" xfId="15296"/>
    <cellStyle name="Comma 6 2 5 2 4" xfId="6475"/>
    <cellStyle name="Comma 6 2 5 2 4 2" xfId="12180"/>
    <cellStyle name="Comma 6 2 5 2 4 2 2" xfId="18719"/>
    <cellStyle name="Comma 6 2 5 2 4 3" xfId="15867"/>
    <cellStyle name="Comma 6 2 5 2 5" xfId="8747"/>
    <cellStyle name="Comma 6 2 5 2 5 2" xfId="12751"/>
    <cellStyle name="Comma 6 2 5 2 5 2 2" xfId="19290"/>
    <cellStyle name="Comma 6 2 5 2 5 3" xfId="16438"/>
    <cellStyle name="Comma 6 2 5 2 6" xfId="3081"/>
    <cellStyle name="Comma 6 2 5 2 6 2" xfId="11038"/>
    <cellStyle name="Comma 6 2 5 2 6 2 2" xfId="17577"/>
    <cellStyle name="Comma 6 2 5 2 6 3" xfId="14725"/>
    <cellStyle name="Comma 6 2 5 2 7" xfId="2510"/>
    <cellStyle name="Comma 6 2 5 2 7 2" xfId="14158"/>
    <cellStyle name="Comma 6 2 5 2 8" xfId="10471"/>
    <cellStyle name="Comma 6 2 5 2 8 2" xfId="17010"/>
    <cellStyle name="Comma 6 2 5 2 9" xfId="13585"/>
    <cellStyle name="Comma 6 2 5 3" xfId="1464"/>
    <cellStyle name="Comma 6 2 5 3 2" xfId="4884"/>
    <cellStyle name="Comma 6 2 5 3 2 2" xfId="11780"/>
    <cellStyle name="Comma 6 2 5 3 2 2 2" xfId="18319"/>
    <cellStyle name="Comma 6 2 5 3 2 3" xfId="15467"/>
    <cellStyle name="Comma 6 2 5 3 3" xfId="7156"/>
    <cellStyle name="Comma 6 2 5 3 3 2" xfId="12351"/>
    <cellStyle name="Comma 6 2 5 3 3 2 2" xfId="18890"/>
    <cellStyle name="Comma 6 2 5 3 3 3" xfId="16038"/>
    <cellStyle name="Comma 6 2 5 3 4" xfId="9428"/>
    <cellStyle name="Comma 6 2 5 3 4 2" xfId="12922"/>
    <cellStyle name="Comma 6 2 5 3 4 2 2" xfId="19461"/>
    <cellStyle name="Comma 6 2 5 3 4 3" xfId="16609"/>
    <cellStyle name="Comma 6 2 5 3 5" xfId="3252"/>
    <cellStyle name="Comma 6 2 5 3 5 2" xfId="11209"/>
    <cellStyle name="Comma 6 2 5 3 5 2 2" xfId="17748"/>
    <cellStyle name="Comma 6 2 5 3 5 3" xfId="14896"/>
    <cellStyle name="Comma 6 2 5 3 6" xfId="2678"/>
    <cellStyle name="Comma 6 2 5 3 6 2" xfId="14326"/>
    <cellStyle name="Comma 6 2 5 3 7" xfId="10639"/>
    <cellStyle name="Comma 6 2 5 3 7 2" xfId="17178"/>
    <cellStyle name="Comma 6 2 5 3 8" xfId="13756"/>
    <cellStyle name="Comma 6 2 5 4" xfId="3749"/>
    <cellStyle name="Comma 6 2 5 4 2" xfId="11495"/>
    <cellStyle name="Comma 6 2 5 4 2 2" xfId="18034"/>
    <cellStyle name="Comma 6 2 5 4 3" xfId="15182"/>
    <cellStyle name="Comma 6 2 5 5" xfId="6021"/>
    <cellStyle name="Comma 6 2 5 5 2" xfId="12066"/>
    <cellStyle name="Comma 6 2 5 5 2 2" xfId="18605"/>
    <cellStyle name="Comma 6 2 5 5 3" xfId="15753"/>
    <cellStyle name="Comma 6 2 5 6" xfId="8293"/>
    <cellStyle name="Comma 6 2 5 6 2" xfId="12637"/>
    <cellStyle name="Comma 6 2 5 6 2 2" xfId="19176"/>
    <cellStyle name="Comma 6 2 5 6 3" xfId="16324"/>
    <cellStyle name="Comma 6 2 5 7" xfId="2967"/>
    <cellStyle name="Comma 6 2 5 7 2" xfId="10924"/>
    <cellStyle name="Comma 6 2 5 7 2 2" xfId="17463"/>
    <cellStyle name="Comma 6 2 5 7 3" xfId="14611"/>
    <cellStyle name="Comma 6 2 5 8" xfId="2398"/>
    <cellStyle name="Comma 6 2 5 8 2" xfId="14046"/>
    <cellStyle name="Comma 6 2 5 9" xfId="10359"/>
    <cellStyle name="Comma 6 2 5 9 2" xfId="16898"/>
    <cellStyle name="Comma 6 2 6" xfId="1010"/>
    <cellStyle name="Comma 6 2 6 2" xfId="2145"/>
    <cellStyle name="Comma 6 2 6 2 2" xfId="5565"/>
    <cellStyle name="Comma 6 2 6 2 2 2" xfId="11951"/>
    <cellStyle name="Comma 6 2 6 2 2 2 2" xfId="18490"/>
    <cellStyle name="Comma 6 2 6 2 2 3" xfId="15638"/>
    <cellStyle name="Comma 6 2 6 2 3" xfId="7837"/>
    <cellStyle name="Comma 6 2 6 2 3 2" xfId="12522"/>
    <cellStyle name="Comma 6 2 6 2 3 2 2" xfId="19061"/>
    <cellStyle name="Comma 6 2 6 2 3 3" xfId="16209"/>
    <cellStyle name="Comma 6 2 6 2 4" xfId="10109"/>
    <cellStyle name="Comma 6 2 6 2 4 2" xfId="13093"/>
    <cellStyle name="Comma 6 2 6 2 4 2 2" xfId="19632"/>
    <cellStyle name="Comma 6 2 6 2 4 3" xfId="16780"/>
    <cellStyle name="Comma 6 2 6 2 5" xfId="3423"/>
    <cellStyle name="Comma 6 2 6 2 5 2" xfId="11380"/>
    <cellStyle name="Comma 6 2 6 2 5 2 2" xfId="17919"/>
    <cellStyle name="Comma 6 2 6 2 5 3" xfId="15067"/>
    <cellStyle name="Comma 6 2 6 2 6" xfId="2846"/>
    <cellStyle name="Comma 6 2 6 2 6 2" xfId="14494"/>
    <cellStyle name="Comma 6 2 6 2 7" xfId="10807"/>
    <cellStyle name="Comma 6 2 6 2 7 2" xfId="17346"/>
    <cellStyle name="Comma 6 2 6 2 8" xfId="13927"/>
    <cellStyle name="Comma 6 2 6 3" xfId="4430"/>
    <cellStyle name="Comma 6 2 6 3 2" xfId="11666"/>
    <cellStyle name="Comma 6 2 6 3 2 2" xfId="18205"/>
    <cellStyle name="Comma 6 2 6 3 3" xfId="15353"/>
    <cellStyle name="Comma 6 2 6 4" xfId="6702"/>
    <cellStyle name="Comma 6 2 6 4 2" xfId="12237"/>
    <cellStyle name="Comma 6 2 6 4 2 2" xfId="18776"/>
    <cellStyle name="Comma 6 2 6 4 3" xfId="15924"/>
    <cellStyle name="Comma 6 2 6 5" xfId="8974"/>
    <cellStyle name="Comma 6 2 6 5 2" xfId="12808"/>
    <cellStyle name="Comma 6 2 6 5 2 2" xfId="19347"/>
    <cellStyle name="Comma 6 2 6 5 3" xfId="16495"/>
    <cellStyle name="Comma 6 2 6 6" xfId="3138"/>
    <cellStyle name="Comma 6 2 6 6 2" xfId="11095"/>
    <cellStyle name="Comma 6 2 6 6 2 2" xfId="17634"/>
    <cellStyle name="Comma 6 2 6 6 3" xfId="14782"/>
    <cellStyle name="Comma 6 2 6 7" xfId="2566"/>
    <cellStyle name="Comma 6 2 6 7 2" xfId="14214"/>
    <cellStyle name="Comma 6 2 6 8" xfId="10527"/>
    <cellStyle name="Comma 6 2 6 8 2" xfId="17066"/>
    <cellStyle name="Comma 6 2 6 9" xfId="13642"/>
    <cellStyle name="Comma 6 2 7" xfId="556"/>
    <cellStyle name="Comma 6 2 7 2" xfId="1691"/>
    <cellStyle name="Comma 6 2 7 2 2" xfId="5111"/>
    <cellStyle name="Comma 6 2 7 2 2 2" xfId="11837"/>
    <cellStyle name="Comma 6 2 7 2 2 2 2" xfId="18376"/>
    <cellStyle name="Comma 6 2 7 2 2 3" xfId="15524"/>
    <cellStyle name="Comma 6 2 7 2 3" xfId="7383"/>
    <cellStyle name="Comma 6 2 7 2 3 2" xfId="12408"/>
    <cellStyle name="Comma 6 2 7 2 3 2 2" xfId="18947"/>
    <cellStyle name="Comma 6 2 7 2 3 3" xfId="16095"/>
    <cellStyle name="Comma 6 2 7 2 4" xfId="9655"/>
    <cellStyle name="Comma 6 2 7 2 4 2" xfId="12979"/>
    <cellStyle name="Comma 6 2 7 2 4 2 2" xfId="19518"/>
    <cellStyle name="Comma 6 2 7 2 4 3" xfId="16666"/>
    <cellStyle name="Comma 6 2 7 2 5" xfId="3309"/>
    <cellStyle name="Comma 6 2 7 2 5 2" xfId="11266"/>
    <cellStyle name="Comma 6 2 7 2 5 2 2" xfId="17805"/>
    <cellStyle name="Comma 6 2 7 2 5 3" xfId="14953"/>
    <cellStyle name="Comma 6 2 7 2 6" xfId="2734"/>
    <cellStyle name="Comma 6 2 7 2 6 2" xfId="14382"/>
    <cellStyle name="Comma 6 2 7 2 7" xfId="10695"/>
    <cellStyle name="Comma 6 2 7 2 7 2" xfId="17234"/>
    <cellStyle name="Comma 6 2 7 2 8" xfId="13813"/>
    <cellStyle name="Comma 6 2 7 3" xfId="3976"/>
    <cellStyle name="Comma 6 2 7 3 2" xfId="11552"/>
    <cellStyle name="Comma 6 2 7 3 2 2" xfId="18091"/>
    <cellStyle name="Comma 6 2 7 3 3" xfId="15239"/>
    <cellStyle name="Comma 6 2 7 4" xfId="6248"/>
    <cellStyle name="Comma 6 2 7 4 2" xfId="12123"/>
    <cellStyle name="Comma 6 2 7 4 2 2" xfId="18662"/>
    <cellStyle name="Comma 6 2 7 4 3" xfId="15810"/>
    <cellStyle name="Comma 6 2 7 5" xfId="8520"/>
    <cellStyle name="Comma 6 2 7 5 2" xfId="12694"/>
    <cellStyle name="Comma 6 2 7 5 2 2" xfId="19233"/>
    <cellStyle name="Comma 6 2 7 5 3" xfId="16381"/>
    <cellStyle name="Comma 6 2 7 6" xfId="3024"/>
    <cellStyle name="Comma 6 2 7 6 2" xfId="10981"/>
    <cellStyle name="Comma 6 2 7 6 2 2" xfId="17520"/>
    <cellStyle name="Comma 6 2 7 6 3" xfId="14668"/>
    <cellStyle name="Comma 6 2 7 7" xfId="2454"/>
    <cellStyle name="Comma 6 2 7 7 2" xfId="14102"/>
    <cellStyle name="Comma 6 2 7 8" xfId="10415"/>
    <cellStyle name="Comma 6 2 7 8 2" xfId="16954"/>
    <cellStyle name="Comma 6 2 7 9" xfId="13528"/>
    <cellStyle name="Comma 6 2 8" xfId="1237"/>
    <cellStyle name="Comma 6 2 8 2" xfId="4657"/>
    <cellStyle name="Comma 6 2 8 2 2" xfId="11723"/>
    <cellStyle name="Comma 6 2 8 2 2 2" xfId="18262"/>
    <cellStyle name="Comma 6 2 8 2 3" xfId="15410"/>
    <cellStyle name="Comma 6 2 8 3" xfId="6929"/>
    <cellStyle name="Comma 6 2 8 3 2" xfId="12294"/>
    <cellStyle name="Comma 6 2 8 3 2 2" xfId="18833"/>
    <cellStyle name="Comma 6 2 8 3 3" xfId="15981"/>
    <cellStyle name="Comma 6 2 8 4" xfId="9201"/>
    <cellStyle name="Comma 6 2 8 4 2" xfId="12865"/>
    <cellStyle name="Comma 6 2 8 4 2 2" xfId="19404"/>
    <cellStyle name="Comma 6 2 8 4 3" xfId="16552"/>
    <cellStyle name="Comma 6 2 8 5" xfId="3195"/>
    <cellStyle name="Comma 6 2 8 5 2" xfId="11152"/>
    <cellStyle name="Comma 6 2 8 5 2 2" xfId="17691"/>
    <cellStyle name="Comma 6 2 8 5 3" xfId="14839"/>
    <cellStyle name="Comma 6 2 8 6" xfId="2622"/>
    <cellStyle name="Comma 6 2 8 6 2" xfId="14270"/>
    <cellStyle name="Comma 6 2 8 7" xfId="10583"/>
    <cellStyle name="Comma 6 2 8 7 2" xfId="17122"/>
    <cellStyle name="Comma 6 2 8 8" xfId="13699"/>
    <cellStyle name="Comma 6 2 9" xfId="3522"/>
    <cellStyle name="Comma 6 2 9 2" xfId="11438"/>
    <cellStyle name="Comma 6 2 9 2 2" xfId="17977"/>
    <cellStyle name="Comma 6 2 9 3" xfId="15125"/>
    <cellStyle name="Comma 6 3" xfId="175"/>
    <cellStyle name="Comma 6 3 10" xfId="2362"/>
    <cellStyle name="Comma 6 3 10 2" xfId="14010"/>
    <cellStyle name="Comma 6 3 11" xfId="10323"/>
    <cellStyle name="Comma 6 3 11 2" xfId="16862"/>
    <cellStyle name="Comma 6 3 12" xfId="13434"/>
    <cellStyle name="Comma 6 3 2" xfId="413"/>
    <cellStyle name="Comma 6 3 2 10" xfId="13492"/>
    <cellStyle name="Comma 6 3 2 2" xfId="867"/>
    <cellStyle name="Comma 6 3 2 2 2" xfId="2002"/>
    <cellStyle name="Comma 6 3 2 2 2 2" xfId="5422"/>
    <cellStyle name="Comma 6 3 2 2 2 2 2" xfId="11915"/>
    <cellStyle name="Comma 6 3 2 2 2 2 2 2" xfId="18454"/>
    <cellStyle name="Comma 6 3 2 2 2 2 3" xfId="15602"/>
    <cellStyle name="Comma 6 3 2 2 2 3" xfId="7694"/>
    <cellStyle name="Comma 6 3 2 2 2 3 2" xfId="12486"/>
    <cellStyle name="Comma 6 3 2 2 2 3 2 2" xfId="19025"/>
    <cellStyle name="Comma 6 3 2 2 2 3 3" xfId="16173"/>
    <cellStyle name="Comma 6 3 2 2 2 4" xfId="9966"/>
    <cellStyle name="Comma 6 3 2 2 2 4 2" xfId="13057"/>
    <cellStyle name="Comma 6 3 2 2 2 4 2 2" xfId="19596"/>
    <cellStyle name="Comma 6 3 2 2 2 4 3" xfId="16744"/>
    <cellStyle name="Comma 6 3 2 2 2 5" xfId="3387"/>
    <cellStyle name="Comma 6 3 2 2 2 5 2" xfId="11344"/>
    <cellStyle name="Comma 6 3 2 2 2 5 2 2" xfId="17883"/>
    <cellStyle name="Comma 6 3 2 2 2 5 3" xfId="15031"/>
    <cellStyle name="Comma 6 3 2 2 2 6" xfId="2811"/>
    <cellStyle name="Comma 6 3 2 2 2 6 2" xfId="14459"/>
    <cellStyle name="Comma 6 3 2 2 2 7" xfId="10772"/>
    <cellStyle name="Comma 6 3 2 2 2 7 2" xfId="17311"/>
    <cellStyle name="Comma 6 3 2 2 2 8" xfId="13891"/>
    <cellStyle name="Comma 6 3 2 2 3" xfId="4287"/>
    <cellStyle name="Comma 6 3 2 2 3 2" xfId="11630"/>
    <cellStyle name="Comma 6 3 2 2 3 2 2" xfId="18169"/>
    <cellStyle name="Comma 6 3 2 2 3 3" xfId="15317"/>
    <cellStyle name="Comma 6 3 2 2 4" xfId="6559"/>
    <cellStyle name="Comma 6 3 2 2 4 2" xfId="12201"/>
    <cellStyle name="Comma 6 3 2 2 4 2 2" xfId="18740"/>
    <cellStyle name="Comma 6 3 2 2 4 3" xfId="15888"/>
    <cellStyle name="Comma 6 3 2 2 5" xfId="8831"/>
    <cellStyle name="Comma 6 3 2 2 5 2" xfId="12772"/>
    <cellStyle name="Comma 6 3 2 2 5 2 2" xfId="19311"/>
    <cellStyle name="Comma 6 3 2 2 5 3" xfId="16459"/>
    <cellStyle name="Comma 6 3 2 2 6" xfId="3102"/>
    <cellStyle name="Comma 6 3 2 2 6 2" xfId="11059"/>
    <cellStyle name="Comma 6 3 2 2 6 2 2" xfId="17598"/>
    <cellStyle name="Comma 6 3 2 2 6 3" xfId="14746"/>
    <cellStyle name="Comma 6 3 2 2 7" xfId="2531"/>
    <cellStyle name="Comma 6 3 2 2 7 2" xfId="14179"/>
    <cellStyle name="Comma 6 3 2 2 8" xfId="10492"/>
    <cellStyle name="Comma 6 3 2 2 8 2" xfId="17031"/>
    <cellStyle name="Comma 6 3 2 2 9" xfId="13606"/>
    <cellStyle name="Comma 6 3 2 3" xfId="1548"/>
    <cellStyle name="Comma 6 3 2 3 2" xfId="4968"/>
    <cellStyle name="Comma 6 3 2 3 2 2" xfId="11801"/>
    <cellStyle name="Comma 6 3 2 3 2 2 2" xfId="18340"/>
    <cellStyle name="Comma 6 3 2 3 2 3" xfId="15488"/>
    <cellStyle name="Comma 6 3 2 3 3" xfId="7240"/>
    <cellStyle name="Comma 6 3 2 3 3 2" xfId="12372"/>
    <cellStyle name="Comma 6 3 2 3 3 2 2" xfId="18911"/>
    <cellStyle name="Comma 6 3 2 3 3 3" xfId="16059"/>
    <cellStyle name="Comma 6 3 2 3 4" xfId="9512"/>
    <cellStyle name="Comma 6 3 2 3 4 2" xfId="12943"/>
    <cellStyle name="Comma 6 3 2 3 4 2 2" xfId="19482"/>
    <cellStyle name="Comma 6 3 2 3 4 3" xfId="16630"/>
    <cellStyle name="Comma 6 3 2 3 5" xfId="3273"/>
    <cellStyle name="Comma 6 3 2 3 5 2" xfId="11230"/>
    <cellStyle name="Comma 6 3 2 3 5 2 2" xfId="17769"/>
    <cellStyle name="Comma 6 3 2 3 5 3" xfId="14917"/>
    <cellStyle name="Comma 6 3 2 3 6" xfId="2699"/>
    <cellStyle name="Comma 6 3 2 3 6 2" xfId="14347"/>
    <cellStyle name="Comma 6 3 2 3 7" xfId="10660"/>
    <cellStyle name="Comma 6 3 2 3 7 2" xfId="17199"/>
    <cellStyle name="Comma 6 3 2 3 8" xfId="13777"/>
    <cellStyle name="Comma 6 3 2 4" xfId="3833"/>
    <cellStyle name="Comma 6 3 2 4 2" xfId="11516"/>
    <cellStyle name="Comma 6 3 2 4 2 2" xfId="18055"/>
    <cellStyle name="Comma 6 3 2 4 3" xfId="15203"/>
    <cellStyle name="Comma 6 3 2 5" xfId="6105"/>
    <cellStyle name="Comma 6 3 2 5 2" xfId="12087"/>
    <cellStyle name="Comma 6 3 2 5 2 2" xfId="18626"/>
    <cellStyle name="Comma 6 3 2 5 3" xfId="15774"/>
    <cellStyle name="Comma 6 3 2 6" xfId="8377"/>
    <cellStyle name="Comma 6 3 2 6 2" xfId="12658"/>
    <cellStyle name="Comma 6 3 2 6 2 2" xfId="19197"/>
    <cellStyle name="Comma 6 3 2 6 3" xfId="16345"/>
    <cellStyle name="Comma 6 3 2 7" xfId="2988"/>
    <cellStyle name="Comma 6 3 2 7 2" xfId="10945"/>
    <cellStyle name="Comma 6 3 2 7 2 2" xfId="17484"/>
    <cellStyle name="Comma 6 3 2 7 3" xfId="14632"/>
    <cellStyle name="Comma 6 3 2 8" xfId="2419"/>
    <cellStyle name="Comma 6 3 2 8 2" xfId="14067"/>
    <cellStyle name="Comma 6 3 2 9" xfId="10380"/>
    <cellStyle name="Comma 6 3 2 9 2" xfId="16919"/>
    <cellStyle name="Comma 6 3 3" xfId="1094"/>
    <cellStyle name="Comma 6 3 3 2" xfId="2229"/>
    <cellStyle name="Comma 6 3 3 2 2" xfId="5649"/>
    <cellStyle name="Comma 6 3 3 2 2 2" xfId="11972"/>
    <cellStyle name="Comma 6 3 3 2 2 2 2" xfId="18511"/>
    <cellStyle name="Comma 6 3 3 2 2 3" xfId="15659"/>
    <cellStyle name="Comma 6 3 3 2 3" xfId="7921"/>
    <cellStyle name="Comma 6 3 3 2 3 2" xfId="12543"/>
    <cellStyle name="Comma 6 3 3 2 3 2 2" xfId="19082"/>
    <cellStyle name="Comma 6 3 3 2 3 3" xfId="16230"/>
    <cellStyle name="Comma 6 3 3 2 4" xfId="10193"/>
    <cellStyle name="Comma 6 3 3 2 4 2" xfId="13114"/>
    <cellStyle name="Comma 6 3 3 2 4 2 2" xfId="19653"/>
    <cellStyle name="Comma 6 3 3 2 4 3" xfId="16801"/>
    <cellStyle name="Comma 6 3 3 2 5" xfId="3444"/>
    <cellStyle name="Comma 6 3 3 2 5 2" xfId="11401"/>
    <cellStyle name="Comma 6 3 3 2 5 2 2" xfId="17940"/>
    <cellStyle name="Comma 6 3 3 2 5 3" xfId="15088"/>
    <cellStyle name="Comma 6 3 3 2 6" xfId="2867"/>
    <cellStyle name="Comma 6 3 3 2 6 2" xfId="14515"/>
    <cellStyle name="Comma 6 3 3 2 7" xfId="10828"/>
    <cellStyle name="Comma 6 3 3 2 7 2" xfId="17367"/>
    <cellStyle name="Comma 6 3 3 2 8" xfId="13948"/>
    <cellStyle name="Comma 6 3 3 3" xfId="4514"/>
    <cellStyle name="Comma 6 3 3 3 2" xfId="11687"/>
    <cellStyle name="Comma 6 3 3 3 2 2" xfId="18226"/>
    <cellStyle name="Comma 6 3 3 3 3" xfId="15374"/>
    <cellStyle name="Comma 6 3 3 4" xfId="6786"/>
    <cellStyle name="Comma 6 3 3 4 2" xfId="12258"/>
    <cellStyle name="Comma 6 3 3 4 2 2" xfId="18797"/>
    <cellStyle name="Comma 6 3 3 4 3" xfId="15945"/>
    <cellStyle name="Comma 6 3 3 5" xfId="9058"/>
    <cellStyle name="Comma 6 3 3 5 2" xfId="12829"/>
    <cellStyle name="Comma 6 3 3 5 2 2" xfId="19368"/>
    <cellStyle name="Comma 6 3 3 5 3" xfId="16516"/>
    <cellStyle name="Comma 6 3 3 6" xfId="3159"/>
    <cellStyle name="Comma 6 3 3 6 2" xfId="11116"/>
    <cellStyle name="Comma 6 3 3 6 2 2" xfId="17655"/>
    <cellStyle name="Comma 6 3 3 6 3" xfId="14803"/>
    <cellStyle name="Comma 6 3 3 7" xfId="2587"/>
    <cellStyle name="Comma 6 3 3 7 2" xfId="14235"/>
    <cellStyle name="Comma 6 3 3 8" xfId="10548"/>
    <cellStyle name="Comma 6 3 3 8 2" xfId="17087"/>
    <cellStyle name="Comma 6 3 3 9" xfId="13663"/>
    <cellStyle name="Comma 6 3 4" xfId="640"/>
    <cellStyle name="Comma 6 3 4 2" xfId="1775"/>
    <cellStyle name="Comma 6 3 4 2 2" xfId="5195"/>
    <cellStyle name="Comma 6 3 4 2 2 2" xfId="11858"/>
    <cellStyle name="Comma 6 3 4 2 2 2 2" xfId="18397"/>
    <cellStyle name="Comma 6 3 4 2 2 3" xfId="15545"/>
    <cellStyle name="Comma 6 3 4 2 3" xfId="7467"/>
    <cellStyle name="Comma 6 3 4 2 3 2" xfId="12429"/>
    <cellStyle name="Comma 6 3 4 2 3 2 2" xfId="18968"/>
    <cellStyle name="Comma 6 3 4 2 3 3" xfId="16116"/>
    <cellStyle name="Comma 6 3 4 2 4" xfId="9739"/>
    <cellStyle name="Comma 6 3 4 2 4 2" xfId="13000"/>
    <cellStyle name="Comma 6 3 4 2 4 2 2" xfId="19539"/>
    <cellStyle name="Comma 6 3 4 2 4 3" xfId="16687"/>
    <cellStyle name="Comma 6 3 4 2 5" xfId="3330"/>
    <cellStyle name="Comma 6 3 4 2 5 2" xfId="11287"/>
    <cellStyle name="Comma 6 3 4 2 5 2 2" xfId="17826"/>
    <cellStyle name="Comma 6 3 4 2 5 3" xfId="14974"/>
    <cellStyle name="Comma 6 3 4 2 6" xfId="2755"/>
    <cellStyle name="Comma 6 3 4 2 6 2" xfId="14403"/>
    <cellStyle name="Comma 6 3 4 2 7" xfId="10716"/>
    <cellStyle name="Comma 6 3 4 2 7 2" xfId="17255"/>
    <cellStyle name="Comma 6 3 4 2 8" xfId="13834"/>
    <cellStyle name="Comma 6 3 4 3" xfId="4060"/>
    <cellStyle name="Comma 6 3 4 3 2" xfId="11573"/>
    <cellStyle name="Comma 6 3 4 3 2 2" xfId="18112"/>
    <cellStyle name="Comma 6 3 4 3 3" xfId="15260"/>
    <cellStyle name="Comma 6 3 4 4" xfId="6332"/>
    <cellStyle name="Comma 6 3 4 4 2" xfId="12144"/>
    <cellStyle name="Comma 6 3 4 4 2 2" xfId="18683"/>
    <cellStyle name="Comma 6 3 4 4 3" xfId="15831"/>
    <cellStyle name="Comma 6 3 4 5" xfId="8604"/>
    <cellStyle name="Comma 6 3 4 5 2" xfId="12715"/>
    <cellStyle name="Comma 6 3 4 5 2 2" xfId="19254"/>
    <cellStyle name="Comma 6 3 4 5 3" xfId="16402"/>
    <cellStyle name="Comma 6 3 4 6" xfId="3045"/>
    <cellStyle name="Comma 6 3 4 6 2" xfId="11002"/>
    <cellStyle name="Comma 6 3 4 6 2 2" xfId="17541"/>
    <cellStyle name="Comma 6 3 4 6 3" xfId="14689"/>
    <cellStyle name="Comma 6 3 4 7" xfId="2475"/>
    <cellStyle name="Comma 6 3 4 7 2" xfId="14123"/>
    <cellStyle name="Comma 6 3 4 8" xfId="10436"/>
    <cellStyle name="Comma 6 3 4 8 2" xfId="16975"/>
    <cellStyle name="Comma 6 3 4 9" xfId="13549"/>
    <cellStyle name="Comma 6 3 5" xfId="1321"/>
    <cellStyle name="Comma 6 3 5 2" xfId="4741"/>
    <cellStyle name="Comma 6 3 5 2 2" xfId="11744"/>
    <cellStyle name="Comma 6 3 5 2 2 2" xfId="18283"/>
    <cellStyle name="Comma 6 3 5 2 3" xfId="15431"/>
    <cellStyle name="Comma 6 3 5 3" xfId="7013"/>
    <cellStyle name="Comma 6 3 5 3 2" xfId="12315"/>
    <cellStyle name="Comma 6 3 5 3 2 2" xfId="18854"/>
    <cellStyle name="Comma 6 3 5 3 3" xfId="16002"/>
    <cellStyle name="Comma 6 3 5 4" xfId="9285"/>
    <cellStyle name="Comma 6 3 5 4 2" xfId="12886"/>
    <cellStyle name="Comma 6 3 5 4 2 2" xfId="19425"/>
    <cellStyle name="Comma 6 3 5 4 3" xfId="16573"/>
    <cellStyle name="Comma 6 3 5 5" xfId="3216"/>
    <cellStyle name="Comma 6 3 5 5 2" xfId="11173"/>
    <cellStyle name="Comma 6 3 5 5 2 2" xfId="17712"/>
    <cellStyle name="Comma 6 3 5 5 3" xfId="14860"/>
    <cellStyle name="Comma 6 3 5 6" xfId="2643"/>
    <cellStyle name="Comma 6 3 5 6 2" xfId="14291"/>
    <cellStyle name="Comma 6 3 5 7" xfId="10604"/>
    <cellStyle name="Comma 6 3 5 7 2" xfId="17143"/>
    <cellStyle name="Comma 6 3 5 8" xfId="13720"/>
    <cellStyle name="Comma 6 3 6" xfId="3606"/>
    <cellStyle name="Comma 6 3 6 2" xfId="11459"/>
    <cellStyle name="Comma 6 3 6 2 2" xfId="17998"/>
    <cellStyle name="Comma 6 3 6 3" xfId="15146"/>
    <cellStyle name="Comma 6 3 7" xfId="5878"/>
    <cellStyle name="Comma 6 3 7 2" xfId="12030"/>
    <cellStyle name="Comma 6 3 7 2 2" xfId="18569"/>
    <cellStyle name="Comma 6 3 7 3" xfId="15717"/>
    <cellStyle name="Comma 6 3 8" xfId="8150"/>
    <cellStyle name="Comma 6 3 8 2" xfId="12601"/>
    <cellStyle name="Comma 6 3 8 2 2" xfId="19140"/>
    <cellStyle name="Comma 6 3 8 3" xfId="16288"/>
    <cellStyle name="Comma 6 3 9" xfId="2928"/>
    <cellStyle name="Comma 6 3 9 2" xfId="10887"/>
    <cellStyle name="Comma 6 3 9 2 2" xfId="17426"/>
    <cellStyle name="Comma 6 3 9 3" xfId="14574"/>
    <cellStyle name="Comma 6 4" xfId="119"/>
    <cellStyle name="Comma 6 4 10" xfId="2348"/>
    <cellStyle name="Comma 6 4 10 2" xfId="13996"/>
    <cellStyle name="Comma 6 4 11" xfId="10309"/>
    <cellStyle name="Comma 6 4 11 2" xfId="16848"/>
    <cellStyle name="Comma 6 4 12" xfId="13420"/>
    <cellStyle name="Comma 6 4 2" xfId="357"/>
    <cellStyle name="Comma 6 4 2 10" xfId="13478"/>
    <cellStyle name="Comma 6 4 2 2" xfId="811"/>
    <cellStyle name="Comma 6 4 2 2 2" xfId="1946"/>
    <cellStyle name="Comma 6 4 2 2 2 2" xfId="5366"/>
    <cellStyle name="Comma 6 4 2 2 2 2 2" xfId="11901"/>
    <cellStyle name="Comma 6 4 2 2 2 2 2 2" xfId="18440"/>
    <cellStyle name="Comma 6 4 2 2 2 2 3" xfId="15588"/>
    <cellStyle name="Comma 6 4 2 2 2 3" xfId="7638"/>
    <cellStyle name="Comma 6 4 2 2 2 3 2" xfId="12472"/>
    <cellStyle name="Comma 6 4 2 2 2 3 2 2" xfId="19011"/>
    <cellStyle name="Comma 6 4 2 2 2 3 3" xfId="16159"/>
    <cellStyle name="Comma 6 4 2 2 2 4" xfId="9910"/>
    <cellStyle name="Comma 6 4 2 2 2 4 2" xfId="13043"/>
    <cellStyle name="Comma 6 4 2 2 2 4 2 2" xfId="19582"/>
    <cellStyle name="Comma 6 4 2 2 2 4 3" xfId="16730"/>
    <cellStyle name="Comma 6 4 2 2 2 5" xfId="3373"/>
    <cellStyle name="Comma 6 4 2 2 2 5 2" xfId="11330"/>
    <cellStyle name="Comma 6 4 2 2 2 5 2 2" xfId="17869"/>
    <cellStyle name="Comma 6 4 2 2 2 5 3" xfId="15017"/>
    <cellStyle name="Comma 6 4 2 2 2 6" xfId="2797"/>
    <cellStyle name="Comma 6 4 2 2 2 6 2" xfId="14445"/>
    <cellStyle name="Comma 6 4 2 2 2 7" xfId="10758"/>
    <cellStyle name="Comma 6 4 2 2 2 7 2" xfId="17297"/>
    <cellStyle name="Comma 6 4 2 2 2 8" xfId="13877"/>
    <cellStyle name="Comma 6 4 2 2 3" xfId="4231"/>
    <cellStyle name="Comma 6 4 2 2 3 2" xfId="11616"/>
    <cellStyle name="Comma 6 4 2 2 3 2 2" xfId="18155"/>
    <cellStyle name="Comma 6 4 2 2 3 3" xfId="15303"/>
    <cellStyle name="Comma 6 4 2 2 4" xfId="6503"/>
    <cellStyle name="Comma 6 4 2 2 4 2" xfId="12187"/>
    <cellStyle name="Comma 6 4 2 2 4 2 2" xfId="18726"/>
    <cellStyle name="Comma 6 4 2 2 4 3" xfId="15874"/>
    <cellStyle name="Comma 6 4 2 2 5" xfId="8775"/>
    <cellStyle name="Comma 6 4 2 2 5 2" xfId="12758"/>
    <cellStyle name="Comma 6 4 2 2 5 2 2" xfId="19297"/>
    <cellStyle name="Comma 6 4 2 2 5 3" xfId="16445"/>
    <cellStyle name="Comma 6 4 2 2 6" xfId="3088"/>
    <cellStyle name="Comma 6 4 2 2 6 2" xfId="11045"/>
    <cellStyle name="Comma 6 4 2 2 6 2 2" xfId="17584"/>
    <cellStyle name="Comma 6 4 2 2 6 3" xfId="14732"/>
    <cellStyle name="Comma 6 4 2 2 7" xfId="2517"/>
    <cellStyle name="Comma 6 4 2 2 7 2" xfId="14165"/>
    <cellStyle name="Comma 6 4 2 2 8" xfId="10478"/>
    <cellStyle name="Comma 6 4 2 2 8 2" xfId="17017"/>
    <cellStyle name="Comma 6 4 2 2 9" xfId="13592"/>
    <cellStyle name="Comma 6 4 2 3" xfId="1492"/>
    <cellStyle name="Comma 6 4 2 3 2" xfId="4912"/>
    <cellStyle name="Comma 6 4 2 3 2 2" xfId="11787"/>
    <cellStyle name="Comma 6 4 2 3 2 2 2" xfId="18326"/>
    <cellStyle name="Comma 6 4 2 3 2 3" xfId="15474"/>
    <cellStyle name="Comma 6 4 2 3 3" xfId="7184"/>
    <cellStyle name="Comma 6 4 2 3 3 2" xfId="12358"/>
    <cellStyle name="Comma 6 4 2 3 3 2 2" xfId="18897"/>
    <cellStyle name="Comma 6 4 2 3 3 3" xfId="16045"/>
    <cellStyle name="Comma 6 4 2 3 4" xfId="9456"/>
    <cellStyle name="Comma 6 4 2 3 4 2" xfId="12929"/>
    <cellStyle name="Comma 6 4 2 3 4 2 2" xfId="19468"/>
    <cellStyle name="Comma 6 4 2 3 4 3" xfId="16616"/>
    <cellStyle name="Comma 6 4 2 3 5" xfId="3259"/>
    <cellStyle name="Comma 6 4 2 3 5 2" xfId="11216"/>
    <cellStyle name="Comma 6 4 2 3 5 2 2" xfId="17755"/>
    <cellStyle name="Comma 6 4 2 3 5 3" xfId="14903"/>
    <cellStyle name="Comma 6 4 2 3 6" xfId="2685"/>
    <cellStyle name="Comma 6 4 2 3 6 2" xfId="14333"/>
    <cellStyle name="Comma 6 4 2 3 7" xfId="10646"/>
    <cellStyle name="Comma 6 4 2 3 7 2" xfId="17185"/>
    <cellStyle name="Comma 6 4 2 3 8" xfId="13763"/>
    <cellStyle name="Comma 6 4 2 4" xfId="3777"/>
    <cellStyle name="Comma 6 4 2 4 2" xfId="11502"/>
    <cellStyle name="Comma 6 4 2 4 2 2" xfId="18041"/>
    <cellStyle name="Comma 6 4 2 4 3" xfId="15189"/>
    <cellStyle name="Comma 6 4 2 5" xfId="6049"/>
    <cellStyle name="Comma 6 4 2 5 2" xfId="12073"/>
    <cellStyle name="Comma 6 4 2 5 2 2" xfId="18612"/>
    <cellStyle name="Comma 6 4 2 5 3" xfId="15760"/>
    <cellStyle name="Comma 6 4 2 6" xfId="8321"/>
    <cellStyle name="Comma 6 4 2 6 2" xfId="12644"/>
    <cellStyle name="Comma 6 4 2 6 2 2" xfId="19183"/>
    <cellStyle name="Comma 6 4 2 6 3" xfId="16331"/>
    <cellStyle name="Comma 6 4 2 7" xfId="2974"/>
    <cellStyle name="Comma 6 4 2 7 2" xfId="10931"/>
    <cellStyle name="Comma 6 4 2 7 2 2" xfId="17470"/>
    <cellStyle name="Comma 6 4 2 7 3" xfId="14618"/>
    <cellStyle name="Comma 6 4 2 8" xfId="2405"/>
    <cellStyle name="Comma 6 4 2 8 2" xfId="14053"/>
    <cellStyle name="Comma 6 4 2 9" xfId="10366"/>
    <cellStyle name="Comma 6 4 2 9 2" xfId="16905"/>
    <cellStyle name="Comma 6 4 3" xfId="1038"/>
    <cellStyle name="Comma 6 4 3 2" xfId="2173"/>
    <cellStyle name="Comma 6 4 3 2 2" xfId="5593"/>
    <cellStyle name="Comma 6 4 3 2 2 2" xfId="11958"/>
    <cellStyle name="Comma 6 4 3 2 2 2 2" xfId="18497"/>
    <cellStyle name="Comma 6 4 3 2 2 3" xfId="15645"/>
    <cellStyle name="Comma 6 4 3 2 3" xfId="7865"/>
    <cellStyle name="Comma 6 4 3 2 3 2" xfId="12529"/>
    <cellStyle name="Comma 6 4 3 2 3 2 2" xfId="19068"/>
    <cellStyle name="Comma 6 4 3 2 3 3" xfId="16216"/>
    <cellStyle name="Comma 6 4 3 2 4" xfId="10137"/>
    <cellStyle name="Comma 6 4 3 2 4 2" xfId="13100"/>
    <cellStyle name="Comma 6 4 3 2 4 2 2" xfId="19639"/>
    <cellStyle name="Comma 6 4 3 2 4 3" xfId="16787"/>
    <cellStyle name="Comma 6 4 3 2 5" xfId="3430"/>
    <cellStyle name="Comma 6 4 3 2 5 2" xfId="11387"/>
    <cellStyle name="Comma 6 4 3 2 5 2 2" xfId="17926"/>
    <cellStyle name="Comma 6 4 3 2 5 3" xfId="15074"/>
    <cellStyle name="Comma 6 4 3 2 6" xfId="2853"/>
    <cellStyle name="Comma 6 4 3 2 6 2" xfId="14501"/>
    <cellStyle name="Comma 6 4 3 2 7" xfId="10814"/>
    <cellStyle name="Comma 6 4 3 2 7 2" xfId="17353"/>
    <cellStyle name="Comma 6 4 3 2 8" xfId="13934"/>
    <cellStyle name="Comma 6 4 3 3" xfId="4458"/>
    <cellStyle name="Comma 6 4 3 3 2" xfId="11673"/>
    <cellStyle name="Comma 6 4 3 3 2 2" xfId="18212"/>
    <cellStyle name="Comma 6 4 3 3 3" xfId="15360"/>
    <cellStyle name="Comma 6 4 3 4" xfId="6730"/>
    <cellStyle name="Comma 6 4 3 4 2" xfId="12244"/>
    <cellStyle name="Comma 6 4 3 4 2 2" xfId="18783"/>
    <cellStyle name="Comma 6 4 3 4 3" xfId="15931"/>
    <cellStyle name="Comma 6 4 3 5" xfId="9002"/>
    <cellStyle name="Comma 6 4 3 5 2" xfId="12815"/>
    <cellStyle name="Comma 6 4 3 5 2 2" xfId="19354"/>
    <cellStyle name="Comma 6 4 3 5 3" xfId="16502"/>
    <cellStyle name="Comma 6 4 3 6" xfId="3145"/>
    <cellStyle name="Comma 6 4 3 6 2" xfId="11102"/>
    <cellStyle name="Comma 6 4 3 6 2 2" xfId="17641"/>
    <cellStyle name="Comma 6 4 3 6 3" xfId="14789"/>
    <cellStyle name="Comma 6 4 3 7" xfId="2573"/>
    <cellStyle name="Comma 6 4 3 7 2" xfId="14221"/>
    <cellStyle name="Comma 6 4 3 8" xfId="10534"/>
    <cellStyle name="Comma 6 4 3 8 2" xfId="17073"/>
    <cellStyle name="Comma 6 4 3 9" xfId="13649"/>
    <cellStyle name="Comma 6 4 4" xfId="584"/>
    <cellStyle name="Comma 6 4 4 2" xfId="1719"/>
    <cellStyle name="Comma 6 4 4 2 2" xfId="5139"/>
    <cellStyle name="Comma 6 4 4 2 2 2" xfId="11844"/>
    <cellStyle name="Comma 6 4 4 2 2 2 2" xfId="18383"/>
    <cellStyle name="Comma 6 4 4 2 2 3" xfId="15531"/>
    <cellStyle name="Comma 6 4 4 2 3" xfId="7411"/>
    <cellStyle name="Comma 6 4 4 2 3 2" xfId="12415"/>
    <cellStyle name="Comma 6 4 4 2 3 2 2" xfId="18954"/>
    <cellStyle name="Comma 6 4 4 2 3 3" xfId="16102"/>
    <cellStyle name="Comma 6 4 4 2 4" xfId="9683"/>
    <cellStyle name="Comma 6 4 4 2 4 2" xfId="12986"/>
    <cellStyle name="Comma 6 4 4 2 4 2 2" xfId="19525"/>
    <cellStyle name="Comma 6 4 4 2 4 3" xfId="16673"/>
    <cellStyle name="Comma 6 4 4 2 5" xfId="3316"/>
    <cellStyle name="Comma 6 4 4 2 5 2" xfId="11273"/>
    <cellStyle name="Comma 6 4 4 2 5 2 2" xfId="17812"/>
    <cellStyle name="Comma 6 4 4 2 5 3" xfId="14960"/>
    <cellStyle name="Comma 6 4 4 2 6" xfId="2741"/>
    <cellStyle name="Comma 6 4 4 2 6 2" xfId="14389"/>
    <cellStyle name="Comma 6 4 4 2 7" xfId="10702"/>
    <cellStyle name="Comma 6 4 4 2 7 2" xfId="17241"/>
    <cellStyle name="Comma 6 4 4 2 8" xfId="13820"/>
    <cellStyle name="Comma 6 4 4 3" xfId="4004"/>
    <cellStyle name="Comma 6 4 4 3 2" xfId="11559"/>
    <cellStyle name="Comma 6 4 4 3 2 2" xfId="18098"/>
    <cellStyle name="Comma 6 4 4 3 3" xfId="15246"/>
    <cellStyle name="Comma 6 4 4 4" xfId="6276"/>
    <cellStyle name="Comma 6 4 4 4 2" xfId="12130"/>
    <cellStyle name="Comma 6 4 4 4 2 2" xfId="18669"/>
    <cellStyle name="Comma 6 4 4 4 3" xfId="15817"/>
    <cellStyle name="Comma 6 4 4 5" xfId="8548"/>
    <cellStyle name="Comma 6 4 4 5 2" xfId="12701"/>
    <cellStyle name="Comma 6 4 4 5 2 2" xfId="19240"/>
    <cellStyle name="Comma 6 4 4 5 3" xfId="16388"/>
    <cellStyle name="Comma 6 4 4 6" xfId="3031"/>
    <cellStyle name="Comma 6 4 4 6 2" xfId="10988"/>
    <cellStyle name="Comma 6 4 4 6 2 2" xfId="17527"/>
    <cellStyle name="Comma 6 4 4 6 3" xfId="14675"/>
    <cellStyle name="Comma 6 4 4 7" xfId="2461"/>
    <cellStyle name="Comma 6 4 4 7 2" xfId="14109"/>
    <cellStyle name="Comma 6 4 4 8" xfId="10422"/>
    <cellStyle name="Comma 6 4 4 8 2" xfId="16961"/>
    <cellStyle name="Comma 6 4 4 9" xfId="13535"/>
    <cellStyle name="Comma 6 4 5" xfId="1265"/>
    <cellStyle name="Comma 6 4 5 2" xfId="4685"/>
    <cellStyle name="Comma 6 4 5 2 2" xfId="11730"/>
    <cellStyle name="Comma 6 4 5 2 2 2" xfId="18269"/>
    <cellStyle name="Comma 6 4 5 2 3" xfId="15417"/>
    <cellStyle name="Comma 6 4 5 3" xfId="6957"/>
    <cellStyle name="Comma 6 4 5 3 2" xfId="12301"/>
    <cellStyle name="Comma 6 4 5 3 2 2" xfId="18840"/>
    <cellStyle name="Comma 6 4 5 3 3" xfId="15988"/>
    <cellStyle name="Comma 6 4 5 4" xfId="9229"/>
    <cellStyle name="Comma 6 4 5 4 2" xfId="12872"/>
    <cellStyle name="Comma 6 4 5 4 2 2" xfId="19411"/>
    <cellStyle name="Comma 6 4 5 4 3" xfId="16559"/>
    <cellStyle name="Comma 6 4 5 5" xfId="3202"/>
    <cellStyle name="Comma 6 4 5 5 2" xfId="11159"/>
    <cellStyle name="Comma 6 4 5 5 2 2" xfId="17698"/>
    <cellStyle name="Comma 6 4 5 5 3" xfId="14846"/>
    <cellStyle name="Comma 6 4 5 6" xfId="2629"/>
    <cellStyle name="Comma 6 4 5 6 2" xfId="14277"/>
    <cellStyle name="Comma 6 4 5 7" xfId="10590"/>
    <cellStyle name="Comma 6 4 5 7 2" xfId="17129"/>
    <cellStyle name="Comma 6 4 5 8" xfId="13706"/>
    <cellStyle name="Comma 6 4 6" xfId="3550"/>
    <cellStyle name="Comma 6 4 6 2" xfId="11445"/>
    <cellStyle name="Comma 6 4 6 2 2" xfId="17984"/>
    <cellStyle name="Comma 6 4 6 3" xfId="15132"/>
    <cellStyle name="Comma 6 4 7" xfId="5822"/>
    <cellStyle name="Comma 6 4 7 2" xfId="12016"/>
    <cellStyle name="Comma 6 4 7 2 2" xfId="18555"/>
    <cellStyle name="Comma 6 4 7 3" xfId="15703"/>
    <cellStyle name="Comma 6 4 8" xfId="8094"/>
    <cellStyle name="Comma 6 4 8 2" xfId="12587"/>
    <cellStyle name="Comma 6 4 8 2 2" xfId="19126"/>
    <cellStyle name="Comma 6 4 8 3" xfId="16274"/>
    <cellStyle name="Comma 6 4 9" xfId="2914"/>
    <cellStyle name="Comma 6 4 9 2" xfId="10873"/>
    <cellStyle name="Comma 6 4 9 2 2" xfId="17412"/>
    <cellStyle name="Comma 6 4 9 3" xfId="14560"/>
    <cellStyle name="Comma 6 5" xfId="245"/>
    <cellStyle name="Comma 6 5 10" xfId="2377"/>
    <cellStyle name="Comma 6 5 10 2" xfId="14025"/>
    <cellStyle name="Comma 6 5 11" xfId="10338"/>
    <cellStyle name="Comma 6 5 11 2" xfId="16877"/>
    <cellStyle name="Comma 6 5 12" xfId="13450"/>
    <cellStyle name="Comma 6 5 2" xfId="472"/>
    <cellStyle name="Comma 6 5 2 10" xfId="13507"/>
    <cellStyle name="Comma 6 5 2 2" xfId="926"/>
    <cellStyle name="Comma 6 5 2 2 2" xfId="2061"/>
    <cellStyle name="Comma 6 5 2 2 2 2" xfId="5481"/>
    <cellStyle name="Comma 6 5 2 2 2 2 2" xfId="11930"/>
    <cellStyle name="Comma 6 5 2 2 2 2 2 2" xfId="18469"/>
    <cellStyle name="Comma 6 5 2 2 2 2 3" xfId="15617"/>
    <cellStyle name="Comma 6 5 2 2 2 3" xfId="7753"/>
    <cellStyle name="Comma 6 5 2 2 2 3 2" xfId="12501"/>
    <cellStyle name="Comma 6 5 2 2 2 3 2 2" xfId="19040"/>
    <cellStyle name="Comma 6 5 2 2 2 3 3" xfId="16188"/>
    <cellStyle name="Comma 6 5 2 2 2 4" xfId="10025"/>
    <cellStyle name="Comma 6 5 2 2 2 4 2" xfId="13072"/>
    <cellStyle name="Comma 6 5 2 2 2 4 2 2" xfId="19611"/>
    <cellStyle name="Comma 6 5 2 2 2 4 3" xfId="16759"/>
    <cellStyle name="Comma 6 5 2 2 2 5" xfId="3402"/>
    <cellStyle name="Comma 6 5 2 2 2 5 2" xfId="11359"/>
    <cellStyle name="Comma 6 5 2 2 2 5 2 2" xfId="17898"/>
    <cellStyle name="Comma 6 5 2 2 2 5 3" xfId="15046"/>
    <cellStyle name="Comma 6 5 2 2 2 6" xfId="2825"/>
    <cellStyle name="Comma 6 5 2 2 2 6 2" xfId="14473"/>
    <cellStyle name="Comma 6 5 2 2 2 7" xfId="10786"/>
    <cellStyle name="Comma 6 5 2 2 2 7 2" xfId="17325"/>
    <cellStyle name="Comma 6 5 2 2 2 8" xfId="13906"/>
    <cellStyle name="Comma 6 5 2 2 3" xfId="4346"/>
    <cellStyle name="Comma 6 5 2 2 3 2" xfId="11645"/>
    <cellStyle name="Comma 6 5 2 2 3 2 2" xfId="18184"/>
    <cellStyle name="Comma 6 5 2 2 3 3" xfId="15332"/>
    <cellStyle name="Comma 6 5 2 2 4" xfId="6618"/>
    <cellStyle name="Comma 6 5 2 2 4 2" xfId="12216"/>
    <cellStyle name="Comma 6 5 2 2 4 2 2" xfId="18755"/>
    <cellStyle name="Comma 6 5 2 2 4 3" xfId="15903"/>
    <cellStyle name="Comma 6 5 2 2 5" xfId="8890"/>
    <cellStyle name="Comma 6 5 2 2 5 2" xfId="12787"/>
    <cellStyle name="Comma 6 5 2 2 5 2 2" xfId="19326"/>
    <cellStyle name="Comma 6 5 2 2 5 3" xfId="16474"/>
    <cellStyle name="Comma 6 5 2 2 6" xfId="3117"/>
    <cellStyle name="Comma 6 5 2 2 6 2" xfId="11074"/>
    <cellStyle name="Comma 6 5 2 2 6 2 2" xfId="17613"/>
    <cellStyle name="Comma 6 5 2 2 6 3" xfId="14761"/>
    <cellStyle name="Comma 6 5 2 2 7" xfId="2545"/>
    <cellStyle name="Comma 6 5 2 2 7 2" xfId="14193"/>
    <cellStyle name="Comma 6 5 2 2 8" xfId="10506"/>
    <cellStyle name="Comma 6 5 2 2 8 2" xfId="17045"/>
    <cellStyle name="Comma 6 5 2 2 9" xfId="13621"/>
    <cellStyle name="Comma 6 5 2 3" xfId="1607"/>
    <cellStyle name="Comma 6 5 2 3 2" xfId="5027"/>
    <cellStyle name="Comma 6 5 2 3 2 2" xfId="11816"/>
    <cellStyle name="Comma 6 5 2 3 2 2 2" xfId="18355"/>
    <cellStyle name="Comma 6 5 2 3 2 3" xfId="15503"/>
    <cellStyle name="Comma 6 5 2 3 3" xfId="7299"/>
    <cellStyle name="Comma 6 5 2 3 3 2" xfId="12387"/>
    <cellStyle name="Comma 6 5 2 3 3 2 2" xfId="18926"/>
    <cellStyle name="Comma 6 5 2 3 3 3" xfId="16074"/>
    <cellStyle name="Comma 6 5 2 3 4" xfId="9571"/>
    <cellStyle name="Comma 6 5 2 3 4 2" xfId="12958"/>
    <cellStyle name="Comma 6 5 2 3 4 2 2" xfId="19497"/>
    <cellStyle name="Comma 6 5 2 3 4 3" xfId="16645"/>
    <cellStyle name="Comma 6 5 2 3 5" xfId="3288"/>
    <cellStyle name="Comma 6 5 2 3 5 2" xfId="11245"/>
    <cellStyle name="Comma 6 5 2 3 5 2 2" xfId="17784"/>
    <cellStyle name="Comma 6 5 2 3 5 3" xfId="14932"/>
    <cellStyle name="Comma 6 5 2 3 6" xfId="2713"/>
    <cellStyle name="Comma 6 5 2 3 6 2" xfId="14361"/>
    <cellStyle name="Comma 6 5 2 3 7" xfId="10674"/>
    <cellStyle name="Comma 6 5 2 3 7 2" xfId="17213"/>
    <cellStyle name="Comma 6 5 2 3 8" xfId="13792"/>
    <cellStyle name="Comma 6 5 2 4" xfId="3892"/>
    <cellStyle name="Comma 6 5 2 4 2" xfId="11531"/>
    <cellStyle name="Comma 6 5 2 4 2 2" xfId="18070"/>
    <cellStyle name="Comma 6 5 2 4 3" xfId="15218"/>
    <cellStyle name="Comma 6 5 2 5" xfId="6164"/>
    <cellStyle name="Comma 6 5 2 5 2" xfId="12102"/>
    <cellStyle name="Comma 6 5 2 5 2 2" xfId="18641"/>
    <cellStyle name="Comma 6 5 2 5 3" xfId="15789"/>
    <cellStyle name="Comma 6 5 2 6" xfId="8436"/>
    <cellStyle name="Comma 6 5 2 6 2" xfId="12673"/>
    <cellStyle name="Comma 6 5 2 6 2 2" xfId="19212"/>
    <cellStyle name="Comma 6 5 2 6 3" xfId="16360"/>
    <cellStyle name="Comma 6 5 2 7" xfId="3003"/>
    <cellStyle name="Comma 6 5 2 7 2" xfId="10960"/>
    <cellStyle name="Comma 6 5 2 7 2 2" xfId="17499"/>
    <cellStyle name="Comma 6 5 2 7 3" xfId="14647"/>
    <cellStyle name="Comma 6 5 2 8" xfId="2433"/>
    <cellStyle name="Comma 6 5 2 8 2" xfId="14081"/>
    <cellStyle name="Comma 6 5 2 9" xfId="10394"/>
    <cellStyle name="Comma 6 5 2 9 2" xfId="16933"/>
    <cellStyle name="Comma 6 5 3" xfId="1153"/>
    <cellStyle name="Comma 6 5 3 2" xfId="2288"/>
    <cellStyle name="Comma 6 5 3 2 2" xfId="5708"/>
    <cellStyle name="Comma 6 5 3 2 2 2" xfId="11987"/>
    <cellStyle name="Comma 6 5 3 2 2 2 2" xfId="18526"/>
    <cellStyle name="Comma 6 5 3 2 2 3" xfId="15674"/>
    <cellStyle name="Comma 6 5 3 2 3" xfId="7980"/>
    <cellStyle name="Comma 6 5 3 2 3 2" xfId="12558"/>
    <cellStyle name="Comma 6 5 3 2 3 2 2" xfId="19097"/>
    <cellStyle name="Comma 6 5 3 2 3 3" xfId="16245"/>
    <cellStyle name="Comma 6 5 3 2 4" xfId="10252"/>
    <cellStyle name="Comma 6 5 3 2 4 2" xfId="13129"/>
    <cellStyle name="Comma 6 5 3 2 4 2 2" xfId="19668"/>
    <cellStyle name="Comma 6 5 3 2 4 3" xfId="16816"/>
    <cellStyle name="Comma 6 5 3 2 5" xfId="3459"/>
    <cellStyle name="Comma 6 5 3 2 5 2" xfId="11416"/>
    <cellStyle name="Comma 6 5 3 2 5 2 2" xfId="17955"/>
    <cellStyle name="Comma 6 5 3 2 5 3" xfId="15103"/>
    <cellStyle name="Comma 6 5 3 2 6" xfId="2881"/>
    <cellStyle name="Comma 6 5 3 2 6 2" xfId="14529"/>
    <cellStyle name="Comma 6 5 3 2 7" xfId="10842"/>
    <cellStyle name="Comma 6 5 3 2 7 2" xfId="17381"/>
    <cellStyle name="Comma 6 5 3 2 8" xfId="13963"/>
    <cellStyle name="Comma 6 5 3 3" xfId="4573"/>
    <cellStyle name="Comma 6 5 3 3 2" xfId="11702"/>
    <cellStyle name="Comma 6 5 3 3 2 2" xfId="18241"/>
    <cellStyle name="Comma 6 5 3 3 3" xfId="15389"/>
    <cellStyle name="Comma 6 5 3 4" xfId="6845"/>
    <cellStyle name="Comma 6 5 3 4 2" xfId="12273"/>
    <cellStyle name="Comma 6 5 3 4 2 2" xfId="18812"/>
    <cellStyle name="Comma 6 5 3 4 3" xfId="15960"/>
    <cellStyle name="Comma 6 5 3 5" xfId="9117"/>
    <cellStyle name="Comma 6 5 3 5 2" xfId="12844"/>
    <cellStyle name="Comma 6 5 3 5 2 2" xfId="19383"/>
    <cellStyle name="Comma 6 5 3 5 3" xfId="16531"/>
    <cellStyle name="Comma 6 5 3 6" xfId="3174"/>
    <cellStyle name="Comma 6 5 3 6 2" xfId="11131"/>
    <cellStyle name="Comma 6 5 3 6 2 2" xfId="17670"/>
    <cellStyle name="Comma 6 5 3 6 3" xfId="14818"/>
    <cellStyle name="Comma 6 5 3 7" xfId="2601"/>
    <cellStyle name="Comma 6 5 3 7 2" xfId="14249"/>
    <cellStyle name="Comma 6 5 3 8" xfId="10562"/>
    <cellStyle name="Comma 6 5 3 8 2" xfId="17101"/>
    <cellStyle name="Comma 6 5 3 9" xfId="13678"/>
    <cellStyle name="Comma 6 5 4" xfId="699"/>
    <cellStyle name="Comma 6 5 4 2" xfId="1834"/>
    <cellStyle name="Comma 6 5 4 2 2" xfId="5254"/>
    <cellStyle name="Comma 6 5 4 2 2 2" xfId="11873"/>
    <cellStyle name="Comma 6 5 4 2 2 2 2" xfId="18412"/>
    <cellStyle name="Comma 6 5 4 2 2 3" xfId="15560"/>
    <cellStyle name="Comma 6 5 4 2 3" xfId="7526"/>
    <cellStyle name="Comma 6 5 4 2 3 2" xfId="12444"/>
    <cellStyle name="Comma 6 5 4 2 3 2 2" xfId="18983"/>
    <cellStyle name="Comma 6 5 4 2 3 3" xfId="16131"/>
    <cellStyle name="Comma 6 5 4 2 4" xfId="9798"/>
    <cellStyle name="Comma 6 5 4 2 4 2" xfId="13015"/>
    <cellStyle name="Comma 6 5 4 2 4 2 2" xfId="19554"/>
    <cellStyle name="Comma 6 5 4 2 4 3" xfId="16702"/>
    <cellStyle name="Comma 6 5 4 2 5" xfId="3345"/>
    <cellStyle name="Comma 6 5 4 2 5 2" xfId="11302"/>
    <cellStyle name="Comma 6 5 4 2 5 2 2" xfId="17841"/>
    <cellStyle name="Comma 6 5 4 2 5 3" xfId="14989"/>
    <cellStyle name="Comma 6 5 4 2 6" xfId="2769"/>
    <cellStyle name="Comma 6 5 4 2 6 2" xfId="14417"/>
    <cellStyle name="Comma 6 5 4 2 7" xfId="10730"/>
    <cellStyle name="Comma 6 5 4 2 7 2" xfId="17269"/>
    <cellStyle name="Comma 6 5 4 2 8" xfId="13849"/>
    <cellStyle name="Comma 6 5 4 3" xfId="4119"/>
    <cellStyle name="Comma 6 5 4 3 2" xfId="11588"/>
    <cellStyle name="Comma 6 5 4 3 2 2" xfId="18127"/>
    <cellStyle name="Comma 6 5 4 3 3" xfId="15275"/>
    <cellStyle name="Comma 6 5 4 4" xfId="6391"/>
    <cellStyle name="Comma 6 5 4 4 2" xfId="12159"/>
    <cellStyle name="Comma 6 5 4 4 2 2" xfId="18698"/>
    <cellStyle name="Comma 6 5 4 4 3" xfId="15846"/>
    <cellStyle name="Comma 6 5 4 5" xfId="8663"/>
    <cellStyle name="Comma 6 5 4 5 2" xfId="12730"/>
    <cellStyle name="Comma 6 5 4 5 2 2" xfId="19269"/>
    <cellStyle name="Comma 6 5 4 5 3" xfId="16417"/>
    <cellStyle name="Comma 6 5 4 6" xfId="3060"/>
    <cellStyle name="Comma 6 5 4 6 2" xfId="11017"/>
    <cellStyle name="Comma 6 5 4 6 2 2" xfId="17556"/>
    <cellStyle name="Comma 6 5 4 6 3" xfId="14704"/>
    <cellStyle name="Comma 6 5 4 7" xfId="2489"/>
    <cellStyle name="Comma 6 5 4 7 2" xfId="14137"/>
    <cellStyle name="Comma 6 5 4 8" xfId="10450"/>
    <cellStyle name="Comma 6 5 4 8 2" xfId="16989"/>
    <cellStyle name="Comma 6 5 4 9" xfId="13564"/>
    <cellStyle name="Comma 6 5 5" xfId="1380"/>
    <cellStyle name="Comma 6 5 5 2" xfId="4800"/>
    <cellStyle name="Comma 6 5 5 2 2" xfId="11759"/>
    <cellStyle name="Comma 6 5 5 2 2 2" xfId="18298"/>
    <cellStyle name="Comma 6 5 5 2 3" xfId="15446"/>
    <cellStyle name="Comma 6 5 5 3" xfId="7072"/>
    <cellStyle name="Comma 6 5 5 3 2" xfId="12330"/>
    <cellStyle name="Comma 6 5 5 3 2 2" xfId="18869"/>
    <cellStyle name="Comma 6 5 5 3 3" xfId="16017"/>
    <cellStyle name="Comma 6 5 5 4" xfId="9344"/>
    <cellStyle name="Comma 6 5 5 4 2" xfId="12901"/>
    <cellStyle name="Comma 6 5 5 4 2 2" xfId="19440"/>
    <cellStyle name="Comma 6 5 5 4 3" xfId="16588"/>
    <cellStyle name="Comma 6 5 5 5" xfId="3231"/>
    <cellStyle name="Comma 6 5 5 5 2" xfId="11188"/>
    <cellStyle name="Comma 6 5 5 5 2 2" xfId="17727"/>
    <cellStyle name="Comma 6 5 5 5 3" xfId="14875"/>
    <cellStyle name="Comma 6 5 5 6" xfId="2657"/>
    <cellStyle name="Comma 6 5 5 6 2" xfId="14305"/>
    <cellStyle name="Comma 6 5 5 7" xfId="10618"/>
    <cellStyle name="Comma 6 5 5 7 2" xfId="17157"/>
    <cellStyle name="Comma 6 5 5 8" xfId="13735"/>
    <cellStyle name="Comma 6 5 6" xfId="3665"/>
    <cellStyle name="Comma 6 5 6 2" xfId="11474"/>
    <cellStyle name="Comma 6 5 6 2 2" xfId="18013"/>
    <cellStyle name="Comma 6 5 6 3" xfId="15161"/>
    <cellStyle name="Comma 6 5 7" xfId="5937"/>
    <cellStyle name="Comma 6 5 7 2" xfId="12045"/>
    <cellStyle name="Comma 6 5 7 2 2" xfId="18584"/>
    <cellStyle name="Comma 6 5 7 3" xfId="15732"/>
    <cellStyle name="Comma 6 5 8" xfId="8209"/>
    <cellStyle name="Comma 6 5 8 2" xfId="12616"/>
    <cellStyle name="Comma 6 5 8 2 2" xfId="19155"/>
    <cellStyle name="Comma 6 5 8 3" xfId="16303"/>
    <cellStyle name="Comma 6 5 9" xfId="2946"/>
    <cellStyle name="Comma 6 5 9 2" xfId="10903"/>
    <cellStyle name="Comma 6 5 9 2 2" xfId="17442"/>
    <cellStyle name="Comma 6 5 9 3" xfId="14590"/>
    <cellStyle name="Comma 6 6" xfId="301"/>
    <cellStyle name="Comma 6 6 10" xfId="13464"/>
    <cellStyle name="Comma 6 6 2" xfId="755"/>
    <cellStyle name="Comma 6 6 2 2" xfId="1890"/>
    <cellStyle name="Comma 6 6 2 2 2" xfId="5310"/>
    <cellStyle name="Comma 6 6 2 2 2 2" xfId="11887"/>
    <cellStyle name="Comma 6 6 2 2 2 2 2" xfId="18426"/>
    <cellStyle name="Comma 6 6 2 2 2 3" xfId="15574"/>
    <cellStyle name="Comma 6 6 2 2 3" xfId="7582"/>
    <cellStyle name="Comma 6 6 2 2 3 2" xfId="12458"/>
    <cellStyle name="Comma 6 6 2 2 3 2 2" xfId="18997"/>
    <cellStyle name="Comma 6 6 2 2 3 3" xfId="16145"/>
    <cellStyle name="Comma 6 6 2 2 4" xfId="9854"/>
    <cellStyle name="Comma 6 6 2 2 4 2" xfId="13029"/>
    <cellStyle name="Comma 6 6 2 2 4 2 2" xfId="19568"/>
    <cellStyle name="Comma 6 6 2 2 4 3" xfId="16716"/>
    <cellStyle name="Comma 6 6 2 2 5" xfId="3359"/>
    <cellStyle name="Comma 6 6 2 2 5 2" xfId="11316"/>
    <cellStyle name="Comma 6 6 2 2 5 2 2" xfId="17855"/>
    <cellStyle name="Comma 6 6 2 2 5 3" xfId="15003"/>
    <cellStyle name="Comma 6 6 2 2 6" xfId="2783"/>
    <cellStyle name="Comma 6 6 2 2 6 2" xfId="14431"/>
    <cellStyle name="Comma 6 6 2 2 7" xfId="10744"/>
    <cellStyle name="Comma 6 6 2 2 7 2" xfId="17283"/>
    <cellStyle name="Comma 6 6 2 2 8" xfId="13863"/>
    <cellStyle name="Comma 6 6 2 3" xfId="4175"/>
    <cellStyle name="Comma 6 6 2 3 2" xfId="11602"/>
    <cellStyle name="Comma 6 6 2 3 2 2" xfId="18141"/>
    <cellStyle name="Comma 6 6 2 3 3" xfId="15289"/>
    <cellStyle name="Comma 6 6 2 4" xfId="6447"/>
    <cellStyle name="Comma 6 6 2 4 2" xfId="12173"/>
    <cellStyle name="Comma 6 6 2 4 2 2" xfId="18712"/>
    <cellStyle name="Comma 6 6 2 4 3" xfId="15860"/>
    <cellStyle name="Comma 6 6 2 5" xfId="8719"/>
    <cellStyle name="Comma 6 6 2 5 2" xfId="12744"/>
    <cellStyle name="Comma 6 6 2 5 2 2" xfId="19283"/>
    <cellStyle name="Comma 6 6 2 5 3" xfId="16431"/>
    <cellStyle name="Comma 6 6 2 6" xfId="3074"/>
    <cellStyle name="Comma 6 6 2 6 2" xfId="11031"/>
    <cellStyle name="Comma 6 6 2 6 2 2" xfId="17570"/>
    <cellStyle name="Comma 6 6 2 6 3" xfId="14718"/>
    <cellStyle name="Comma 6 6 2 7" xfId="2503"/>
    <cellStyle name="Comma 6 6 2 7 2" xfId="14151"/>
    <cellStyle name="Comma 6 6 2 8" xfId="10464"/>
    <cellStyle name="Comma 6 6 2 8 2" xfId="17003"/>
    <cellStyle name="Comma 6 6 2 9" xfId="13578"/>
    <cellStyle name="Comma 6 6 3" xfId="1436"/>
    <cellStyle name="Comma 6 6 3 2" xfId="4856"/>
    <cellStyle name="Comma 6 6 3 2 2" xfId="11773"/>
    <cellStyle name="Comma 6 6 3 2 2 2" xfId="18312"/>
    <cellStyle name="Comma 6 6 3 2 3" xfId="15460"/>
    <cellStyle name="Comma 6 6 3 3" xfId="7128"/>
    <cellStyle name="Comma 6 6 3 3 2" xfId="12344"/>
    <cellStyle name="Comma 6 6 3 3 2 2" xfId="18883"/>
    <cellStyle name="Comma 6 6 3 3 3" xfId="16031"/>
    <cellStyle name="Comma 6 6 3 4" xfId="9400"/>
    <cellStyle name="Comma 6 6 3 4 2" xfId="12915"/>
    <cellStyle name="Comma 6 6 3 4 2 2" xfId="19454"/>
    <cellStyle name="Comma 6 6 3 4 3" xfId="16602"/>
    <cellStyle name="Comma 6 6 3 5" xfId="3245"/>
    <cellStyle name="Comma 6 6 3 5 2" xfId="11202"/>
    <cellStyle name="Comma 6 6 3 5 2 2" xfId="17741"/>
    <cellStyle name="Comma 6 6 3 5 3" xfId="14889"/>
    <cellStyle name="Comma 6 6 3 6" xfId="2671"/>
    <cellStyle name="Comma 6 6 3 6 2" xfId="14319"/>
    <cellStyle name="Comma 6 6 3 7" xfId="10632"/>
    <cellStyle name="Comma 6 6 3 7 2" xfId="17171"/>
    <cellStyle name="Comma 6 6 3 8" xfId="13749"/>
    <cellStyle name="Comma 6 6 4" xfId="3721"/>
    <cellStyle name="Comma 6 6 4 2" xfId="11488"/>
    <cellStyle name="Comma 6 6 4 2 2" xfId="18027"/>
    <cellStyle name="Comma 6 6 4 3" xfId="15175"/>
    <cellStyle name="Comma 6 6 5" xfId="5993"/>
    <cellStyle name="Comma 6 6 5 2" xfId="12059"/>
    <cellStyle name="Comma 6 6 5 2 2" xfId="18598"/>
    <cellStyle name="Comma 6 6 5 3" xfId="15746"/>
    <cellStyle name="Comma 6 6 6" xfId="8265"/>
    <cellStyle name="Comma 6 6 6 2" xfId="12630"/>
    <cellStyle name="Comma 6 6 6 2 2" xfId="19169"/>
    <cellStyle name="Comma 6 6 6 3" xfId="16317"/>
    <cellStyle name="Comma 6 6 7" xfId="2960"/>
    <cellStyle name="Comma 6 6 7 2" xfId="10917"/>
    <cellStyle name="Comma 6 6 7 2 2" xfId="17456"/>
    <cellStyle name="Comma 6 6 7 3" xfId="14604"/>
    <cellStyle name="Comma 6 6 8" xfId="2391"/>
    <cellStyle name="Comma 6 6 8 2" xfId="14039"/>
    <cellStyle name="Comma 6 6 9" xfId="10352"/>
    <cellStyle name="Comma 6 6 9 2" xfId="16891"/>
    <cellStyle name="Comma 6 7" xfId="982"/>
    <cellStyle name="Comma 6 7 2" xfId="2117"/>
    <cellStyle name="Comma 6 7 2 2" xfId="5537"/>
    <cellStyle name="Comma 6 7 2 2 2" xfId="11944"/>
    <cellStyle name="Comma 6 7 2 2 2 2" xfId="18483"/>
    <cellStyle name="Comma 6 7 2 2 3" xfId="15631"/>
    <cellStyle name="Comma 6 7 2 3" xfId="7809"/>
    <cellStyle name="Comma 6 7 2 3 2" xfId="12515"/>
    <cellStyle name="Comma 6 7 2 3 2 2" xfId="19054"/>
    <cellStyle name="Comma 6 7 2 3 3" xfId="16202"/>
    <cellStyle name="Comma 6 7 2 4" xfId="10081"/>
    <cellStyle name="Comma 6 7 2 4 2" xfId="13086"/>
    <cellStyle name="Comma 6 7 2 4 2 2" xfId="19625"/>
    <cellStyle name="Comma 6 7 2 4 3" xfId="16773"/>
    <cellStyle name="Comma 6 7 2 5" xfId="3416"/>
    <cellStyle name="Comma 6 7 2 5 2" xfId="11373"/>
    <cellStyle name="Comma 6 7 2 5 2 2" xfId="17912"/>
    <cellStyle name="Comma 6 7 2 5 3" xfId="15060"/>
    <cellStyle name="Comma 6 7 2 6" xfId="2839"/>
    <cellStyle name="Comma 6 7 2 6 2" xfId="14487"/>
    <cellStyle name="Comma 6 7 2 7" xfId="10800"/>
    <cellStyle name="Comma 6 7 2 7 2" xfId="17339"/>
    <cellStyle name="Comma 6 7 2 8" xfId="13920"/>
    <cellStyle name="Comma 6 7 3" xfId="4402"/>
    <cellStyle name="Comma 6 7 3 2" xfId="11659"/>
    <cellStyle name="Comma 6 7 3 2 2" xfId="18198"/>
    <cellStyle name="Comma 6 7 3 3" xfId="15346"/>
    <cellStyle name="Comma 6 7 4" xfId="6674"/>
    <cellStyle name="Comma 6 7 4 2" xfId="12230"/>
    <cellStyle name="Comma 6 7 4 2 2" xfId="18769"/>
    <cellStyle name="Comma 6 7 4 3" xfId="15917"/>
    <cellStyle name="Comma 6 7 5" xfId="8946"/>
    <cellStyle name="Comma 6 7 5 2" xfId="12801"/>
    <cellStyle name="Comma 6 7 5 2 2" xfId="19340"/>
    <cellStyle name="Comma 6 7 5 3" xfId="16488"/>
    <cellStyle name="Comma 6 7 6" xfId="3131"/>
    <cellStyle name="Comma 6 7 6 2" xfId="11088"/>
    <cellStyle name="Comma 6 7 6 2 2" xfId="17627"/>
    <cellStyle name="Comma 6 7 6 3" xfId="14775"/>
    <cellStyle name="Comma 6 7 7" xfId="2559"/>
    <cellStyle name="Comma 6 7 7 2" xfId="14207"/>
    <cellStyle name="Comma 6 7 8" xfId="10520"/>
    <cellStyle name="Comma 6 7 8 2" xfId="17059"/>
    <cellStyle name="Comma 6 7 9" xfId="13635"/>
    <cellStyle name="Comma 6 8" xfId="528"/>
    <cellStyle name="Comma 6 8 2" xfId="1663"/>
    <cellStyle name="Comma 6 8 2 2" xfId="5083"/>
    <cellStyle name="Comma 6 8 2 2 2" xfId="11830"/>
    <cellStyle name="Comma 6 8 2 2 2 2" xfId="18369"/>
    <cellStyle name="Comma 6 8 2 2 3" xfId="15517"/>
    <cellStyle name="Comma 6 8 2 3" xfId="7355"/>
    <cellStyle name="Comma 6 8 2 3 2" xfId="12401"/>
    <cellStyle name="Comma 6 8 2 3 2 2" xfId="18940"/>
    <cellStyle name="Comma 6 8 2 3 3" xfId="16088"/>
    <cellStyle name="Comma 6 8 2 4" xfId="9627"/>
    <cellStyle name="Comma 6 8 2 4 2" xfId="12972"/>
    <cellStyle name="Comma 6 8 2 4 2 2" xfId="19511"/>
    <cellStyle name="Comma 6 8 2 4 3" xfId="16659"/>
    <cellStyle name="Comma 6 8 2 5" xfId="3302"/>
    <cellStyle name="Comma 6 8 2 5 2" xfId="11259"/>
    <cellStyle name="Comma 6 8 2 5 2 2" xfId="17798"/>
    <cellStyle name="Comma 6 8 2 5 3" xfId="14946"/>
    <cellStyle name="Comma 6 8 2 6" xfId="2727"/>
    <cellStyle name="Comma 6 8 2 6 2" xfId="14375"/>
    <cellStyle name="Comma 6 8 2 7" xfId="10688"/>
    <cellStyle name="Comma 6 8 2 7 2" xfId="17227"/>
    <cellStyle name="Comma 6 8 2 8" xfId="13806"/>
    <cellStyle name="Comma 6 8 3" xfId="3948"/>
    <cellStyle name="Comma 6 8 3 2" xfId="11545"/>
    <cellStyle name="Comma 6 8 3 2 2" xfId="18084"/>
    <cellStyle name="Comma 6 8 3 3" xfId="15232"/>
    <cellStyle name="Comma 6 8 4" xfId="6220"/>
    <cellStyle name="Comma 6 8 4 2" xfId="12116"/>
    <cellStyle name="Comma 6 8 4 2 2" xfId="18655"/>
    <cellStyle name="Comma 6 8 4 3" xfId="15803"/>
    <cellStyle name="Comma 6 8 5" xfId="8492"/>
    <cellStyle name="Comma 6 8 5 2" xfId="12687"/>
    <cellStyle name="Comma 6 8 5 2 2" xfId="19226"/>
    <cellStyle name="Comma 6 8 5 3" xfId="16374"/>
    <cellStyle name="Comma 6 8 6" xfId="3017"/>
    <cellStyle name="Comma 6 8 6 2" xfId="10974"/>
    <cellStyle name="Comma 6 8 6 2 2" xfId="17513"/>
    <cellStyle name="Comma 6 8 6 3" xfId="14661"/>
    <cellStyle name="Comma 6 8 7" xfId="2447"/>
    <cellStyle name="Comma 6 8 7 2" xfId="14095"/>
    <cellStyle name="Comma 6 8 8" xfId="10408"/>
    <cellStyle name="Comma 6 8 8 2" xfId="16947"/>
    <cellStyle name="Comma 6 8 9" xfId="13521"/>
    <cellStyle name="Comma 6 9" xfId="1209"/>
    <cellStyle name="Comma 6 9 2" xfId="4629"/>
    <cellStyle name="Comma 6 9 2 2" xfId="11716"/>
    <cellStyle name="Comma 6 9 2 2 2" xfId="18255"/>
    <cellStyle name="Comma 6 9 2 3" xfId="15403"/>
    <cellStyle name="Comma 6 9 3" xfId="6901"/>
    <cellStyle name="Comma 6 9 3 2" xfId="12287"/>
    <cellStyle name="Comma 6 9 3 2 2" xfId="18826"/>
    <cellStyle name="Comma 6 9 3 3" xfId="15974"/>
    <cellStyle name="Comma 6 9 4" xfId="9173"/>
    <cellStyle name="Comma 6 9 4 2" xfId="12858"/>
    <cellStyle name="Comma 6 9 4 2 2" xfId="19397"/>
    <cellStyle name="Comma 6 9 4 3" xfId="16545"/>
    <cellStyle name="Comma 6 9 5" xfId="3188"/>
    <cellStyle name="Comma 6 9 5 2" xfId="11145"/>
    <cellStyle name="Comma 6 9 5 2 2" xfId="17684"/>
    <cellStyle name="Comma 6 9 5 3" xfId="14832"/>
    <cellStyle name="Comma 6 9 6" xfId="2615"/>
    <cellStyle name="Comma 6 9 6 2" xfId="14263"/>
    <cellStyle name="Comma 6 9 7" xfId="10576"/>
    <cellStyle name="Comma 6 9 7 2" xfId="17115"/>
    <cellStyle name="Comma 6 9 8" xfId="13692"/>
    <cellStyle name="Comma 7" xfId="63"/>
    <cellStyle name="Comma 7 10" xfId="3496"/>
    <cellStyle name="Comma 7 10 2" xfId="11432"/>
    <cellStyle name="Comma 7 10 2 2" xfId="17971"/>
    <cellStyle name="Comma 7 10 3" xfId="15119"/>
    <cellStyle name="Comma 7 11" xfId="5768"/>
    <cellStyle name="Comma 7 11 2" xfId="12003"/>
    <cellStyle name="Comma 7 11 2 2" xfId="18542"/>
    <cellStyle name="Comma 7 11 3" xfId="15690"/>
    <cellStyle name="Comma 7 12" xfId="8040"/>
    <cellStyle name="Comma 7 12 2" xfId="12574"/>
    <cellStyle name="Comma 7 12 2 2" xfId="19113"/>
    <cellStyle name="Comma 7 12 3" xfId="16261"/>
    <cellStyle name="Comma 7 13" xfId="2899"/>
    <cellStyle name="Comma 7 13 2" xfId="10859"/>
    <cellStyle name="Comma 7 13 2 2" xfId="17398"/>
    <cellStyle name="Comma 7 13 3" xfId="14546"/>
    <cellStyle name="Comma 7 14" xfId="2334"/>
    <cellStyle name="Comma 7 14 2" xfId="13982"/>
    <cellStyle name="Comma 7 15" xfId="10295"/>
    <cellStyle name="Comma 7 15 2" xfId="16834"/>
    <cellStyle name="Comma 7 16" xfId="13261"/>
    <cellStyle name="Comma 7 16 2" xfId="19770"/>
    <cellStyle name="Comma 7 17" xfId="13406"/>
    <cellStyle name="Comma 7 2" xfId="93"/>
    <cellStyle name="Comma 7 2 10" xfId="5796"/>
    <cellStyle name="Comma 7 2 10 2" xfId="12010"/>
    <cellStyle name="Comma 7 2 10 2 2" xfId="18549"/>
    <cellStyle name="Comma 7 2 10 3" xfId="15697"/>
    <cellStyle name="Comma 7 2 11" xfId="8068"/>
    <cellStyle name="Comma 7 2 11 2" xfId="12581"/>
    <cellStyle name="Comma 7 2 11 2 2" xfId="19120"/>
    <cellStyle name="Comma 7 2 11 3" xfId="16268"/>
    <cellStyle name="Comma 7 2 12" xfId="2908"/>
    <cellStyle name="Comma 7 2 12 2" xfId="10867"/>
    <cellStyle name="Comma 7 2 12 2 2" xfId="17406"/>
    <cellStyle name="Comma 7 2 12 3" xfId="14554"/>
    <cellStyle name="Comma 7 2 13" xfId="2342"/>
    <cellStyle name="Comma 7 2 13 2" xfId="13990"/>
    <cellStyle name="Comma 7 2 14" xfId="10303"/>
    <cellStyle name="Comma 7 2 14 2" xfId="16842"/>
    <cellStyle name="Comma 7 2 15" xfId="13262"/>
    <cellStyle name="Comma 7 2 15 2" xfId="19771"/>
    <cellStyle name="Comma 7 2 16" xfId="13414"/>
    <cellStyle name="Comma 7 2 2" xfId="205"/>
    <cellStyle name="Comma 7 2 2 10" xfId="2370"/>
    <cellStyle name="Comma 7 2 2 10 2" xfId="14018"/>
    <cellStyle name="Comma 7 2 2 11" xfId="10331"/>
    <cellStyle name="Comma 7 2 2 11 2" xfId="16870"/>
    <cellStyle name="Comma 7 2 2 12" xfId="13442"/>
    <cellStyle name="Comma 7 2 2 2" xfId="443"/>
    <cellStyle name="Comma 7 2 2 2 10" xfId="13500"/>
    <cellStyle name="Comma 7 2 2 2 2" xfId="897"/>
    <cellStyle name="Comma 7 2 2 2 2 2" xfId="2032"/>
    <cellStyle name="Comma 7 2 2 2 2 2 2" xfId="5452"/>
    <cellStyle name="Comma 7 2 2 2 2 2 2 2" xfId="11923"/>
    <cellStyle name="Comma 7 2 2 2 2 2 2 2 2" xfId="18462"/>
    <cellStyle name="Comma 7 2 2 2 2 2 2 3" xfId="15610"/>
    <cellStyle name="Comma 7 2 2 2 2 2 3" xfId="7724"/>
    <cellStyle name="Comma 7 2 2 2 2 2 3 2" xfId="12494"/>
    <cellStyle name="Comma 7 2 2 2 2 2 3 2 2" xfId="19033"/>
    <cellStyle name="Comma 7 2 2 2 2 2 3 3" xfId="16181"/>
    <cellStyle name="Comma 7 2 2 2 2 2 4" xfId="9996"/>
    <cellStyle name="Comma 7 2 2 2 2 2 4 2" xfId="13065"/>
    <cellStyle name="Comma 7 2 2 2 2 2 4 2 2" xfId="19604"/>
    <cellStyle name="Comma 7 2 2 2 2 2 4 3" xfId="16752"/>
    <cellStyle name="Comma 7 2 2 2 2 2 5" xfId="3395"/>
    <cellStyle name="Comma 7 2 2 2 2 2 5 2" xfId="11352"/>
    <cellStyle name="Comma 7 2 2 2 2 2 5 2 2" xfId="17891"/>
    <cellStyle name="Comma 7 2 2 2 2 2 5 3" xfId="15039"/>
    <cellStyle name="Comma 7 2 2 2 2 2 6" xfId="2819"/>
    <cellStyle name="Comma 7 2 2 2 2 2 6 2" xfId="14467"/>
    <cellStyle name="Comma 7 2 2 2 2 2 7" xfId="10780"/>
    <cellStyle name="Comma 7 2 2 2 2 2 7 2" xfId="17319"/>
    <cellStyle name="Comma 7 2 2 2 2 2 8" xfId="13899"/>
    <cellStyle name="Comma 7 2 2 2 2 3" xfId="4317"/>
    <cellStyle name="Comma 7 2 2 2 2 3 2" xfId="11638"/>
    <cellStyle name="Comma 7 2 2 2 2 3 2 2" xfId="18177"/>
    <cellStyle name="Comma 7 2 2 2 2 3 3" xfId="15325"/>
    <cellStyle name="Comma 7 2 2 2 2 4" xfId="6589"/>
    <cellStyle name="Comma 7 2 2 2 2 4 2" xfId="12209"/>
    <cellStyle name="Comma 7 2 2 2 2 4 2 2" xfId="18748"/>
    <cellStyle name="Comma 7 2 2 2 2 4 3" xfId="15896"/>
    <cellStyle name="Comma 7 2 2 2 2 5" xfId="8861"/>
    <cellStyle name="Comma 7 2 2 2 2 5 2" xfId="12780"/>
    <cellStyle name="Comma 7 2 2 2 2 5 2 2" xfId="19319"/>
    <cellStyle name="Comma 7 2 2 2 2 5 3" xfId="16467"/>
    <cellStyle name="Comma 7 2 2 2 2 6" xfId="3110"/>
    <cellStyle name="Comma 7 2 2 2 2 6 2" xfId="11067"/>
    <cellStyle name="Comma 7 2 2 2 2 6 2 2" xfId="17606"/>
    <cellStyle name="Comma 7 2 2 2 2 6 3" xfId="14754"/>
    <cellStyle name="Comma 7 2 2 2 2 7" xfId="2539"/>
    <cellStyle name="Comma 7 2 2 2 2 7 2" xfId="14187"/>
    <cellStyle name="Comma 7 2 2 2 2 8" xfId="10500"/>
    <cellStyle name="Comma 7 2 2 2 2 8 2" xfId="17039"/>
    <cellStyle name="Comma 7 2 2 2 2 9" xfId="13614"/>
    <cellStyle name="Comma 7 2 2 2 3" xfId="1578"/>
    <cellStyle name="Comma 7 2 2 2 3 2" xfId="4998"/>
    <cellStyle name="Comma 7 2 2 2 3 2 2" xfId="11809"/>
    <cellStyle name="Comma 7 2 2 2 3 2 2 2" xfId="18348"/>
    <cellStyle name="Comma 7 2 2 2 3 2 3" xfId="15496"/>
    <cellStyle name="Comma 7 2 2 2 3 3" xfId="7270"/>
    <cellStyle name="Comma 7 2 2 2 3 3 2" xfId="12380"/>
    <cellStyle name="Comma 7 2 2 2 3 3 2 2" xfId="18919"/>
    <cellStyle name="Comma 7 2 2 2 3 3 3" xfId="16067"/>
    <cellStyle name="Comma 7 2 2 2 3 4" xfId="9542"/>
    <cellStyle name="Comma 7 2 2 2 3 4 2" xfId="12951"/>
    <cellStyle name="Comma 7 2 2 2 3 4 2 2" xfId="19490"/>
    <cellStyle name="Comma 7 2 2 2 3 4 3" xfId="16638"/>
    <cellStyle name="Comma 7 2 2 2 3 5" xfId="3281"/>
    <cellStyle name="Comma 7 2 2 2 3 5 2" xfId="11238"/>
    <cellStyle name="Comma 7 2 2 2 3 5 2 2" xfId="17777"/>
    <cellStyle name="Comma 7 2 2 2 3 5 3" xfId="14925"/>
    <cellStyle name="Comma 7 2 2 2 3 6" xfId="2707"/>
    <cellStyle name="Comma 7 2 2 2 3 6 2" xfId="14355"/>
    <cellStyle name="Comma 7 2 2 2 3 7" xfId="10668"/>
    <cellStyle name="Comma 7 2 2 2 3 7 2" xfId="17207"/>
    <cellStyle name="Comma 7 2 2 2 3 8" xfId="13785"/>
    <cellStyle name="Comma 7 2 2 2 4" xfId="3863"/>
    <cellStyle name="Comma 7 2 2 2 4 2" xfId="11524"/>
    <cellStyle name="Comma 7 2 2 2 4 2 2" xfId="18063"/>
    <cellStyle name="Comma 7 2 2 2 4 3" xfId="15211"/>
    <cellStyle name="Comma 7 2 2 2 5" xfId="6135"/>
    <cellStyle name="Comma 7 2 2 2 5 2" xfId="12095"/>
    <cellStyle name="Comma 7 2 2 2 5 2 2" xfId="18634"/>
    <cellStyle name="Comma 7 2 2 2 5 3" xfId="15782"/>
    <cellStyle name="Comma 7 2 2 2 6" xfId="8407"/>
    <cellStyle name="Comma 7 2 2 2 6 2" xfId="12666"/>
    <cellStyle name="Comma 7 2 2 2 6 2 2" xfId="19205"/>
    <cellStyle name="Comma 7 2 2 2 6 3" xfId="16353"/>
    <cellStyle name="Comma 7 2 2 2 7" xfId="2996"/>
    <cellStyle name="Comma 7 2 2 2 7 2" xfId="10953"/>
    <cellStyle name="Comma 7 2 2 2 7 2 2" xfId="17492"/>
    <cellStyle name="Comma 7 2 2 2 7 3" xfId="14640"/>
    <cellStyle name="Comma 7 2 2 2 8" xfId="2427"/>
    <cellStyle name="Comma 7 2 2 2 8 2" xfId="14075"/>
    <cellStyle name="Comma 7 2 2 2 9" xfId="10388"/>
    <cellStyle name="Comma 7 2 2 2 9 2" xfId="16927"/>
    <cellStyle name="Comma 7 2 2 3" xfId="1124"/>
    <cellStyle name="Comma 7 2 2 3 2" xfId="2259"/>
    <cellStyle name="Comma 7 2 2 3 2 2" xfId="5679"/>
    <cellStyle name="Comma 7 2 2 3 2 2 2" xfId="11980"/>
    <cellStyle name="Comma 7 2 2 3 2 2 2 2" xfId="18519"/>
    <cellStyle name="Comma 7 2 2 3 2 2 3" xfId="15667"/>
    <cellStyle name="Comma 7 2 2 3 2 3" xfId="7951"/>
    <cellStyle name="Comma 7 2 2 3 2 3 2" xfId="12551"/>
    <cellStyle name="Comma 7 2 2 3 2 3 2 2" xfId="19090"/>
    <cellStyle name="Comma 7 2 2 3 2 3 3" xfId="16238"/>
    <cellStyle name="Comma 7 2 2 3 2 4" xfId="10223"/>
    <cellStyle name="Comma 7 2 2 3 2 4 2" xfId="13122"/>
    <cellStyle name="Comma 7 2 2 3 2 4 2 2" xfId="19661"/>
    <cellStyle name="Comma 7 2 2 3 2 4 3" xfId="16809"/>
    <cellStyle name="Comma 7 2 2 3 2 5" xfId="3452"/>
    <cellStyle name="Comma 7 2 2 3 2 5 2" xfId="11409"/>
    <cellStyle name="Comma 7 2 2 3 2 5 2 2" xfId="17948"/>
    <cellStyle name="Comma 7 2 2 3 2 5 3" xfId="15096"/>
    <cellStyle name="Comma 7 2 2 3 2 6" xfId="2875"/>
    <cellStyle name="Comma 7 2 2 3 2 6 2" xfId="14523"/>
    <cellStyle name="Comma 7 2 2 3 2 7" xfId="10836"/>
    <cellStyle name="Comma 7 2 2 3 2 7 2" xfId="17375"/>
    <cellStyle name="Comma 7 2 2 3 2 8" xfId="13956"/>
    <cellStyle name="Comma 7 2 2 3 3" xfId="4544"/>
    <cellStyle name="Comma 7 2 2 3 3 2" xfId="11695"/>
    <cellStyle name="Comma 7 2 2 3 3 2 2" xfId="18234"/>
    <cellStyle name="Comma 7 2 2 3 3 3" xfId="15382"/>
    <cellStyle name="Comma 7 2 2 3 4" xfId="6816"/>
    <cellStyle name="Comma 7 2 2 3 4 2" xfId="12266"/>
    <cellStyle name="Comma 7 2 2 3 4 2 2" xfId="18805"/>
    <cellStyle name="Comma 7 2 2 3 4 3" xfId="15953"/>
    <cellStyle name="Comma 7 2 2 3 5" xfId="9088"/>
    <cellStyle name="Comma 7 2 2 3 5 2" xfId="12837"/>
    <cellStyle name="Comma 7 2 2 3 5 2 2" xfId="19376"/>
    <cellStyle name="Comma 7 2 2 3 5 3" xfId="16524"/>
    <cellStyle name="Comma 7 2 2 3 6" xfId="3167"/>
    <cellStyle name="Comma 7 2 2 3 6 2" xfId="11124"/>
    <cellStyle name="Comma 7 2 2 3 6 2 2" xfId="17663"/>
    <cellStyle name="Comma 7 2 2 3 6 3" xfId="14811"/>
    <cellStyle name="Comma 7 2 2 3 7" xfId="2595"/>
    <cellStyle name="Comma 7 2 2 3 7 2" xfId="14243"/>
    <cellStyle name="Comma 7 2 2 3 8" xfId="10556"/>
    <cellStyle name="Comma 7 2 2 3 8 2" xfId="17095"/>
    <cellStyle name="Comma 7 2 2 3 9" xfId="13671"/>
    <cellStyle name="Comma 7 2 2 4" xfId="670"/>
    <cellStyle name="Comma 7 2 2 4 2" xfId="1805"/>
    <cellStyle name="Comma 7 2 2 4 2 2" xfId="5225"/>
    <cellStyle name="Comma 7 2 2 4 2 2 2" xfId="11866"/>
    <cellStyle name="Comma 7 2 2 4 2 2 2 2" xfId="18405"/>
    <cellStyle name="Comma 7 2 2 4 2 2 3" xfId="15553"/>
    <cellStyle name="Comma 7 2 2 4 2 3" xfId="7497"/>
    <cellStyle name="Comma 7 2 2 4 2 3 2" xfId="12437"/>
    <cellStyle name="Comma 7 2 2 4 2 3 2 2" xfId="18976"/>
    <cellStyle name="Comma 7 2 2 4 2 3 3" xfId="16124"/>
    <cellStyle name="Comma 7 2 2 4 2 4" xfId="9769"/>
    <cellStyle name="Comma 7 2 2 4 2 4 2" xfId="13008"/>
    <cellStyle name="Comma 7 2 2 4 2 4 2 2" xfId="19547"/>
    <cellStyle name="Comma 7 2 2 4 2 4 3" xfId="16695"/>
    <cellStyle name="Comma 7 2 2 4 2 5" xfId="3338"/>
    <cellStyle name="Comma 7 2 2 4 2 5 2" xfId="11295"/>
    <cellStyle name="Comma 7 2 2 4 2 5 2 2" xfId="17834"/>
    <cellStyle name="Comma 7 2 2 4 2 5 3" xfId="14982"/>
    <cellStyle name="Comma 7 2 2 4 2 6" xfId="2763"/>
    <cellStyle name="Comma 7 2 2 4 2 6 2" xfId="14411"/>
    <cellStyle name="Comma 7 2 2 4 2 7" xfId="10724"/>
    <cellStyle name="Comma 7 2 2 4 2 7 2" xfId="17263"/>
    <cellStyle name="Comma 7 2 2 4 2 8" xfId="13842"/>
    <cellStyle name="Comma 7 2 2 4 3" xfId="4090"/>
    <cellStyle name="Comma 7 2 2 4 3 2" xfId="11581"/>
    <cellStyle name="Comma 7 2 2 4 3 2 2" xfId="18120"/>
    <cellStyle name="Comma 7 2 2 4 3 3" xfId="15268"/>
    <cellStyle name="Comma 7 2 2 4 4" xfId="6362"/>
    <cellStyle name="Comma 7 2 2 4 4 2" xfId="12152"/>
    <cellStyle name="Comma 7 2 2 4 4 2 2" xfId="18691"/>
    <cellStyle name="Comma 7 2 2 4 4 3" xfId="15839"/>
    <cellStyle name="Comma 7 2 2 4 5" xfId="8634"/>
    <cellStyle name="Comma 7 2 2 4 5 2" xfId="12723"/>
    <cellStyle name="Comma 7 2 2 4 5 2 2" xfId="19262"/>
    <cellStyle name="Comma 7 2 2 4 5 3" xfId="16410"/>
    <cellStyle name="Comma 7 2 2 4 6" xfId="3053"/>
    <cellStyle name="Comma 7 2 2 4 6 2" xfId="11010"/>
    <cellStyle name="Comma 7 2 2 4 6 2 2" xfId="17549"/>
    <cellStyle name="Comma 7 2 2 4 6 3" xfId="14697"/>
    <cellStyle name="Comma 7 2 2 4 7" xfId="2483"/>
    <cellStyle name="Comma 7 2 2 4 7 2" xfId="14131"/>
    <cellStyle name="Comma 7 2 2 4 8" xfId="10444"/>
    <cellStyle name="Comma 7 2 2 4 8 2" xfId="16983"/>
    <cellStyle name="Comma 7 2 2 4 9" xfId="13557"/>
    <cellStyle name="Comma 7 2 2 5" xfId="1351"/>
    <cellStyle name="Comma 7 2 2 5 2" xfId="4771"/>
    <cellStyle name="Comma 7 2 2 5 2 2" xfId="11752"/>
    <cellStyle name="Comma 7 2 2 5 2 2 2" xfId="18291"/>
    <cellStyle name="Comma 7 2 2 5 2 3" xfId="15439"/>
    <cellStyle name="Comma 7 2 2 5 3" xfId="7043"/>
    <cellStyle name="Comma 7 2 2 5 3 2" xfId="12323"/>
    <cellStyle name="Comma 7 2 2 5 3 2 2" xfId="18862"/>
    <cellStyle name="Comma 7 2 2 5 3 3" xfId="16010"/>
    <cellStyle name="Comma 7 2 2 5 4" xfId="9315"/>
    <cellStyle name="Comma 7 2 2 5 4 2" xfId="12894"/>
    <cellStyle name="Comma 7 2 2 5 4 2 2" xfId="19433"/>
    <cellStyle name="Comma 7 2 2 5 4 3" xfId="16581"/>
    <cellStyle name="Comma 7 2 2 5 5" xfId="3224"/>
    <cellStyle name="Comma 7 2 2 5 5 2" xfId="11181"/>
    <cellStyle name="Comma 7 2 2 5 5 2 2" xfId="17720"/>
    <cellStyle name="Comma 7 2 2 5 5 3" xfId="14868"/>
    <cellStyle name="Comma 7 2 2 5 6" xfId="2651"/>
    <cellStyle name="Comma 7 2 2 5 6 2" xfId="14299"/>
    <cellStyle name="Comma 7 2 2 5 7" xfId="10612"/>
    <cellStyle name="Comma 7 2 2 5 7 2" xfId="17151"/>
    <cellStyle name="Comma 7 2 2 5 8" xfId="13728"/>
    <cellStyle name="Comma 7 2 2 6" xfId="3636"/>
    <cellStyle name="Comma 7 2 2 6 2" xfId="11467"/>
    <cellStyle name="Comma 7 2 2 6 2 2" xfId="18006"/>
    <cellStyle name="Comma 7 2 2 6 3" xfId="15154"/>
    <cellStyle name="Comma 7 2 2 7" xfId="5908"/>
    <cellStyle name="Comma 7 2 2 7 2" xfId="12038"/>
    <cellStyle name="Comma 7 2 2 7 2 2" xfId="18577"/>
    <cellStyle name="Comma 7 2 2 7 3" xfId="15725"/>
    <cellStyle name="Comma 7 2 2 8" xfId="8180"/>
    <cellStyle name="Comma 7 2 2 8 2" xfId="12609"/>
    <cellStyle name="Comma 7 2 2 8 2 2" xfId="19148"/>
    <cellStyle name="Comma 7 2 2 8 3" xfId="16296"/>
    <cellStyle name="Comma 7 2 2 9" xfId="2936"/>
    <cellStyle name="Comma 7 2 2 9 2" xfId="10895"/>
    <cellStyle name="Comma 7 2 2 9 2 2" xfId="17434"/>
    <cellStyle name="Comma 7 2 2 9 3" xfId="14582"/>
    <cellStyle name="Comma 7 2 3" xfId="149"/>
    <cellStyle name="Comma 7 2 3 10" xfId="2356"/>
    <cellStyle name="Comma 7 2 3 10 2" xfId="14004"/>
    <cellStyle name="Comma 7 2 3 11" xfId="10317"/>
    <cellStyle name="Comma 7 2 3 11 2" xfId="16856"/>
    <cellStyle name="Comma 7 2 3 12" xfId="13428"/>
    <cellStyle name="Comma 7 2 3 2" xfId="387"/>
    <cellStyle name="Comma 7 2 3 2 10" xfId="13486"/>
    <cellStyle name="Comma 7 2 3 2 2" xfId="841"/>
    <cellStyle name="Comma 7 2 3 2 2 2" xfId="1976"/>
    <cellStyle name="Comma 7 2 3 2 2 2 2" xfId="5396"/>
    <cellStyle name="Comma 7 2 3 2 2 2 2 2" xfId="11909"/>
    <cellStyle name="Comma 7 2 3 2 2 2 2 2 2" xfId="18448"/>
    <cellStyle name="Comma 7 2 3 2 2 2 2 3" xfId="15596"/>
    <cellStyle name="Comma 7 2 3 2 2 2 3" xfId="7668"/>
    <cellStyle name="Comma 7 2 3 2 2 2 3 2" xfId="12480"/>
    <cellStyle name="Comma 7 2 3 2 2 2 3 2 2" xfId="19019"/>
    <cellStyle name="Comma 7 2 3 2 2 2 3 3" xfId="16167"/>
    <cellStyle name="Comma 7 2 3 2 2 2 4" xfId="9940"/>
    <cellStyle name="Comma 7 2 3 2 2 2 4 2" xfId="13051"/>
    <cellStyle name="Comma 7 2 3 2 2 2 4 2 2" xfId="19590"/>
    <cellStyle name="Comma 7 2 3 2 2 2 4 3" xfId="16738"/>
    <cellStyle name="Comma 7 2 3 2 2 2 5" xfId="3381"/>
    <cellStyle name="Comma 7 2 3 2 2 2 5 2" xfId="11338"/>
    <cellStyle name="Comma 7 2 3 2 2 2 5 2 2" xfId="17877"/>
    <cellStyle name="Comma 7 2 3 2 2 2 5 3" xfId="15025"/>
    <cellStyle name="Comma 7 2 3 2 2 2 6" xfId="2805"/>
    <cellStyle name="Comma 7 2 3 2 2 2 6 2" xfId="14453"/>
    <cellStyle name="Comma 7 2 3 2 2 2 7" xfId="10766"/>
    <cellStyle name="Comma 7 2 3 2 2 2 7 2" xfId="17305"/>
    <cellStyle name="Comma 7 2 3 2 2 2 8" xfId="13885"/>
    <cellStyle name="Comma 7 2 3 2 2 3" xfId="4261"/>
    <cellStyle name="Comma 7 2 3 2 2 3 2" xfId="11624"/>
    <cellStyle name="Comma 7 2 3 2 2 3 2 2" xfId="18163"/>
    <cellStyle name="Comma 7 2 3 2 2 3 3" xfId="15311"/>
    <cellStyle name="Comma 7 2 3 2 2 4" xfId="6533"/>
    <cellStyle name="Comma 7 2 3 2 2 4 2" xfId="12195"/>
    <cellStyle name="Comma 7 2 3 2 2 4 2 2" xfId="18734"/>
    <cellStyle name="Comma 7 2 3 2 2 4 3" xfId="15882"/>
    <cellStyle name="Comma 7 2 3 2 2 5" xfId="8805"/>
    <cellStyle name="Comma 7 2 3 2 2 5 2" xfId="12766"/>
    <cellStyle name="Comma 7 2 3 2 2 5 2 2" xfId="19305"/>
    <cellStyle name="Comma 7 2 3 2 2 5 3" xfId="16453"/>
    <cellStyle name="Comma 7 2 3 2 2 6" xfId="3096"/>
    <cellStyle name="Comma 7 2 3 2 2 6 2" xfId="11053"/>
    <cellStyle name="Comma 7 2 3 2 2 6 2 2" xfId="17592"/>
    <cellStyle name="Comma 7 2 3 2 2 6 3" xfId="14740"/>
    <cellStyle name="Comma 7 2 3 2 2 7" xfId="2525"/>
    <cellStyle name="Comma 7 2 3 2 2 7 2" xfId="14173"/>
    <cellStyle name="Comma 7 2 3 2 2 8" xfId="10486"/>
    <cellStyle name="Comma 7 2 3 2 2 8 2" xfId="17025"/>
    <cellStyle name="Comma 7 2 3 2 2 9" xfId="13600"/>
    <cellStyle name="Comma 7 2 3 2 3" xfId="1522"/>
    <cellStyle name="Comma 7 2 3 2 3 2" xfId="4942"/>
    <cellStyle name="Comma 7 2 3 2 3 2 2" xfId="11795"/>
    <cellStyle name="Comma 7 2 3 2 3 2 2 2" xfId="18334"/>
    <cellStyle name="Comma 7 2 3 2 3 2 3" xfId="15482"/>
    <cellStyle name="Comma 7 2 3 2 3 3" xfId="7214"/>
    <cellStyle name="Comma 7 2 3 2 3 3 2" xfId="12366"/>
    <cellStyle name="Comma 7 2 3 2 3 3 2 2" xfId="18905"/>
    <cellStyle name="Comma 7 2 3 2 3 3 3" xfId="16053"/>
    <cellStyle name="Comma 7 2 3 2 3 4" xfId="9486"/>
    <cellStyle name="Comma 7 2 3 2 3 4 2" xfId="12937"/>
    <cellStyle name="Comma 7 2 3 2 3 4 2 2" xfId="19476"/>
    <cellStyle name="Comma 7 2 3 2 3 4 3" xfId="16624"/>
    <cellStyle name="Comma 7 2 3 2 3 5" xfId="3267"/>
    <cellStyle name="Comma 7 2 3 2 3 5 2" xfId="11224"/>
    <cellStyle name="Comma 7 2 3 2 3 5 2 2" xfId="17763"/>
    <cellStyle name="Comma 7 2 3 2 3 5 3" xfId="14911"/>
    <cellStyle name="Comma 7 2 3 2 3 6" xfId="2693"/>
    <cellStyle name="Comma 7 2 3 2 3 6 2" xfId="14341"/>
    <cellStyle name="Comma 7 2 3 2 3 7" xfId="10654"/>
    <cellStyle name="Comma 7 2 3 2 3 7 2" xfId="17193"/>
    <cellStyle name="Comma 7 2 3 2 3 8" xfId="13771"/>
    <cellStyle name="Comma 7 2 3 2 4" xfId="3807"/>
    <cellStyle name="Comma 7 2 3 2 4 2" xfId="11510"/>
    <cellStyle name="Comma 7 2 3 2 4 2 2" xfId="18049"/>
    <cellStyle name="Comma 7 2 3 2 4 3" xfId="15197"/>
    <cellStyle name="Comma 7 2 3 2 5" xfId="6079"/>
    <cellStyle name="Comma 7 2 3 2 5 2" xfId="12081"/>
    <cellStyle name="Comma 7 2 3 2 5 2 2" xfId="18620"/>
    <cellStyle name="Comma 7 2 3 2 5 3" xfId="15768"/>
    <cellStyle name="Comma 7 2 3 2 6" xfId="8351"/>
    <cellStyle name="Comma 7 2 3 2 6 2" xfId="12652"/>
    <cellStyle name="Comma 7 2 3 2 6 2 2" xfId="19191"/>
    <cellStyle name="Comma 7 2 3 2 6 3" xfId="16339"/>
    <cellStyle name="Comma 7 2 3 2 7" xfId="2982"/>
    <cellStyle name="Comma 7 2 3 2 7 2" xfId="10939"/>
    <cellStyle name="Comma 7 2 3 2 7 2 2" xfId="17478"/>
    <cellStyle name="Comma 7 2 3 2 7 3" xfId="14626"/>
    <cellStyle name="Comma 7 2 3 2 8" xfId="2413"/>
    <cellStyle name="Comma 7 2 3 2 8 2" xfId="14061"/>
    <cellStyle name="Comma 7 2 3 2 9" xfId="10374"/>
    <cellStyle name="Comma 7 2 3 2 9 2" xfId="16913"/>
    <cellStyle name="Comma 7 2 3 3" xfId="1068"/>
    <cellStyle name="Comma 7 2 3 3 2" xfId="2203"/>
    <cellStyle name="Comma 7 2 3 3 2 2" xfId="5623"/>
    <cellStyle name="Comma 7 2 3 3 2 2 2" xfId="11966"/>
    <cellStyle name="Comma 7 2 3 3 2 2 2 2" xfId="18505"/>
    <cellStyle name="Comma 7 2 3 3 2 2 3" xfId="15653"/>
    <cellStyle name="Comma 7 2 3 3 2 3" xfId="7895"/>
    <cellStyle name="Comma 7 2 3 3 2 3 2" xfId="12537"/>
    <cellStyle name="Comma 7 2 3 3 2 3 2 2" xfId="19076"/>
    <cellStyle name="Comma 7 2 3 3 2 3 3" xfId="16224"/>
    <cellStyle name="Comma 7 2 3 3 2 4" xfId="10167"/>
    <cellStyle name="Comma 7 2 3 3 2 4 2" xfId="13108"/>
    <cellStyle name="Comma 7 2 3 3 2 4 2 2" xfId="19647"/>
    <cellStyle name="Comma 7 2 3 3 2 4 3" xfId="16795"/>
    <cellStyle name="Comma 7 2 3 3 2 5" xfId="3438"/>
    <cellStyle name="Comma 7 2 3 3 2 5 2" xfId="11395"/>
    <cellStyle name="Comma 7 2 3 3 2 5 2 2" xfId="17934"/>
    <cellStyle name="Comma 7 2 3 3 2 5 3" xfId="15082"/>
    <cellStyle name="Comma 7 2 3 3 2 6" xfId="2861"/>
    <cellStyle name="Comma 7 2 3 3 2 6 2" xfId="14509"/>
    <cellStyle name="Comma 7 2 3 3 2 7" xfId="10822"/>
    <cellStyle name="Comma 7 2 3 3 2 7 2" xfId="17361"/>
    <cellStyle name="Comma 7 2 3 3 2 8" xfId="13942"/>
    <cellStyle name="Comma 7 2 3 3 3" xfId="4488"/>
    <cellStyle name="Comma 7 2 3 3 3 2" xfId="11681"/>
    <cellStyle name="Comma 7 2 3 3 3 2 2" xfId="18220"/>
    <cellStyle name="Comma 7 2 3 3 3 3" xfId="15368"/>
    <cellStyle name="Comma 7 2 3 3 4" xfId="6760"/>
    <cellStyle name="Comma 7 2 3 3 4 2" xfId="12252"/>
    <cellStyle name="Comma 7 2 3 3 4 2 2" xfId="18791"/>
    <cellStyle name="Comma 7 2 3 3 4 3" xfId="15939"/>
    <cellStyle name="Comma 7 2 3 3 5" xfId="9032"/>
    <cellStyle name="Comma 7 2 3 3 5 2" xfId="12823"/>
    <cellStyle name="Comma 7 2 3 3 5 2 2" xfId="19362"/>
    <cellStyle name="Comma 7 2 3 3 5 3" xfId="16510"/>
    <cellStyle name="Comma 7 2 3 3 6" xfId="3153"/>
    <cellStyle name="Comma 7 2 3 3 6 2" xfId="11110"/>
    <cellStyle name="Comma 7 2 3 3 6 2 2" xfId="17649"/>
    <cellStyle name="Comma 7 2 3 3 6 3" xfId="14797"/>
    <cellStyle name="Comma 7 2 3 3 7" xfId="2581"/>
    <cellStyle name="Comma 7 2 3 3 7 2" xfId="14229"/>
    <cellStyle name="Comma 7 2 3 3 8" xfId="10542"/>
    <cellStyle name="Comma 7 2 3 3 8 2" xfId="17081"/>
    <cellStyle name="Comma 7 2 3 3 9" xfId="13657"/>
    <cellStyle name="Comma 7 2 3 4" xfId="614"/>
    <cellStyle name="Comma 7 2 3 4 2" xfId="1749"/>
    <cellStyle name="Comma 7 2 3 4 2 2" xfId="5169"/>
    <cellStyle name="Comma 7 2 3 4 2 2 2" xfId="11852"/>
    <cellStyle name="Comma 7 2 3 4 2 2 2 2" xfId="18391"/>
    <cellStyle name="Comma 7 2 3 4 2 2 3" xfId="15539"/>
    <cellStyle name="Comma 7 2 3 4 2 3" xfId="7441"/>
    <cellStyle name="Comma 7 2 3 4 2 3 2" xfId="12423"/>
    <cellStyle name="Comma 7 2 3 4 2 3 2 2" xfId="18962"/>
    <cellStyle name="Comma 7 2 3 4 2 3 3" xfId="16110"/>
    <cellStyle name="Comma 7 2 3 4 2 4" xfId="9713"/>
    <cellStyle name="Comma 7 2 3 4 2 4 2" xfId="12994"/>
    <cellStyle name="Comma 7 2 3 4 2 4 2 2" xfId="19533"/>
    <cellStyle name="Comma 7 2 3 4 2 4 3" xfId="16681"/>
    <cellStyle name="Comma 7 2 3 4 2 5" xfId="3324"/>
    <cellStyle name="Comma 7 2 3 4 2 5 2" xfId="11281"/>
    <cellStyle name="Comma 7 2 3 4 2 5 2 2" xfId="17820"/>
    <cellStyle name="Comma 7 2 3 4 2 5 3" xfId="14968"/>
    <cellStyle name="Comma 7 2 3 4 2 6" xfId="2749"/>
    <cellStyle name="Comma 7 2 3 4 2 6 2" xfId="14397"/>
    <cellStyle name="Comma 7 2 3 4 2 7" xfId="10710"/>
    <cellStyle name="Comma 7 2 3 4 2 7 2" xfId="17249"/>
    <cellStyle name="Comma 7 2 3 4 2 8" xfId="13828"/>
    <cellStyle name="Comma 7 2 3 4 3" xfId="4034"/>
    <cellStyle name="Comma 7 2 3 4 3 2" xfId="11567"/>
    <cellStyle name="Comma 7 2 3 4 3 2 2" xfId="18106"/>
    <cellStyle name="Comma 7 2 3 4 3 3" xfId="15254"/>
    <cellStyle name="Comma 7 2 3 4 4" xfId="6306"/>
    <cellStyle name="Comma 7 2 3 4 4 2" xfId="12138"/>
    <cellStyle name="Comma 7 2 3 4 4 2 2" xfId="18677"/>
    <cellStyle name="Comma 7 2 3 4 4 3" xfId="15825"/>
    <cellStyle name="Comma 7 2 3 4 5" xfId="8578"/>
    <cellStyle name="Comma 7 2 3 4 5 2" xfId="12709"/>
    <cellStyle name="Comma 7 2 3 4 5 2 2" xfId="19248"/>
    <cellStyle name="Comma 7 2 3 4 5 3" xfId="16396"/>
    <cellStyle name="Comma 7 2 3 4 6" xfId="3039"/>
    <cellStyle name="Comma 7 2 3 4 6 2" xfId="10996"/>
    <cellStyle name="Comma 7 2 3 4 6 2 2" xfId="17535"/>
    <cellStyle name="Comma 7 2 3 4 6 3" xfId="14683"/>
    <cellStyle name="Comma 7 2 3 4 7" xfId="2469"/>
    <cellStyle name="Comma 7 2 3 4 7 2" xfId="14117"/>
    <cellStyle name="Comma 7 2 3 4 8" xfId="10430"/>
    <cellStyle name="Comma 7 2 3 4 8 2" xfId="16969"/>
    <cellStyle name="Comma 7 2 3 4 9" xfId="13543"/>
    <cellStyle name="Comma 7 2 3 5" xfId="1295"/>
    <cellStyle name="Comma 7 2 3 5 2" xfId="4715"/>
    <cellStyle name="Comma 7 2 3 5 2 2" xfId="11738"/>
    <cellStyle name="Comma 7 2 3 5 2 2 2" xfId="18277"/>
    <cellStyle name="Comma 7 2 3 5 2 3" xfId="15425"/>
    <cellStyle name="Comma 7 2 3 5 3" xfId="6987"/>
    <cellStyle name="Comma 7 2 3 5 3 2" xfId="12309"/>
    <cellStyle name="Comma 7 2 3 5 3 2 2" xfId="18848"/>
    <cellStyle name="Comma 7 2 3 5 3 3" xfId="15996"/>
    <cellStyle name="Comma 7 2 3 5 4" xfId="9259"/>
    <cellStyle name="Comma 7 2 3 5 4 2" xfId="12880"/>
    <cellStyle name="Comma 7 2 3 5 4 2 2" xfId="19419"/>
    <cellStyle name="Comma 7 2 3 5 4 3" xfId="16567"/>
    <cellStyle name="Comma 7 2 3 5 5" xfId="3210"/>
    <cellStyle name="Comma 7 2 3 5 5 2" xfId="11167"/>
    <cellStyle name="Comma 7 2 3 5 5 2 2" xfId="17706"/>
    <cellStyle name="Comma 7 2 3 5 5 3" xfId="14854"/>
    <cellStyle name="Comma 7 2 3 5 6" xfId="2637"/>
    <cellStyle name="Comma 7 2 3 5 6 2" xfId="14285"/>
    <cellStyle name="Comma 7 2 3 5 7" xfId="10598"/>
    <cellStyle name="Comma 7 2 3 5 7 2" xfId="17137"/>
    <cellStyle name="Comma 7 2 3 5 8" xfId="13714"/>
    <cellStyle name="Comma 7 2 3 6" xfId="3580"/>
    <cellStyle name="Comma 7 2 3 6 2" xfId="11453"/>
    <cellStyle name="Comma 7 2 3 6 2 2" xfId="17992"/>
    <cellStyle name="Comma 7 2 3 6 3" xfId="15140"/>
    <cellStyle name="Comma 7 2 3 7" xfId="5852"/>
    <cellStyle name="Comma 7 2 3 7 2" xfId="12024"/>
    <cellStyle name="Comma 7 2 3 7 2 2" xfId="18563"/>
    <cellStyle name="Comma 7 2 3 7 3" xfId="15711"/>
    <cellStyle name="Comma 7 2 3 8" xfId="8124"/>
    <cellStyle name="Comma 7 2 3 8 2" xfId="12595"/>
    <cellStyle name="Comma 7 2 3 8 2 2" xfId="19134"/>
    <cellStyle name="Comma 7 2 3 8 3" xfId="16282"/>
    <cellStyle name="Comma 7 2 3 9" xfId="2922"/>
    <cellStyle name="Comma 7 2 3 9 2" xfId="10881"/>
    <cellStyle name="Comma 7 2 3 9 2 2" xfId="17420"/>
    <cellStyle name="Comma 7 2 3 9 3" xfId="14568"/>
    <cellStyle name="Comma 7 2 4" xfId="275"/>
    <cellStyle name="Comma 7 2 4 10" xfId="2385"/>
    <cellStyle name="Comma 7 2 4 10 2" xfId="14033"/>
    <cellStyle name="Comma 7 2 4 11" xfId="10346"/>
    <cellStyle name="Comma 7 2 4 11 2" xfId="16885"/>
    <cellStyle name="Comma 7 2 4 12" xfId="13458"/>
    <cellStyle name="Comma 7 2 4 2" xfId="502"/>
    <cellStyle name="Comma 7 2 4 2 10" xfId="13515"/>
    <cellStyle name="Comma 7 2 4 2 2" xfId="956"/>
    <cellStyle name="Comma 7 2 4 2 2 2" xfId="2091"/>
    <cellStyle name="Comma 7 2 4 2 2 2 2" xfId="5511"/>
    <cellStyle name="Comma 7 2 4 2 2 2 2 2" xfId="11938"/>
    <cellStyle name="Comma 7 2 4 2 2 2 2 2 2" xfId="18477"/>
    <cellStyle name="Comma 7 2 4 2 2 2 2 3" xfId="15625"/>
    <cellStyle name="Comma 7 2 4 2 2 2 3" xfId="7783"/>
    <cellStyle name="Comma 7 2 4 2 2 2 3 2" xfId="12509"/>
    <cellStyle name="Comma 7 2 4 2 2 2 3 2 2" xfId="19048"/>
    <cellStyle name="Comma 7 2 4 2 2 2 3 3" xfId="16196"/>
    <cellStyle name="Comma 7 2 4 2 2 2 4" xfId="10055"/>
    <cellStyle name="Comma 7 2 4 2 2 2 4 2" xfId="13080"/>
    <cellStyle name="Comma 7 2 4 2 2 2 4 2 2" xfId="19619"/>
    <cellStyle name="Comma 7 2 4 2 2 2 4 3" xfId="16767"/>
    <cellStyle name="Comma 7 2 4 2 2 2 5" xfId="3410"/>
    <cellStyle name="Comma 7 2 4 2 2 2 5 2" xfId="11367"/>
    <cellStyle name="Comma 7 2 4 2 2 2 5 2 2" xfId="17906"/>
    <cellStyle name="Comma 7 2 4 2 2 2 5 3" xfId="15054"/>
    <cellStyle name="Comma 7 2 4 2 2 2 6" xfId="2833"/>
    <cellStyle name="Comma 7 2 4 2 2 2 6 2" xfId="14481"/>
    <cellStyle name="Comma 7 2 4 2 2 2 7" xfId="10794"/>
    <cellStyle name="Comma 7 2 4 2 2 2 7 2" xfId="17333"/>
    <cellStyle name="Comma 7 2 4 2 2 2 8" xfId="13914"/>
    <cellStyle name="Comma 7 2 4 2 2 3" xfId="4376"/>
    <cellStyle name="Comma 7 2 4 2 2 3 2" xfId="11653"/>
    <cellStyle name="Comma 7 2 4 2 2 3 2 2" xfId="18192"/>
    <cellStyle name="Comma 7 2 4 2 2 3 3" xfId="15340"/>
    <cellStyle name="Comma 7 2 4 2 2 4" xfId="6648"/>
    <cellStyle name="Comma 7 2 4 2 2 4 2" xfId="12224"/>
    <cellStyle name="Comma 7 2 4 2 2 4 2 2" xfId="18763"/>
    <cellStyle name="Comma 7 2 4 2 2 4 3" xfId="15911"/>
    <cellStyle name="Comma 7 2 4 2 2 5" xfId="8920"/>
    <cellStyle name="Comma 7 2 4 2 2 5 2" xfId="12795"/>
    <cellStyle name="Comma 7 2 4 2 2 5 2 2" xfId="19334"/>
    <cellStyle name="Comma 7 2 4 2 2 5 3" xfId="16482"/>
    <cellStyle name="Comma 7 2 4 2 2 6" xfId="3125"/>
    <cellStyle name="Comma 7 2 4 2 2 6 2" xfId="11082"/>
    <cellStyle name="Comma 7 2 4 2 2 6 2 2" xfId="17621"/>
    <cellStyle name="Comma 7 2 4 2 2 6 3" xfId="14769"/>
    <cellStyle name="Comma 7 2 4 2 2 7" xfId="2553"/>
    <cellStyle name="Comma 7 2 4 2 2 7 2" xfId="14201"/>
    <cellStyle name="Comma 7 2 4 2 2 8" xfId="10514"/>
    <cellStyle name="Comma 7 2 4 2 2 8 2" xfId="17053"/>
    <cellStyle name="Comma 7 2 4 2 2 9" xfId="13629"/>
    <cellStyle name="Comma 7 2 4 2 3" xfId="1637"/>
    <cellStyle name="Comma 7 2 4 2 3 2" xfId="5057"/>
    <cellStyle name="Comma 7 2 4 2 3 2 2" xfId="11824"/>
    <cellStyle name="Comma 7 2 4 2 3 2 2 2" xfId="18363"/>
    <cellStyle name="Comma 7 2 4 2 3 2 3" xfId="15511"/>
    <cellStyle name="Comma 7 2 4 2 3 3" xfId="7329"/>
    <cellStyle name="Comma 7 2 4 2 3 3 2" xfId="12395"/>
    <cellStyle name="Comma 7 2 4 2 3 3 2 2" xfId="18934"/>
    <cellStyle name="Comma 7 2 4 2 3 3 3" xfId="16082"/>
    <cellStyle name="Comma 7 2 4 2 3 4" xfId="9601"/>
    <cellStyle name="Comma 7 2 4 2 3 4 2" xfId="12966"/>
    <cellStyle name="Comma 7 2 4 2 3 4 2 2" xfId="19505"/>
    <cellStyle name="Comma 7 2 4 2 3 4 3" xfId="16653"/>
    <cellStyle name="Comma 7 2 4 2 3 5" xfId="3296"/>
    <cellStyle name="Comma 7 2 4 2 3 5 2" xfId="11253"/>
    <cellStyle name="Comma 7 2 4 2 3 5 2 2" xfId="17792"/>
    <cellStyle name="Comma 7 2 4 2 3 5 3" xfId="14940"/>
    <cellStyle name="Comma 7 2 4 2 3 6" xfId="2721"/>
    <cellStyle name="Comma 7 2 4 2 3 6 2" xfId="14369"/>
    <cellStyle name="Comma 7 2 4 2 3 7" xfId="10682"/>
    <cellStyle name="Comma 7 2 4 2 3 7 2" xfId="17221"/>
    <cellStyle name="Comma 7 2 4 2 3 8" xfId="13800"/>
    <cellStyle name="Comma 7 2 4 2 4" xfId="3922"/>
    <cellStyle name="Comma 7 2 4 2 4 2" xfId="11539"/>
    <cellStyle name="Comma 7 2 4 2 4 2 2" xfId="18078"/>
    <cellStyle name="Comma 7 2 4 2 4 3" xfId="15226"/>
    <cellStyle name="Comma 7 2 4 2 5" xfId="6194"/>
    <cellStyle name="Comma 7 2 4 2 5 2" xfId="12110"/>
    <cellStyle name="Comma 7 2 4 2 5 2 2" xfId="18649"/>
    <cellStyle name="Comma 7 2 4 2 5 3" xfId="15797"/>
    <cellStyle name="Comma 7 2 4 2 6" xfId="8466"/>
    <cellStyle name="Comma 7 2 4 2 6 2" xfId="12681"/>
    <cellStyle name="Comma 7 2 4 2 6 2 2" xfId="19220"/>
    <cellStyle name="Comma 7 2 4 2 6 3" xfId="16368"/>
    <cellStyle name="Comma 7 2 4 2 7" xfId="3011"/>
    <cellStyle name="Comma 7 2 4 2 7 2" xfId="10968"/>
    <cellStyle name="Comma 7 2 4 2 7 2 2" xfId="17507"/>
    <cellStyle name="Comma 7 2 4 2 7 3" xfId="14655"/>
    <cellStyle name="Comma 7 2 4 2 8" xfId="2441"/>
    <cellStyle name="Comma 7 2 4 2 8 2" xfId="14089"/>
    <cellStyle name="Comma 7 2 4 2 9" xfId="10402"/>
    <cellStyle name="Comma 7 2 4 2 9 2" xfId="16941"/>
    <cellStyle name="Comma 7 2 4 3" xfId="1183"/>
    <cellStyle name="Comma 7 2 4 3 2" xfId="2318"/>
    <cellStyle name="Comma 7 2 4 3 2 2" xfId="5738"/>
    <cellStyle name="Comma 7 2 4 3 2 2 2" xfId="11995"/>
    <cellStyle name="Comma 7 2 4 3 2 2 2 2" xfId="18534"/>
    <cellStyle name="Comma 7 2 4 3 2 2 3" xfId="15682"/>
    <cellStyle name="Comma 7 2 4 3 2 3" xfId="8010"/>
    <cellStyle name="Comma 7 2 4 3 2 3 2" xfId="12566"/>
    <cellStyle name="Comma 7 2 4 3 2 3 2 2" xfId="19105"/>
    <cellStyle name="Comma 7 2 4 3 2 3 3" xfId="16253"/>
    <cellStyle name="Comma 7 2 4 3 2 4" xfId="10282"/>
    <cellStyle name="Comma 7 2 4 3 2 4 2" xfId="13137"/>
    <cellStyle name="Comma 7 2 4 3 2 4 2 2" xfId="19676"/>
    <cellStyle name="Comma 7 2 4 3 2 4 3" xfId="16824"/>
    <cellStyle name="Comma 7 2 4 3 2 5" xfId="3467"/>
    <cellStyle name="Comma 7 2 4 3 2 5 2" xfId="11424"/>
    <cellStyle name="Comma 7 2 4 3 2 5 2 2" xfId="17963"/>
    <cellStyle name="Comma 7 2 4 3 2 5 3" xfId="15111"/>
    <cellStyle name="Comma 7 2 4 3 2 6" xfId="2889"/>
    <cellStyle name="Comma 7 2 4 3 2 6 2" xfId="14537"/>
    <cellStyle name="Comma 7 2 4 3 2 7" xfId="10850"/>
    <cellStyle name="Comma 7 2 4 3 2 7 2" xfId="17389"/>
    <cellStyle name="Comma 7 2 4 3 2 8" xfId="13971"/>
    <cellStyle name="Comma 7 2 4 3 3" xfId="4603"/>
    <cellStyle name="Comma 7 2 4 3 3 2" xfId="11710"/>
    <cellStyle name="Comma 7 2 4 3 3 2 2" xfId="18249"/>
    <cellStyle name="Comma 7 2 4 3 3 3" xfId="15397"/>
    <cellStyle name="Comma 7 2 4 3 4" xfId="6875"/>
    <cellStyle name="Comma 7 2 4 3 4 2" xfId="12281"/>
    <cellStyle name="Comma 7 2 4 3 4 2 2" xfId="18820"/>
    <cellStyle name="Comma 7 2 4 3 4 3" xfId="15968"/>
    <cellStyle name="Comma 7 2 4 3 5" xfId="9147"/>
    <cellStyle name="Comma 7 2 4 3 5 2" xfId="12852"/>
    <cellStyle name="Comma 7 2 4 3 5 2 2" xfId="19391"/>
    <cellStyle name="Comma 7 2 4 3 5 3" xfId="16539"/>
    <cellStyle name="Comma 7 2 4 3 6" xfId="3182"/>
    <cellStyle name="Comma 7 2 4 3 6 2" xfId="11139"/>
    <cellStyle name="Comma 7 2 4 3 6 2 2" xfId="17678"/>
    <cellStyle name="Comma 7 2 4 3 6 3" xfId="14826"/>
    <cellStyle name="Comma 7 2 4 3 7" xfId="2609"/>
    <cellStyle name="Comma 7 2 4 3 7 2" xfId="14257"/>
    <cellStyle name="Comma 7 2 4 3 8" xfId="10570"/>
    <cellStyle name="Comma 7 2 4 3 8 2" xfId="17109"/>
    <cellStyle name="Comma 7 2 4 3 9" xfId="13686"/>
    <cellStyle name="Comma 7 2 4 4" xfId="729"/>
    <cellStyle name="Comma 7 2 4 4 2" xfId="1864"/>
    <cellStyle name="Comma 7 2 4 4 2 2" xfId="5284"/>
    <cellStyle name="Comma 7 2 4 4 2 2 2" xfId="11881"/>
    <cellStyle name="Comma 7 2 4 4 2 2 2 2" xfId="18420"/>
    <cellStyle name="Comma 7 2 4 4 2 2 3" xfId="15568"/>
    <cellStyle name="Comma 7 2 4 4 2 3" xfId="7556"/>
    <cellStyle name="Comma 7 2 4 4 2 3 2" xfId="12452"/>
    <cellStyle name="Comma 7 2 4 4 2 3 2 2" xfId="18991"/>
    <cellStyle name="Comma 7 2 4 4 2 3 3" xfId="16139"/>
    <cellStyle name="Comma 7 2 4 4 2 4" xfId="9828"/>
    <cellStyle name="Comma 7 2 4 4 2 4 2" xfId="13023"/>
    <cellStyle name="Comma 7 2 4 4 2 4 2 2" xfId="19562"/>
    <cellStyle name="Comma 7 2 4 4 2 4 3" xfId="16710"/>
    <cellStyle name="Comma 7 2 4 4 2 5" xfId="3353"/>
    <cellStyle name="Comma 7 2 4 4 2 5 2" xfId="11310"/>
    <cellStyle name="Comma 7 2 4 4 2 5 2 2" xfId="17849"/>
    <cellStyle name="Comma 7 2 4 4 2 5 3" xfId="14997"/>
    <cellStyle name="Comma 7 2 4 4 2 6" xfId="2777"/>
    <cellStyle name="Comma 7 2 4 4 2 6 2" xfId="14425"/>
    <cellStyle name="Comma 7 2 4 4 2 7" xfId="10738"/>
    <cellStyle name="Comma 7 2 4 4 2 7 2" xfId="17277"/>
    <cellStyle name="Comma 7 2 4 4 2 8" xfId="13857"/>
    <cellStyle name="Comma 7 2 4 4 3" xfId="4149"/>
    <cellStyle name="Comma 7 2 4 4 3 2" xfId="11596"/>
    <cellStyle name="Comma 7 2 4 4 3 2 2" xfId="18135"/>
    <cellStyle name="Comma 7 2 4 4 3 3" xfId="15283"/>
    <cellStyle name="Comma 7 2 4 4 4" xfId="6421"/>
    <cellStyle name="Comma 7 2 4 4 4 2" xfId="12167"/>
    <cellStyle name="Comma 7 2 4 4 4 2 2" xfId="18706"/>
    <cellStyle name="Comma 7 2 4 4 4 3" xfId="15854"/>
    <cellStyle name="Comma 7 2 4 4 5" xfId="8693"/>
    <cellStyle name="Comma 7 2 4 4 5 2" xfId="12738"/>
    <cellStyle name="Comma 7 2 4 4 5 2 2" xfId="19277"/>
    <cellStyle name="Comma 7 2 4 4 5 3" xfId="16425"/>
    <cellStyle name="Comma 7 2 4 4 6" xfId="3068"/>
    <cellStyle name="Comma 7 2 4 4 6 2" xfId="11025"/>
    <cellStyle name="Comma 7 2 4 4 6 2 2" xfId="17564"/>
    <cellStyle name="Comma 7 2 4 4 6 3" xfId="14712"/>
    <cellStyle name="Comma 7 2 4 4 7" xfId="2497"/>
    <cellStyle name="Comma 7 2 4 4 7 2" xfId="14145"/>
    <cellStyle name="Comma 7 2 4 4 8" xfId="10458"/>
    <cellStyle name="Comma 7 2 4 4 8 2" xfId="16997"/>
    <cellStyle name="Comma 7 2 4 4 9" xfId="13572"/>
    <cellStyle name="Comma 7 2 4 5" xfId="1410"/>
    <cellStyle name="Comma 7 2 4 5 2" xfId="4830"/>
    <cellStyle name="Comma 7 2 4 5 2 2" xfId="11767"/>
    <cellStyle name="Comma 7 2 4 5 2 2 2" xfId="18306"/>
    <cellStyle name="Comma 7 2 4 5 2 3" xfId="15454"/>
    <cellStyle name="Comma 7 2 4 5 3" xfId="7102"/>
    <cellStyle name="Comma 7 2 4 5 3 2" xfId="12338"/>
    <cellStyle name="Comma 7 2 4 5 3 2 2" xfId="18877"/>
    <cellStyle name="Comma 7 2 4 5 3 3" xfId="16025"/>
    <cellStyle name="Comma 7 2 4 5 4" xfId="9374"/>
    <cellStyle name="Comma 7 2 4 5 4 2" xfId="12909"/>
    <cellStyle name="Comma 7 2 4 5 4 2 2" xfId="19448"/>
    <cellStyle name="Comma 7 2 4 5 4 3" xfId="16596"/>
    <cellStyle name="Comma 7 2 4 5 5" xfId="3239"/>
    <cellStyle name="Comma 7 2 4 5 5 2" xfId="11196"/>
    <cellStyle name="Comma 7 2 4 5 5 2 2" xfId="17735"/>
    <cellStyle name="Comma 7 2 4 5 5 3" xfId="14883"/>
    <cellStyle name="Comma 7 2 4 5 6" xfId="2665"/>
    <cellStyle name="Comma 7 2 4 5 6 2" xfId="14313"/>
    <cellStyle name="Comma 7 2 4 5 7" xfId="10626"/>
    <cellStyle name="Comma 7 2 4 5 7 2" xfId="17165"/>
    <cellStyle name="Comma 7 2 4 5 8" xfId="13743"/>
    <cellStyle name="Comma 7 2 4 6" xfId="3695"/>
    <cellStyle name="Comma 7 2 4 6 2" xfId="11482"/>
    <cellStyle name="Comma 7 2 4 6 2 2" xfId="18021"/>
    <cellStyle name="Comma 7 2 4 6 3" xfId="15169"/>
    <cellStyle name="Comma 7 2 4 7" xfId="5967"/>
    <cellStyle name="Comma 7 2 4 7 2" xfId="12053"/>
    <cellStyle name="Comma 7 2 4 7 2 2" xfId="18592"/>
    <cellStyle name="Comma 7 2 4 7 3" xfId="15740"/>
    <cellStyle name="Comma 7 2 4 8" xfId="8239"/>
    <cellStyle name="Comma 7 2 4 8 2" xfId="12624"/>
    <cellStyle name="Comma 7 2 4 8 2 2" xfId="19163"/>
    <cellStyle name="Comma 7 2 4 8 3" xfId="16311"/>
    <cellStyle name="Comma 7 2 4 9" xfId="2954"/>
    <cellStyle name="Comma 7 2 4 9 2" xfId="10911"/>
    <cellStyle name="Comma 7 2 4 9 2 2" xfId="17450"/>
    <cellStyle name="Comma 7 2 4 9 3" xfId="14598"/>
    <cellStyle name="Comma 7 2 5" xfId="331"/>
    <cellStyle name="Comma 7 2 5 10" xfId="13472"/>
    <cellStyle name="Comma 7 2 5 2" xfId="785"/>
    <cellStyle name="Comma 7 2 5 2 2" xfId="1920"/>
    <cellStyle name="Comma 7 2 5 2 2 2" xfId="5340"/>
    <cellStyle name="Comma 7 2 5 2 2 2 2" xfId="11895"/>
    <cellStyle name="Comma 7 2 5 2 2 2 2 2" xfId="18434"/>
    <cellStyle name="Comma 7 2 5 2 2 2 3" xfId="15582"/>
    <cellStyle name="Comma 7 2 5 2 2 3" xfId="7612"/>
    <cellStyle name="Comma 7 2 5 2 2 3 2" xfId="12466"/>
    <cellStyle name="Comma 7 2 5 2 2 3 2 2" xfId="19005"/>
    <cellStyle name="Comma 7 2 5 2 2 3 3" xfId="16153"/>
    <cellStyle name="Comma 7 2 5 2 2 4" xfId="9884"/>
    <cellStyle name="Comma 7 2 5 2 2 4 2" xfId="13037"/>
    <cellStyle name="Comma 7 2 5 2 2 4 2 2" xfId="19576"/>
    <cellStyle name="Comma 7 2 5 2 2 4 3" xfId="16724"/>
    <cellStyle name="Comma 7 2 5 2 2 5" xfId="3367"/>
    <cellStyle name="Comma 7 2 5 2 2 5 2" xfId="11324"/>
    <cellStyle name="Comma 7 2 5 2 2 5 2 2" xfId="17863"/>
    <cellStyle name="Comma 7 2 5 2 2 5 3" xfId="15011"/>
    <cellStyle name="Comma 7 2 5 2 2 6" xfId="2791"/>
    <cellStyle name="Comma 7 2 5 2 2 6 2" xfId="14439"/>
    <cellStyle name="Comma 7 2 5 2 2 7" xfId="10752"/>
    <cellStyle name="Comma 7 2 5 2 2 7 2" xfId="17291"/>
    <cellStyle name="Comma 7 2 5 2 2 8" xfId="13871"/>
    <cellStyle name="Comma 7 2 5 2 3" xfId="4205"/>
    <cellStyle name="Comma 7 2 5 2 3 2" xfId="11610"/>
    <cellStyle name="Comma 7 2 5 2 3 2 2" xfId="18149"/>
    <cellStyle name="Comma 7 2 5 2 3 3" xfId="15297"/>
    <cellStyle name="Comma 7 2 5 2 4" xfId="6477"/>
    <cellStyle name="Comma 7 2 5 2 4 2" xfId="12181"/>
    <cellStyle name="Comma 7 2 5 2 4 2 2" xfId="18720"/>
    <cellStyle name="Comma 7 2 5 2 4 3" xfId="15868"/>
    <cellStyle name="Comma 7 2 5 2 5" xfId="8749"/>
    <cellStyle name="Comma 7 2 5 2 5 2" xfId="12752"/>
    <cellStyle name="Comma 7 2 5 2 5 2 2" xfId="19291"/>
    <cellStyle name="Comma 7 2 5 2 5 3" xfId="16439"/>
    <cellStyle name="Comma 7 2 5 2 6" xfId="3082"/>
    <cellStyle name="Comma 7 2 5 2 6 2" xfId="11039"/>
    <cellStyle name="Comma 7 2 5 2 6 2 2" xfId="17578"/>
    <cellStyle name="Comma 7 2 5 2 6 3" xfId="14726"/>
    <cellStyle name="Comma 7 2 5 2 7" xfId="2511"/>
    <cellStyle name="Comma 7 2 5 2 7 2" xfId="14159"/>
    <cellStyle name="Comma 7 2 5 2 8" xfId="10472"/>
    <cellStyle name="Comma 7 2 5 2 8 2" xfId="17011"/>
    <cellStyle name="Comma 7 2 5 2 9" xfId="13586"/>
    <cellStyle name="Comma 7 2 5 3" xfId="1466"/>
    <cellStyle name="Comma 7 2 5 3 2" xfId="4886"/>
    <cellStyle name="Comma 7 2 5 3 2 2" xfId="11781"/>
    <cellStyle name="Comma 7 2 5 3 2 2 2" xfId="18320"/>
    <cellStyle name="Comma 7 2 5 3 2 3" xfId="15468"/>
    <cellStyle name="Comma 7 2 5 3 3" xfId="7158"/>
    <cellStyle name="Comma 7 2 5 3 3 2" xfId="12352"/>
    <cellStyle name="Comma 7 2 5 3 3 2 2" xfId="18891"/>
    <cellStyle name="Comma 7 2 5 3 3 3" xfId="16039"/>
    <cellStyle name="Comma 7 2 5 3 4" xfId="9430"/>
    <cellStyle name="Comma 7 2 5 3 4 2" xfId="12923"/>
    <cellStyle name="Comma 7 2 5 3 4 2 2" xfId="19462"/>
    <cellStyle name="Comma 7 2 5 3 4 3" xfId="16610"/>
    <cellStyle name="Comma 7 2 5 3 5" xfId="3253"/>
    <cellStyle name="Comma 7 2 5 3 5 2" xfId="11210"/>
    <cellStyle name="Comma 7 2 5 3 5 2 2" xfId="17749"/>
    <cellStyle name="Comma 7 2 5 3 5 3" xfId="14897"/>
    <cellStyle name="Comma 7 2 5 3 6" xfId="2679"/>
    <cellStyle name="Comma 7 2 5 3 6 2" xfId="14327"/>
    <cellStyle name="Comma 7 2 5 3 7" xfId="10640"/>
    <cellStyle name="Comma 7 2 5 3 7 2" xfId="17179"/>
    <cellStyle name="Comma 7 2 5 3 8" xfId="13757"/>
    <cellStyle name="Comma 7 2 5 4" xfId="3751"/>
    <cellStyle name="Comma 7 2 5 4 2" xfId="11496"/>
    <cellStyle name="Comma 7 2 5 4 2 2" xfId="18035"/>
    <cellStyle name="Comma 7 2 5 4 3" xfId="15183"/>
    <cellStyle name="Comma 7 2 5 5" xfId="6023"/>
    <cellStyle name="Comma 7 2 5 5 2" xfId="12067"/>
    <cellStyle name="Comma 7 2 5 5 2 2" xfId="18606"/>
    <cellStyle name="Comma 7 2 5 5 3" xfId="15754"/>
    <cellStyle name="Comma 7 2 5 6" xfId="8295"/>
    <cellStyle name="Comma 7 2 5 6 2" xfId="12638"/>
    <cellStyle name="Comma 7 2 5 6 2 2" xfId="19177"/>
    <cellStyle name="Comma 7 2 5 6 3" xfId="16325"/>
    <cellStyle name="Comma 7 2 5 7" xfId="2968"/>
    <cellStyle name="Comma 7 2 5 7 2" xfId="10925"/>
    <cellStyle name="Comma 7 2 5 7 2 2" xfId="17464"/>
    <cellStyle name="Comma 7 2 5 7 3" xfId="14612"/>
    <cellStyle name="Comma 7 2 5 8" xfId="2399"/>
    <cellStyle name="Comma 7 2 5 8 2" xfId="14047"/>
    <cellStyle name="Comma 7 2 5 9" xfId="10360"/>
    <cellStyle name="Comma 7 2 5 9 2" xfId="16899"/>
    <cellStyle name="Comma 7 2 6" xfId="1012"/>
    <cellStyle name="Comma 7 2 6 2" xfId="2147"/>
    <cellStyle name="Comma 7 2 6 2 2" xfId="5567"/>
    <cellStyle name="Comma 7 2 6 2 2 2" xfId="11952"/>
    <cellStyle name="Comma 7 2 6 2 2 2 2" xfId="18491"/>
    <cellStyle name="Comma 7 2 6 2 2 3" xfId="15639"/>
    <cellStyle name="Comma 7 2 6 2 3" xfId="7839"/>
    <cellStyle name="Comma 7 2 6 2 3 2" xfId="12523"/>
    <cellStyle name="Comma 7 2 6 2 3 2 2" xfId="19062"/>
    <cellStyle name="Comma 7 2 6 2 3 3" xfId="16210"/>
    <cellStyle name="Comma 7 2 6 2 4" xfId="10111"/>
    <cellStyle name="Comma 7 2 6 2 4 2" xfId="13094"/>
    <cellStyle name="Comma 7 2 6 2 4 2 2" xfId="19633"/>
    <cellStyle name="Comma 7 2 6 2 4 3" xfId="16781"/>
    <cellStyle name="Comma 7 2 6 2 5" xfId="3424"/>
    <cellStyle name="Comma 7 2 6 2 5 2" xfId="11381"/>
    <cellStyle name="Comma 7 2 6 2 5 2 2" xfId="17920"/>
    <cellStyle name="Comma 7 2 6 2 5 3" xfId="15068"/>
    <cellStyle name="Comma 7 2 6 2 6" xfId="2847"/>
    <cellStyle name="Comma 7 2 6 2 6 2" xfId="14495"/>
    <cellStyle name="Comma 7 2 6 2 7" xfId="10808"/>
    <cellStyle name="Comma 7 2 6 2 7 2" xfId="17347"/>
    <cellStyle name="Comma 7 2 6 2 8" xfId="13928"/>
    <cellStyle name="Comma 7 2 6 3" xfId="4432"/>
    <cellStyle name="Comma 7 2 6 3 2" xfId="11667"/>
    <cellStyle name="Comma 7 2 6 3 2 2" xfId="18206"/>
    <cellStyle name="Comma 7 2 6 3 3" xfId="15354"/>
    <cellStyle name="Comma 7 2 6 4" xfId="6704"/>
    <cellStyle name="Comma 7 2 6 4 2" xfId="12238"/>
    <cellStyle name="Comma 7 2 6 4 2 2" xfId="18777"/>
    <cellStyle name="Comma 7 2 6 4 3" xfId="15925"/>
    <cellStyle name="Comma 7 2 6 5" xfId="8976"/>
    <cellStyle name="Comma 7 2 6 5 2" xfId="12809"/>
    <cellStyle name="Comma 7 2 6 5 2 2" xfId="19348"/>
    <cellStyle name="Comma 7 2 6 5 3" xfId="16496"/>
    <cellStyle name="Comma 7 2 6 6" xfId="3139"/>
    <cellStyle name="Comma 7 2 6 6 2" xfId="11096"/>
    <cellStyle name="Comma 7 2 6 6 2 2" xfId="17635"/>
    <cellStyle name="Comma 7 2 6 6 3" xfId="14783"/>
    <cellStyle name="Comma 7 2 6 7" xfId="2567"/>
    <cellStyle name="Comma 7 2 6 7 2" xfId="14215"/>
    <cellStyle name="Comma 7 2 6 8" xfId="10528"/>
    <cellStyle name="Comma 7 2 6 8 2" xfId="17067"/>
    <cellStyle name="Comma 7 2 6 9" xfId="13643"/>
    <cellStyle name="Comma 7 2 7" xfId="558"/>
    <cellStyle name="Comma 7 2 7 2" xfId="1693"/>
    <cellStyle name="Comma 7 2 7 2 2" xfId="5113"/>
    <cellStyle name="Comma 7 2 7 2 2 2" xfId="11838"/>
    <cellStyle name="Comma 7 2 7 2 2 2 2" xfId="18377"/>
    <cellStyle name="Comma 7 2 7 2 2 3" xfId="15525"/>
    <cellStyle name="Comma 7 2 7 2 3" xfId="7385"/>
    <cellStyle name="Comma 7 2 7 2 3 2" xfId="12409"/>
    <cellStyle name="Comma 7 2 7 2 3 2 2" xfId="18948"/>
    <cellStyle name="Comma 7 2 7 2 3 3" xfId="16096"/>
    <cellStyle name="Comma 7 2 7 2 4" xfId="9657"/>
    <cellStyle name="Comma 7 2 7 2 4 2" xfId="12980"/>
    <cellStyle name="Comma 7 2 7 2 4 2 2" xfId="19519"/>
    <cellStyle name="Comma 7 2 7 2 4 3" xfId="16667"/>
    <cellStyle name="Comma 7 2 7 2 5" xfId="3310"/>
    <cellStyle name="Comma 7 2 7 2 5 2" xfId="11267"/>
    <cellStyle name="Comma 7 2 7 2 5 2 2" xfId="17806"/>
    <cellStyle name="Comma 7 2 7 2 5 3" xfId="14954"/>
    <cellStyle name="Comma 7 2 7 2 6" xfId="2735"/>
    <cellStyle name="Comma 7 2 7 2 6 2" xfId="14383"/>
    <cellStyle name="Comma 7 2 7 2 7" xfId="10696"/>
    <cellStyle name="Comma 7 2 7 2 7 2" xfId="17235"/>
    <cellStyle name="Comma 7 2 7 2 8" xfId="13814"/>
    <cellStyle name="Comma 7 2 7 3" xfId="3978"/>
    <cellStyle name="Comma 7 2 7 3 2" xfId="11553"/>
    <cellStyle name="Comma 7 2 7 3 2 2" xfId="18092"/>
    <cellStyle name="Comma 7 2 7 3 3" xfId="15240"/>
    <cellStyle name="Comma 7 2 7 4" xfId="6250"/>
    <cellStyle name="Comma 7 2 7 4 2" xfId="12124"/>
    <cellStyle name="Comma 7 2 7 4 2 2" xfId="18663"/>
    <cellStyle name="Comma 7 2 7 4 3" xfId="15811"/>
    <cellStyle name="Comma 7 2 7 5" xfId="8522"/>
    <cellStyle name="Comma 7 2 7 5 2" xfId="12695"/>
    <cellStyle name="Comma 7 2 7 5 2 2" xfId="19234"/>
    <cellStyle name="Comma 7 2 7 5 3" xfId="16382"/>
    <cellStyle name="Comma 7 2 7 6" xfId="3025"/>
    <cellStyle name="Comma 7 2 7 6 2" xfId="10982"/>
    <cellStyle name="Comma 7 2 7 6 2 2" xfId="17521"/>
    <cellStyle name="Comma 7 2 7 6 3" xfId="14669"/>
    <cellStyle name="Comma 7 2 7 7" xfId="2455"/>
    <cellStyle name="Comma 7 2 7 7 2" xfId="14103"/>
    <cellStyle name="Comma 7 2 7 8" xfId="10416"/>
    <cellStyle name="Comma 7 2 7 8 2" xfId="16955"/>
    <cellStyle name="Comma 7 2 7 9" xfId="13529"/>
    <cellStyle name="Comma 7 2 8" xfId="1239"/>
    <cellStyle name="Comma 7 2 8 2" xfId="4659"/>
    <cellStyle name="Comma 7 2 8 2 2" xfId="11724"/>
    <cellStyle name="Comma 7 2 8 2 2 2" xfId="18263"/>
    <cellStyle name="Comma 7 2 8 2 3" xfId="15411"/>
    <cellStyle name="Comma 7 2 8 3" xfId="6931"/>
    <cellStyle name="Comma 7 2 8 3 2" xfId="12295"/>
    <cellStyle name="Comma 7 2 8 3 2 2" xfId="18834"/>
    <cellStyle name="Comma 7 2 8 3 3" xfId="15982"/>
    <cellStyle name="Comma 7 2 8 4" xfId="9203"/>
    <cellStyle name="Comma 7 2 8 4 2" xfId="12866"/>
    <cellStyle name="Comma 7 2 8 4 2 2" xfId="19405"/>
    <cellStyle name="Comma 7 2 8 4 3" xfId="16553"/>
    <cellStyle name="Comma 7 2 8 5" xfId="3196"/>
    <cellStyle name="Comma 7 2 8 5 2" xfId="11153"/>
    <cellStyle name="Comma 7 2 8 5 2 2" xfId="17692"/>
    <cellStyle name="Comma 7 2 8 5 3" xfId="14840"/>
    <cellStyle name="Comma 7 2 8 6" xfId="2623"/>
    <cellStyle name="Comma 7 2 8 6 2" xfId="14271"/>
    <cellStyle name="Comma 7 2 8 7" xfId="10584"/>
    <cellStyle name="Comma 7 2 8 7 2" xfId="17123"/>
    <cellStyle name="Comma 7 2 8 8" xfId="13700"/>
    <cellStyle name="Comma 7 2 9" xfId="3524"/>
    <cellStyle name="Comma 7 2 9 2" xfId="11439"/>
    <cellStyle name="Comma 7 2 9 2 2" xfId="17978"/>
    <cellStyle name="Comma 7 2 9 3" xfId="15126"/>
    <cellStyle name="Comma 7 3" xfId="177"/>
    <cellStyle name="Comma 7 3 10" xfId="2363"/>
    <cellStyle name="Comma 7 3 10 2" xfId="14011"/>
    <cellStyle name="Comma 7 3 11" xfId="10324"/>
    <cellStyle name="Comma 7 3 11 2" xfId="16863"/>
    <cellStyle name="Comma 7 3 12" xfId="13435"/>
    <cellStyle name="Comma 7 3 2" xfId="415"/>
    <cellStyle name="Comma 7 3 2 10" xfId="13493"/>
    <cellStyle name="Comma 7 3 2 2" xfId="869"/>
    <cellStyle name="Comma 7 3 2 2 2" xfId="2004"/>
    <cellStyle name="Comma 7 3 2 2 2 2" xfId="5424"/>
    <cellStyle name="Comma 7 3 2 2 2 2 2" xfId="11916"/>
    <cellStyle name="Comma 7 3 2 2 2 2 2 2" xfId="18455"/>
    <cellStyle name="Comma 7 3 2 2 2 2 3" xfId="15603"/>
    <cellStyle name="Comma 7 3 2 2 2 3" xfId="7696"/>
    <cellStyle name="Comma 7 3 2 2 2 3 2" xfId="12487"/>
    <cellStyle name="Comma 7 3 2 2 2 3 2 2" xfId="19026"/>
    <cellStyle name="Comma 7 3 2 2 2 3 3" xfId="16174"/>
    <cellStyle name="Comma 7 3 2 2 2 4" xfId="9968"/>
    <cellStyle name="Comma 7 3 2 2 2 4 2" xfId="13058"/>
    <cellStyle name="Comma 7 3 2 2 2 4 2 2" xfId="19597"/>
    <cellStyle name="Comma 7 3 2 2 2 4 3" xfId="16745"/>
    <cellStyle name="Comma 7 3 2 2 2 5" xfId="3388"/>
    <cellStyle name="Comma 7 3 2 2 2 5 2" xfId="11345"/>
    <cellStyle name="Comma 7 3 2 2 2 5 2 2" xfId="17884"/>
    <cellStyle name="Comma 7 3 2 2 2 5 3" xfId="15032"/>
    <cellStyle name="Comma 7 3 2 2 2 6" xfId="2812"/>
    <cellStyle name="Comma 7 3 2 2 2 6 2" xfId="14460"/>
    <cellStyle name="Comma 7 3 2 2 2 7" xfId="10773"/>
    <cellStyle name="Comma 7 3 2 2 2 7 2" xfId="17312"/>
    <cellStyle name="Comma 7 3 2 2 2 8" xfId="13892"/>
    <cellStyle name="Comma 7 3 2 2 3" xfId="4289"/>
    <cellStyle name="Comma 7 3 2 2 3 2" xfId="11631"/>
    <cellStyle name="Comma 7 3 2 2 3 2 2" xfId="18170"/>
    <cellStyle name="Comma 7 3 2 2 3 3" xfId="15318"/>
    <cellStyle name="Comma 7 3 2 2 4" xfId="6561"/>
    <cellStyle name="Comma 7 3 2 2 4 2" xfId="12202"/>
    <cellStyle name="Comma 7 3 2 2 4 2 2" xfId="18741"/>
    <cellStyle name="Comma 7 3 2 2 4 3" xfId="15889"/>
    <cellStyle name="Comma 7 3 2 2 5" xfId="8833"/>
    <cellStyle name="Comma 7 3 2 2 5 2" xfId="12773"/>
    <cellStyle name="Comma 7 3 2 2 5 2 2" xfId="19312"/>
    <cellStyle name="Comma 7 3 2 2 5 3" xfId="16460"/>
    <cellStyle name="Comma 7 3 2 2 6" xfId="3103"/>
    <cellStyle name="Comma 7 3 2 2 6 2" xfId="11060"/>
    <cellStyle name="Comma 7 3 2 2 6 2 2" xfId="17599"/>
    <cellStyle name="Comma 7 3 2 2 6 3" xfId="14747"/>
    <cellStyle name="Comma 7 3 2 2 7" xfId="2532"/>
    <cellStyle name="Comma 7 3 2 2 7 2" xfId="14180"/>
    <cellStyle name="Comma 7 3 2 2 8" xfId="10493"/>
    <cellStyle name="Comma 7 3 2 2 8 2" xfId="17032"/>
    <cellStyle name="Comma 7 3 2 2 9" xfId="13607"/>
    <cellStyle name="Comma 7 3 2 3" xfId="1550"/>
    <cellStyle name="Comma 7 3 2 3 2" xfId="4970"/>
    <cellStyle name="Comma 7 3 2 3 2 2" xfId="11802"/>
    <cellStyle name="Comma 7 3 2 3 2 2 2" xfId="18341"/>
    <cellStyle name="Comma 7 3 2 3 2 3" xfId="15489"/>
    <cellStyle name="Comma 7 3 2 3 3" xfId="7242"/>
    <cellStyle name="Comma 7 3 2 3 3 2" xfId="12373"/>
    <cellStyle name="Comma 7 3 2 3 3 2 2" xfId="18912"/>
    <cellStyle name="Comma 7 3 2 3 3 3" xfId="16060"/>
    <cellStyle name="Comma 7 3 2 3 4" xfId="9514"/>
    <cellStyle name="Comma 7 3 2 3 4 2" xfId="12944"/>
    <cellStyle name="Comma 7 3 2 3 4 2 2" xfId="19483"/>
    <cellStyle name="Comma 7 3 2 3 4 3" xfId="16631"/>
    <cellStyle name="Comma 7 3 2 3 5" xfId="3274"/>
    <cellStyle name="Comma 7 3 2 3 5 2" xfId="11231"/>
    <cellStyle name="Comma 7 3 2 3 5 2 2" xfId="17770"/>
    <cellStyle name="Comma 7 3 2 3 5 3" xfId="14918"/>
    <cellStyle name="Comma 7 3 2 3 6" xfId="2700"/>
    <cellStyle name="Comma 7 3 2 3 6 2" xfId="14348"/>
    <cellStyle name="Comma 7 3 2 3 7" xfId="10661"/>
    <cellStyle name="Comma 7 3 2 3 7 2" xfId="17200"/>
    <cellStyle name="Comma 7 3 2 3 8" xfId="13778"/>
    <cellStyle name="Comma 7 3 2 4" xfId="3835"/>
    <cellStyle name="Comma 7 3 2 4 2" xfId="11517"/>
    <cellStyle name="Comma 7 3 2 4 2 2" xfId="18056"/>
    <cellStyle name="Comma 7 3 2 4 3" xfId="15204"/>
    <cellStyle name="Comma 7 3 2 5" xfId="6107"/>
    <cellStyle name="Comma 7 3 2 5 2" xfId="12088"/>
    <cellStyle name="Comma 7 3 2 5 2 2" xfId="18627"/>
    <cellStyle name="Comma 7 3 2 5 3" xfId="15775"/>
    <cellStyle name="Comma 7 3 2 6" xfId="8379"/>
    <cellStyle name="Comma 7 3 2 6 2" xfId="12659"/>
    <cellStyle name="Comma 7 3 2 6 2 2" xfId="19198"/>
    <cellStyle name="Comma 7 3 2 6 3" xfId="16346"/>
    <cellStyle name="Comma 7 3 2 7" xfId="2989"/>
    <cellStyle name="Comma 7 3 2 7 2" xfId="10946"/>
    <cellStyle name="Comma 7 3 2 7 2 2" xfId="17485"/>
    <cellStyle name="Comma 7 3 2 7 3" xfId="14633"/>
    <cellStyle name="Comma 7 3 2 8" xfId="2420"/>
    <cellStyle name="Comma 7 3 2 8 2" xfId="14068"/>
    <cellStyle name="Comma 7 3 2 9" xfId="10381"/>
    <cellStyle name="Comma 7 3 2 9 2" xfId="16920"/>
    <cellStyle name="Comma 7 3 3" xfId="1096"/>
    <cellStyle name="Comma 7 3 3 2" xfId="2231"/>
    <cellStyle name="Comma 7 3 3 2 2" xfId="5651"/>
    <cellStyle name="Comma 7 3 3 2 2 2" xfId="11973"/>
    <cellStyle name="Comma 7 3 3 2 2 2 2" xfId="18512"/>
    <cellStyle name="Comma 7 3 3 2 2 3" xfId="15660"/>
    <cellStyle name="Comma 7 3 3 2 3" xfId="7923"/>
    <cellStyle name="Comma 7 3 3 2 3 2" xfId="12544"/>
    <cellStyle name="Comma 7 3 3 2 3 2 2" xfId="19083"/>
    <cellStyle name="Comma 7 3 3 2 3 3" xfId="16231"/>
    <cellStyle name="Comma 7 3 3 2 4" xfId="10195"/>
    <cellStyle name="Comma 7 3 3 2 4 2" xfId="13115"/>
    <cellStyle name="Comma 7 3 3 2 4 2 2" xfId="19654"/>
    <cellStyle name="Comma 7 3 3 2 4 3" xfId="16802"/>
    <cellStyle name="Comma 7 3 3 2 5" xfId="3445"/>
    <cellStyle name="Comma 7 3 3 2 5 2" xfId="11402"/>
    <cellStyle name="Comma 7 3 3 2 5 2 2" xfId="17941"/>
    <cellStyle name="Comma 7 3 3 2 5 3" xfId="15089"/>
    <cellStyle name="Comma 7 3 3 2 6" xfId="2868"/>
    <cellStyle name="Comma 7 3 3 2 6 2" xfId="14516"/>
    <cellStyle name="Comma 7 3 3 2 7" xfId="10829"/>
    <cellStyle name="Comma 7 3 3 2 7 2" xfId="17368"/>
    <cellStyle name="Comma 7 3 3 2 8" xfId="13949"/>
    <cellStyle name="Comma 7 3 3 3" xfId="4516"/>
    <cellStyle name="Comma 7 3 3 3 2" xfId="11688"/>
    <cellStyle name="Comma 7 3 3 3 2 2" xfId="18227"/>
    <cellStyle name="Comma 7 3 3 3 3" xfId="15375"/>
    <cellStyle name="Comma 7 3 3 4" xfId="6788"/>
    <cellStyle name="Comma 7 3 3 4 2" xfId="12259"/>
    <cellStyle name="Comma 7 3 3 4 2 2" xfId="18798"/>
    <cellStyle name="Comma 7 3 3 4 3" xfId="15946"/>
    <cellStyle name="Comma 7 3 3 5" xfId="9060"/>
    <cellStyle name="Comma 7 3 3 5 2" xfId="12830"/>
    <cellStyle name="Comma 7 3 3 5 2 2" xfId="19369"/>
    <cellStyle name="Comma 7 3 3 5 3" xfId="16517"/>
    <cellStyle name="Comma 7 3 3 6" xfId="3160"/>
    <cellStyle name="Comma 7 3 3 6 2" xfId="11117"/>
    <cellStyle name="Comma 7 3 3 6 2 2" xfId="17656"/>
    <cellStyle name="Comma 7 3 3 6 3" xfId="14804"/>
    <cellStyle name="Comma 7 3 3 7" xfId="2588"/>
    <cellStyle name="Comma 7 3 3 7 2" xfId="14236"/>
    <cellStyle name="Comma 7 3 3 8" xfId="10549"/>
    <cellStyle name="Comma 7 3 3 8 2" xfId="17088"/>
    <cellStyle name="Comma 7 3 3 9" xfId="13664"/>
    <cellStyle name="Comma 7 3 4" xfId="642"/>
    <cellStyle name="Comma 7 3 4 2" xfId="1777"/>
    <cellStyle name="Comma 7 3 4 2 2" xfId="5197"/>
    <cellStyle name="Comma 7 3 4 2 2 2" xfId="11859"/>
    <cellStyle name="Comma 7 3 4 2 2 2 2" xfId="18398"/>
    <cellStyle name="Comma 7 3 4 2 2 3" xfId="15546"/>
    <cellStyle name="Comma 7 3 4 2 3" xfId="7469"/>
    <cellStyle name="Comma 7 3 4 2 3 2" xfId="12430"/>
    <cellStyle name="Comma 7 3 4 2 3 2 2" xfId="18969"/>
    <cellStyle name="Comma 7 3 4 2 3 3" xfId="16117"/>
    <cellStyle name="Comma 7 3 4 2 4" xfId="9741"/>
    <cellStyle name="Comma 7 3 4 2 4 2" xfId="13001"/>
    <cellStyle name="Comma 7 3 4 2 4 2 2" xfId="19540"/>
    <cellStyle name="Comma 7 3 4 2 4 3" xfId="16688"/>
    <cellStyle name="Comma 7 3 4 2 5" xfId="3331"/>
    <cellStyle name="Comma 7 3 4 2 5 2" xfId="11288"/>
    <cellStyle name="Comma 7 3 4 2 5 2 2" xfId="17827"/>
    <cellStyle name="Comma 7 3 4 2 5 3" xfId="14975"/>
    <cellStyle name="Comma 7 3 4 2 6" xfId="2756"/>
    <cellStyle name="Comma 7 3 4 2 6 2" xfId="14404"/>
    <cellStyle name="Comma 7 3 4 2 7" xfId="10717"/>
    <cellStyle name="Comma 7 3 4 2 7 2" xfId="17256"/>
    <cellStyle name="Comma 7 3 4 2 8" xfId="13835"/>
    <cellStyle name="Comma 7 3 4 3" xfId="4062"/>
    <cellStyle name="Comma 7 3 4 3 2" xfId="11574"/>
    <cellStyle name="Comma 7 3 4 3 2 2" xfId="18113"/>
    <cellStyle name="Comma 7 3 4 3 3" xfId="15261"/>
    <cellStyle name="Comma 7 3 4 4" xfId="6334"/>
    <cellStyle name="Comma 7 3 4 4 2" xfId="12145"/>
    <cellStyle name="Comma 7 3 4 4 2 2" xfId="18684"/>
    <cellStyle name="Comma 7 3 4 4 3" xfId="15832"/>
    <cellStyle name="Comma 7 3 4 5" xfId="8606"/>
    <cellStyle name="Comma 7 3 4 5 2" xfId="12716"/>
    <cellStyle name="Comma 7 3 4 5 2 2" xfId="19255"/>
    <cellStyle name="Comma 7 3 4 5 3" xfId="16403"/>
    <cellStyle name="Comma 7 3 4 6" xfId="3046"/>
    <cellStyle name="Comma 7 3 4 6 2" xfId="11003"/>
    <cellStyle name="Comma 7 3 4 6 2 2" xfId="17542"/>
    <cellStyle name="Comma 7 3 4 6 3" xfId="14690"/>
    <cellStyle name="Comma 7 3 4 7" xfId="2476"/>
    <cellStyle name="Comma 7 3 4 7 2" xfId="14124"/>
    <cellStyle name="Comma 7 3 4 8" xfId="10437"/>
    <cellStyle name="Comma 7 3 4 8 2" xfId="16976"/>
    <cellStyle name="Comma 7 3 4 9" xfId="13550"/>
    <cellStyle name="Comma 7 3 5" xfId="1323"/>
    <cellStyle name="Comma 7 3 5 2" xfId="4743"/>
    <cellStyle name="Comma 7 3 5 2 2" xfId="11745"/>
    <cellStyle name="Comma 7 3 5 2 2 2" xfId="18284"/>
    <cellStyle name="Comma 7 3 5 2 3" xfId="15432"/>
    <cellStyle name="Comma 7 3 5 3" xfId="7015"/>
    <cellStyle name="Comma 7 3 5 3 2" xfId="12316"/>
    <cellStyle name="Comma 7 3 5 3 2 2" xfId="18855"/>
    <cellStyle name="Comma 7 3 5 3 3" xfId="16003"/>
    <cellStyle name="Comma 7 3 5 4" xfId="9287"/>
    <cellStyle name="Comma 7 3 5 4 2" xfId="12887"/>
    <cellStyle name="Comma 7 3 5 4 2 2" xfId="19426"/>
    <cellStyle name="Comma 7 3 5 4 3" xfId="16574"/>
    <cellStyle name="Comma 7 3 5 5" xfId="3217"/>
    <cellStyle name="Comma 7 3 5 5 2" xfId="11174"/>
    <cellStyle name="Comma 7 3 5 5 2 2" xfId="17713"/>
    <cellStyle name="Comma 7 3 5 5 3" xfId="14861"/>
    <cellStyle name="Comma 7 3 5 6" xfId="2644"/>
    <cellStyle name="Comma 7 3 5 6 2" xfId="14292"/>
    <cellStyle name="Comma 7 3 5 7" xfId="10605"/>
    <cellStyle name="Comma 7 3 5 7 2" xfId="17144"/>
    <cellStyle name="Comma 7 3 5 8" xfId="13721"/>
    <cellStyle name="Comma 7 3 6" xfId="3608"/>
    <cellStyle name="Comma 7 3 6 2" xfId="11460"/>
    <cellStyle name="Comma 7 3 6 2 2" xfId="17999"/>
    <cellStyle name="Comma 7 3 6 3" xfId="15147"/>
    <cellStyle name="Comma 7 3 7" xfId="5880"/>
    <cellStyle name="Comma 7 3 7 2" xfId="12031"/>
    <cellStyle name="Comma 7 3 7 2 2" xfId="18570"/>
    <cellStyle name="Comma 7 3 7 3" xfId="15718"/>
    <cellStyle name="Comma 7 3 8" xfId="8152"/>
    <cellStyle name="Comma 7 3 8 2" xfId="12602"/>
    <cellStyle name="Comma 7 3 8 2 2" xfId="19141"/>
    <cellStyle name="Comma 7 3 8 3" xfId="16289"/>
    <cellStyle name="Comma 7 3 9" xfId="2929"/>
    <cellStyle name="Comma 7 3 9 2" xfId="10888"/>
    <cellStyle name="Comma 7 3 9 2 2" xfId="17427"/>
    <cellStyle name="Comma 7 3 9 3" xfId="14575"/>
    <cellStyle name="Comma 7 4" xfId="121"/>
    <cellStyle name="Comma 7 4 10" xfId="2349"/>
    <cellStyle name="Comma 7 4 10 2" xfId="13997"/>
    <cellStyle name="Comma 7 4 11" xfId="10310"/>
    <cellStyle name="Comma 7 4 11 2" xfId="16849"/>
    <cellStyle name="Comma 7 4 12" xfId="13421"/>
    <cellStyle name="Comma 7 4 2" xfId="359"/>
    <cellStyle name="Comma 7 4 2 10" xfId="13479"/>
    <cellStyle name="Comma 7 4 2 2" xfId="813"/>
    <cellStyle name="Comma 7 4 2 2 2" xfId="1948"/>
    <cellStyle name="Comma 7 4 2 2 2 2" xfId="5368"/>
    <cellStyle name="Comma 7 4 2 2 2 2 2" xfId="11902"/>
    <cellStyle name="Comma 7 4 2 2 2 2 2 2" xfId="18441"/>
    <cellStyle name="Comma 7 4 2 2 2 2 3" xfId="15589"/>
    <cellStyle name="Comma 7 4 2 2 2 3" xfId="7640"/>
    <cellStyle name="Comma 7 4 2 2 2 3 2" xfId="12473"/>
    <cellStyle name="Comma 7 4 2 2 2 3 2 2" xfId="19012"/>
    <cellStyle name="Comma 7 4 2 2 2 3 3" xfId="16160"/>
    <cellStyle name="Comma 7 4 2 2 2 4" xfId="9912"/>
    <cellStyle name="Comma 7 4 2 2 2 4 2" xfId="13044"/>
    <cellStyle name="Comma 7 4 2 2 2 4 2 2" xfId="19583"/>
    <cellStyle name="Comma 7 4 2 2 2 4 3" xfId="16731"/>
    <cellStyle name="Comma 7 4 2 2 2 5" xfId="3374"/>
    <cellStyle name="Comma 7 4 2 2 2 5 2" xfId="11331"/>
    <cellStyle name="Comma 7 4 2 2 2 5 2 2" xfId="17870"/>
    <cellStyle name="Comma 7 4 2 2 2 5 3" xfId="15018"/>
    <cellStyle name="Comma 7 4 2 2 2 6" xfId="2798"/>
    <cellStyle name="Comma 7 4 2 2 2 6 2" xfId="14446"/>
    <cellStyle name="Comma 7 4 2 2 2 7" xfId="10759"/>
    <cellStyle name="Comma 7 4 2 2 2 7 2" xfId="17298"/>
    <cellStyle name="Comma 7 4 2 2 2 8" xfId="13878"/>
    <cellStyle name="Comma 7 4 2 2 3" xfId="4233"/>
    <cellStyle name="Comma 7 4 2 2 3 2" xfId="11617"/>
    <cellStyle name="Comma 7 4 2 2 3 2 2" xfId="18156"/>
    <cellStyle name="Comma 7 4 2 2 3 3" xfId="15304"/>
    <cellStyle name="Comma 7 4 2 2 4" xfId="6505"/>
    <cellStyle name="Comma 7 4 2 2 4 2" xfId="12188"/>
    <cellStyle name="Comma 7 4 2 2 4 2 2" xfId="18727"/>
    <cellStyle name="Comma 7 4 2 2 4 3" xfId="15875"/>
    <cellStyle name="Comma 7 4 2 2 5" xfId="8777"/>
    <cellStyle name="Comma 7 4 2 2 5 2" xfId="12759"/>
    <cellStyle name="Comma 7 4 2 2 5 2 2" xfId="19298"/>
    <cellStyle name="Comma 7 4 2 2 5 3" xfId="16446"/>
    <cellStyle name="Comma 7 4 2 2 6" xfId="3089"/>
    <cellStyle name="Comma 7 4 2 2 6 2" xfId="11046"/>
    <cellStyle name="Comma 7 4 2 2 6 2 2" xfId="17585"/>
    <cellStyle name="Comma 7 4 2 2 6 3" xfId="14733"/>
    <cellStyle name="Comma 7 4 2 2 7" xfId="2518"/>
    <cellStyle name="Comma 7 4 2 2 7 2" xfId="14166"/>
    <cellStyle name="Comma 7 4 2 2 8" xfId="10479"/>
    <cellStyle name="Comma 7 4 2 2 8 2" xfId="17018"/>
    <cellStyle name="Comma 7 4 2 2 9" xfId="13593"/>
    <cellStyle name="Comma 7 4 2 3" xfId="1494"/>
    <cellStyle name="Comma 7 4 2 3 2" xfId="4914"/>
    <cellStyle name="Comma 7 4 2 3 2 2" xfId="11788"/>
    <cellStyle name="Comma 7 4 2 3 2 2 2" xfId="18327"/>
    <cellStyle name="Comma 7 4 2 3 2 3" xfId="15475"/>
    <cellStyle name="Comma 7 4 2 3 3" xfId="7186"/>
    <cellStyle name="Comma 7 4 2 3 3 2" xfId="12359"/>
    <cellStyle name="Comma 7 4 2 3 3 2 2" xfId="18898"/>
    <cellStyle name="Comma 7 4 2 3 3 3" xfId="16046"/>
    <cellStyle name="Comma 7 4 2 3 4" xfId="9458"/>
    <cellStyle name="Comma 7 4 2 3 4 2" xfId="12930"/>
    <cellStyle name="Comma 7 4 2 3 4 2 2" xfId="19469"/>
    <cellStyle name="Comma 7 4 2 3 4 3" xfId="16617"/>
    <cellStyle name="Comma 7 4 2 3 5" xfId="3260"/>
    <cellStyle name="Comma 7 4 2 3 5 2" xfId="11217"/>
    <cellStyle name="Comma 7 4 2 3 5 2 2" xfId="17756"/>
    <cellStyle name="Comma 7 4 2 3 5 3" xfId="14904"/>
    <cellStyle name="Comma 7 4 2 3 6" xfId="2686"/>
    <cellStyle name="Comma 7 4 2 3 6 2" xfId="14334"/>
    <cellStyle name="Comma 7 4 2 3 7" xfId="10647"/>
    <cellStyle name="Comma 7 4 2 3 7 2" xfId="17186"/>
    <cellStyle name="Comma 7 4 2 3 8" xfId="13764"/>
    <cellStyle name="Comma 7 4 2 4" xfId="3779"/>
    <cellStyle name="Comma 7 4 2 4 2" xfId="11503"/>
    <cellStyle name="Comma 7 4 2 4 2 2" xfId="18042"/>
    <cellStyle name="Comma 7 4 2 4 3" xfId="15190"/>
    <cellStyle name="Comma 7 4 2 5" xfId="6051"/>
    <cellStyle name="Comma 7 4 2 5 2" xfId="12074"/>
    <cellStyle name="Comma 7 4 2 5 2 2" xfId="18613"/>
    <cellStyle name="Comma 7 4 2 5 3" xfId="15761"/>
    <cellStyle name="Comma 7 4 2 6" xfId="8323"/>
    <cellStyle name="Comma 7 4 2 6 2" xfId="12645"/>
    <cellStyle name="Comma 7 4 2 6 2 2" xfId="19184"/>
    <cellStyle name="Comma 7 4 2 6 3" xfId="16332"/>
    <cellStyle name="Comma 7 4 2 7" xfId="2975"/>
    <cellStyle name="Comma 7 4 2 7 2" xfId="10932"/>
    <cellStyle name="Comma 7 4 2 7 2 2" xfId="17471"/>
    <cellStyle name="Comma 7 4 2 7 3" xfId="14619"/>
    <cellStyle name="Comma 7 4 2 8" xfId="2406"/>
    <cellStyle name="Comma 7 4 2 8 2" xfId="14054"/>
    <cellStyle name="Comma 7 4 2 9" xfId="10367"/>
    <cellStyle name="Comma 7 4 2 9 2" xfId="16906"/>
    <cellStyle name="Comma 7 4 3" xfId="1040"/>
    <cellStyle name="Comma 7 4 3 2" xfId="2175"/>
    <cellStyle name="Comma 7 4 3 2 2" xfId="5595"/>
    <cellStyle name="Comma 7 4 3 2 2 2" xfId="11959"/>
    <cellStyle name="Comma 7 4 3 2 2 2 2" xfId="18498"/>
    <cellStyle name="Comma 7 4 3 2 2 3" xfId="15646"/>
    <cellStyle name="Comma 7 4 3 2 3" xfId="7867"/>
    <cellStyle name="Comma 7 4 3 2 3 2" xfId="12530"/>
    <cellStyle name="Comma 7 4 3 2 3 2 2" xfId="19069"/>
    <cellStyle name="Comma 7 4 3 2 3 3" xfId="16217"/>
    <cellStyle name="Comma 7 4 3 2 4" xfId="10139"/>
    <cellStyle name="Comma 7 4 3 2 4 2" xfId="13101"/>
    <cellStyle name="Comma 7 4 3 2 4 2 2" xfId="19640"/>
    <cellStyle name="Comma 7 4 3 2 4 3" xfId="16788"/>
    <cellStyle name="Comma 7 4 3 2 5" xfId="3431"/>
    <cellStyle name="Comma 7 4 3 2 5 2" xfId="11388"/>
    <cellStyle name="Comma 7 4 3 2 5 2 2" xfId="17927"/>
    <cellStyle name="Comma 7 4 3 2 5 3" xfId="15075"/>
    <cellStyle name="Comma 7 4 3 2 6" xfId="2854"/>
    <cellStyle name="Comma 7 4 3 2 6 2" xfId="14502"/>
    <cellStyle name="Comma 7 4 3 2 7" xfId="10815"/>
    <cellStyle name="Comma 7 4 3 2 7 2" xfId="17354"/>
    <cellStyle name="Comma 7 4 3 2 8" xfId="13935"/>
    <cellStyle name="Comma 7 4 3 3" xfId="4460"/>
    <cellStyle name="Comma 7 4 3 3 2" xfId="11674"/>
    <cellStyle name="Comma 7 4 3 3 2 2" xfId="18213"/>
    <cellStyle name="Comma 7 4 3 3 3" xfId="15361"/>
    <cellStyle name="Comma 7 4 3 4" xfId="6732"/>
    <cellStyle name="Comma 7 4 3 4 2" xfId="12245"/>
    <cellStyle name="Comma 7 4 3 4 2 2" xfId="18784"/>
    <cellStyle name="Comma 7 4 3 4 3" xfId="15932"/>
    <cellStyle name="Comma 7 4 3 5" xfId="9004"/>
    <cellStyle name="Comma 7 4 3 5 2" xfId="12816"/>
    <cellStyle name="Comma 7 4 3 5 2 2" xfId="19355"/>
    <cellStyle name="Comma 7 4 3 5 3" xfId="16503"/>
    <cellStyle name="Comma 7 4 3 6" xfId="3146"/>
    <cellStyle name="Comma 7 4 3 6 2" xfId="11103"/>
    <cellStyle name="Comma 7 4 3 6 2 2" xfId="17642"/>
    <cellStyle name="Comma 7 4 3 6 3" xfId="14790"/>
    <cellStyle name="Comma 7 4 3 7" xfId="2574"/>
    <cellStyle name="Comma 7 4 3 7 2" xfId="14222"/>
    <cellStyle name="Comma 7 4 3 8" xfId="10535"/>
    <cellStyle name="Comma 7 4 3 8 2" xfId="17074"/>
    <cellStyle name="Comma 7 4 3 9" xfId="13650"/>
    <cellStyle name="Comma 7 4 4" xfId="586"/>
    <cellStyle name="Comma 7 4 4 2" xfId="1721"/>
    <cellStyle name="Comma 7 4 4 2 2" xfId="5141"/>
    <cellStyle name="Comma 7 4 4 2 2 2" xfId="11845"/>
    <cellStyle name="Comma 7 4 4 2 2 2 2" xfId="18384"/>
    <cellStyle name="Comma 7 4 4 2 2 3" xfId="15532"/>
    <cellStyle name="Comma 7 4 4 2 3" xfId="7413"/>
    <cellStyle name="Comma 7 4 4 2 3 2" xfId="12416"/>
    <cellStyle name="Comma 7 4 4 2 3 2 2" xfId="18955"/>
    <cellStyle name="Comma 7 4 4 2 3 3" xfId="16103"/>
    <cellStyle name="Comma 7 4 4 2 4" xfId="9685"/>
    <cellStyle name="Comma 7 4 4 2 4 2" xfId="12987"/>
    <cellStyle name="Comma 7 4 4 2 4 2 2" xfId="19526"/>
    <cellStyle name="Comma 7 4 4 2 4 3" xfId="16674"/>
    <cellStyle name="Comma 7 4 4 2 5" xfId="3317"/>
    <cellStyle name="Comma 7 4 4 2 5 2" xfId="11274"/>
    <cellStyle name="Comma 7 4 4 2 5 2 2" xfId="17813"/>
    <cellStyle name="Comma 7 4 4 2 5 3" xfId="14961"/>
    <cellStyle name="Comma 7 4 4 2 6" xfId="2742"/>
    <cellStyle name="Comma 7 4 4 2 6 2" xfId="14390"/>
    <cellStyle name="Comma 7 4 4 2 7" xfId="10703"/>
    <cellStyle name="Comma 7 4 4 2 7 2" xfId="17242"/>
    <cellStyle name="Comma 7 4 4 2 8" xfId="13821"/>
    <cellStyle name="Comma 7 4 4 3" xfId="4006"/>
    <cellStyle name="Comma 7 4 4 3 2" xfId="11560"/>
    <cellStyle name="Comma 7 4 4 3 2 2" xfId="18099"/>
    <cellStyle name="Comma 7 4 4 3 3" xfId="15247"/>
    <cellStyle name="Comma 7 4 4 4" xfId="6278"/>
    <cellStyle name="Comma 7 4 4 4 2" xfId="12131"/>
    <cellStyle name="Comma 7 4 4 4 2 2" xfId="18670"/>
    <cellStyle name="Comma 7 4 4 4 3" xfId="15818"/>
    <cellStyle name="Comma 7 4 4 5" xfId="8550"/>
    <cellStyle name="Comma 7 4 4 5 2" xfId="12702"/>
    <cellStyle name="Comma 7 4 4 5 2 2" xfId="19241"/>
    <cellStyle name="Comma 7 4 4 5 3" xfId="16389"/>
    <cellStyle name="Comma 7 4 4 6" xfId="3032"/>
    <cellStyle name="Comma 7 4 4 6 2" xfId="10989"/>
    <cellStyle name="Comma 7 4 4 6 2 2" xfId="17528"/>
    <cellStyle name="Comma 7 4 4 6 3" xfId="14676"/>
    <cellStyle name="Comma 7 4 4 7" xfId="2462"/>
    <cellStyle name="Comma 7 4 4 7 2" xfId="14110"/>
    <cellStyle name="Comma 7 4 4 8" xfId="10423"/>
    <cellStyle name="Comma 7 4 4 8 2" xfId="16962"/>
    <cellStyle name="Comma 7 4 4 9" xfId="13536"/>
    <cellStyle name="Comma 7 4 5" xfId="1267"/>
    <cellStyle name="Comma 7 4 5 2" xfId="4687"/>
    <cellStyle name="Comma 7 4 5 2 2" xfId="11731"/>
    <cellStyle name="Comma 7 4 5 2 2 2" xfId="18270"/>
    <cellStyle name="Comma 7 4 5 2 3" xfId="15418"/>
    <cellStyle name="Comma 7 4 5 3" xfId="6959"/>
    <cellStyle name="Comma 7 4 5 3 2" xfId="12302"/>
    <cellStyle name="Comma 7 4 5 3 2 2" xfId="18841"/>
    <cellStyle name="Comma 7 4 5 3 3" xfId="15989"/>
    <cellStyle name="Comma 7 4 5 4" xfId="9231"/>
    <cellStyle name="Comma 7 4 5 4 2" xfId="12873"/>
    <cellStyle name="Comma 7 4 5 4 2 2" xfId="19412"/>
    <cellStyle name="Comma 7 4 5 4 3" xfId="16560"/>
    <cellStyle name="Comma 7 4 5 5" xfId="3203"/>
    <cellStyle name="Comma 7 4 5 5 2" xfId="11160"/>
    <cellStyle name="Comma 7 4 5 5 2 2" xfId="17699"/>
    <cellStyle name="Comma 7 4 5 5 3" xfId="14847"/>
    <cellStyle name="Comma 7 4 5 6" xfId="2630"/>
    <cellStyle name="Comma 7 4 5 6 2" xfId="14278"/>
    <cellStyle name="Comma 7 4 5 7" xfId="10591"/>
    <cellStyle name="Comma 7 4 5 7 2" xfId="17130"/>
    <cellStyle name="Comma 7 4 5 8" xfId="13707"/>
    <cellStyle name="Comma 7 4 6" xfId="3552"/>
    <cellStyle name="Comma 7 4 6 2" xfId="11446"/>
    <cellStyle name="Comma 7 4 6 2 2" xfId="17985"/>
    <cellStyle name="Comma 7 4 6 3" xfId="15133"/>
    <cellStyle name="Comma 7 4 7" xfId="5824"/>
    <cellStyle name="Comma 7 4 7 2" xfId="12017"/>
    <cellStyle name="Comma 7 4 7 2 2" xfId="18556"/>
    <cellStyle name="Comma 7 4 7 3" xfId="15704"/>
    <cellStyle name="Comma 7 4 8" xfId="8096"/>
    <cellStyle name="Comma 7 4 8 2" xfId="12588"/>
    <cellStyle name="Comma 7 4 8 2 2" xfId="19127"/>
    <cellStyle name="Comma 7 4 8 3" xfId="16275"/>
    <cellStyle name="Comma 7 4 9" xfId="2915"/>
    <cellStyle name="Comma 7 4 9 2" xfId="10874"/>
    <cellStyle name="Comma 7 4 9 2 2" xfId="17413"/>
    <cellStyle name="Comma 7 4 9 3" xfId="14561"/>
    <cellStyle name="Comma 7 5" xfId="247"/>
    <cellStyle name="Comma 7 5 10" xfId="2378"/>
    <cellStyle name="Comma 7 5 10 2" xfId="14026"/>
    <cellStyle name="Comma 7 5 11" xfId="10339"/>
    <cellStyle name="Comma 7 5 11 2" xfId="16878"/>
    <cellStyle name="Comma 7 5 12" xfId="13451"/>
    <cellStyle name="Comma 7 5 2" xfId="474"/>
    <cellStyle name="Comma 7 5 2 10" xfId="13508"/>
    <cellStyle name="Comma 7 5 2 2" xfId="928"/>
    <cellStyle name="Comma 7 5 2 2 2" xfId="2063"/>
    <cellStyle name="Comma 7 5 2 2 2 2" xfId="5483"/>
    <cellStyle name="Comma 7 5 2 2 2 2 2" xfId="11931"/>
    <cellStyle name="Comma 7 5 2 2 2 2 2 2" xfId="18470"/>
    <cellStyle name="Comma 7 5 2 2 2 2 3" xfId="15618"/>
    <cellStyle name="Comma 7 5 2 2 2 3" xfId="7755"/>
    <cellStyle name="Comma 7 5 2 2 2 3 2" xfId="12502"/>
    <cellStyle name="Comma 7 5 2 2 2 3 2 2" xfId="19041"/>
    <cellStyle name="Comma 7 5 2 2 2 3 3" xfId="16189"/>
    <cellStyle name="Comma 7 5 2 2 2 4" xfId="10027"/>
    <cellStyle name="Comma 7 5 2 2 2 4 2" xfId="13073"/>
    <cellStyle name="Comma 7 5 2 2 2 4 2 2" xfId="19612"/>
    <cellStyle name="Comma 7 5 2 2 2 4 3" xfId="16760"/>
    <cellStyle name="Comma 7 5 2 2 2 5" xfId="3403"/>
    <cellStyle name="Comma 7 5 2 2 2 5 2" xfId="11360"/>
    <cellStyle name="Comma 7 5 2 2 2 5 2 2" xfId="17899"/>
    <cellStyle name="Comma 7 5 2 2 2 5 3" xfId="15047"/>
    <cellStyle name="Comma 7 5 2 2 2 6" xfId="2826"/>
    <cellStyle name="Comma 7 5 2 2 2 6 2" xfId="14474"/>
    <cellStyle name="Comma 7 5 2 2 2 7" xfId="10787"/>
    <cellStyle name="Comma 7 5 2 2 2 7 2" xfId="17326"/>
    <cellStyle name="Comma 7 5 2 2 2 8" xfId="13907"/>
    <cellStyle name="Comma 7 5 2 2 3" xfId="4348"/>
    <cellStyle name="Comma 7 5 2 2 3 2" xfId="11646"/>
    <cellStyle name="Comma 7 5 2 2 3 2 2" xfId="18185"/>
    <cellStyle name="Comma 7 5 2 2 3 3" xfId="15333"/>
    <cellStyle name="Comma 7 5 2 2 4" xfId="6620"/>
    <cellStyle name="Comma 7 5 2 2 4 2" xfId="12217"/>
    <cellStyle name="Comma 7 5 2 2 4 2 2" xfId="18756"/>
    <cellStyle name="Comma 7 5 2 2 4 3" xfId="15904"/>
    <cellStyle name="Comma 7 5 2 2 5" xfId="8892"/>
    <cellStyle name="Comma 7 5 2 2 5 2" xfId="12788"/>
    <cellStyle name="Comma 7 5 2 2 5 2 2" xfId="19327"/>
    <cellStyle name="Comma 7 5 2 2 5 3" xfId="16475"/>
    <cellStyle name="Comma 7 5 2 2 6" xfId="3118"/>
    <cellStyle name="Comma 7 5 2 2 6 2" xfId="11075"/>
    <cellStyle name="Comma 7 5 2 2 6 2 2" xfId="17614"/>
    <cellStyle name="Comma 7 5 2 2 6 3" xfId="14762"/>
    <cellStyle name="Comma 7 5 2 2 7" xfId="2546"/>
    <cellStyle name="Comma 7 5 2 2 7 2" xfId="14194"/>
    <cellStyle name="Comma 7 5 2 2 8" xfId="10507"/>
    <cellStyle name="Comma 7 5 2 2 8 2" xfId="17046"/>
    <cellStyle name="Comma 7 5 2 2 9" xfId="13622"/>
    <cellStyle name="Comma 7 5 2 3" xfId="1609"/>
    <cellStyle name="Comma 7 5 2 3 2" xfId="5029"/>
    <cellStyle name="Comma 7 5 2 3 2 2" xfId="11817"/>
    <cellStyle name="Comma 7 5 2 3 2 2 2" xfId="18356"/>
    <cellStyle name="Comma 7 5 2 3 2 3" xfId="15504"/>
    <cellStyle name="Comma 7 5 2 3 3" xfId="7301"/>
    <cellStyle name="Comma 7 5 2 3 3 2" xfId="12388"/>
    <cellStyle name="Comma 7 5 2 3 3 2 2" xfId="18927"/>
    <cellStyle name="Comma 7 5 2 3 3 3" xfId="16075"/>
    <cellStyle name="Comma 7 5 2 3 4" xfId="9573"/>
    <cellStyle name="Comma 7 5 2 3 4 2" xfId="12959"/>
    <cellStyle name="Comma 7 5 2 3 4 2 2" xfId="19498"/>
    <cellStyle name="Comma 7 5 2 3 4 3" xfId="16646"/>
    <cellStyle name="Comma 7 5 2 3 5" xfId="3289"/>
    <cellStyle name="Comma 7 5 2 3 5 2" xfId="11246"/>
    <cellStyle name="Comma 7 5 2 3 5 2 2" xfId="17785"/>
    <cellStyle name="Comma 7 5 2 3 5 3" xfId="14933"/>
    <cellStyle name="Comma 7 5 2 3 6" xfId="2714"/>
    <cellStyle name="Comma 7 5 2 3 6 2" xfId="14362"/>
    <cellStyle name="Comma 7 5 2 3 7" xfId="10675"/>
    <cellStyle name="Comma 7 5 2 3 7 2" xfId="17214"/>
    <cellStyle name="Comma 7 5 2 3 8" xfId="13793"/>
    <cellStyle name="Comma 7 5 2 4" xfId="3894"/>
    <cellStyle name="Comma 7 5 2 4 2" xfId="11532"/>
    <cellStyle name="Comma 7 5 2 4 2 2" xfId="18071"/>
    <cellStyle name="Comma 7 5 2 4 3" xfId="15219"/>
    <cellStyle name="Comma 7 5 2 5" xfId="6166"/>
    <cellStyle name="Comma 7 5 2 5 2" xfId="12103"/>
    <cellStyle name="Comma 7 5 2 5 2 2" xfId="18642"/>
    <cellStyle name="Comma 7 5 2 5 3" xfId="15790"/>
    <cellStyle name="Comma 7 5 2 6" xfId="8438"/>
    <cellStyle name="Comma 7 5 2 6 2" xfId="12674"/>
    <cellStyle name="Comma 7 5 2 6 2 2" xfId="19213"/>
    <cellStyle name="Comma 7 5 2 6 3" xfId="16361"/>
    <cellStyle name="Comma 7 5 2 7" xfId="3004"/>
    <cellStyle name="Comma 7 5 2 7 2" xfId="10961"/>
    <cellStyle name="Comma 7 5 2 7 2 2" xfId="17500"/>
    <cellStyle name="Comma 7 5 2 7 3" xfId="14648"/>
    <cellStyle name="Comma 7 5 2 8" xfId="2434"/>
    <cellStyle name="Comma 7 5 2 8 2" xfId="14082"/>
    <cellStyle name="Comma 7 5 2 9" xfId="10395"/>
    <cellStyle name="Comma 7 5 2 9 2" xfId="16934"/>
    <cellStyle name="Comma 7 5 3" xfId="1155"/>
    <cellStyle name="Comma 7 5 3 2" xfId="2290"/>
    <cellStyle name="Comma 7 5 3 2 2" xfId="5710"/>
    <cellStyle name="Comma 7 5 3 2 2 2" xfId="11988"/>
    <cellStyle name="Comma 7 5 3 2 2 2 2" xfId="18527"/>
    <cellStyle name="Comma 7 5 3 2 2 3" xfId="15675"/>
    <cellStyle name="Comma 7 5 3 2 3" xfId="7982"/>
    <cellStyle name="Comma 7 5 3 2 3 2" xfId="12559"/>
    <cellStyle name="Comma 7 5 3 2 3 2 2" xfId="19098"/>
    <cellStyle name="Comma 7 5 3 2 3 3" xfId="16246"/>
    <cellStyle name="Comma 7 5 3 2 4" xfId="10254"/>
    <cellStyle name="Comma 7 5 3 2 4 2" xfId="13130"/>
    <cellStyle name="Comma 7 5 3 2 4 2 2" xfId="19669"/>
    <cellStyle name="Comma 7 5 3 2 4 3" xfId="16817"/>
    <cellStyle name="Comma 7 5 3 2 5" xfId="3460"/>
    <cellStyle name="Comma 7 5 3 2 5 2" xfId="11417"/>
    <cellStyle name="Comma 7 5 3 2 5 2 2" xfId="17956"/>
    <cellStyle name="Comma 7 5 3 2 5 3" xfId="15104"/>
    <cellStyle name="Comma 7 5 3 2 6" xfId="2882"/>
    <cellStyle name="Comma 7 5 3 2 6 2" xfId="14530"/>
    <cellStyle name="Comma 7 5 3 2 7" xfId="10843"/>
    <cellStyle name="Comma 7 5 3 2 7 2" xfId="17382"/>
    <cellStyle name="Comma 7 5 3 2 8" xfId="13964"/>
    <cellStyle name="Comma 7 5 3 3" xfId="4575"/>
    <cellStyle name="Comma 7 5 3 3 2" xfId="11703"/>
    <cellStyle name="Comma 7 5 3 3 2 2" xfId="18242"/>
    <cellStyle name="Comma 7 5 3 3 3" xfId="15390"/>
    <cellStyle name="Comma 7 5 3 4" xfId="6847"/>
    <cellStyle name="Comma 7 5 3 4 2" xfId="12274"/>
    <cellStyle name="Comma 7 5 3 4 2 2" xfId="18813"/>
    <cellStyle name="Comma 7 5 3 4 3" xfId="15961"/>
    <cellStyle name="Comma 7 5 3 5" xfId="9119"/>
    <cellStyle name="Comma 7 5 3 5 2" xfId="12845"/>
    <cellStyle name="Comma 7 5 3 5 2 2" xfId="19384"/>
    <cellStyle name="Comma 7 5 3 5 3" xfId="16532"/>
    <cellStyle name="Comma 7 5 3 6" xfId="3175"/>
    <cellStyle name="Comma 7 5 3 6 2" xfId="11132"/>
    <cellStyle name="Comma 7 5 3 6 2 2" xfId="17671"/>
    <cellStyle name="Comma 7 5 3 6 3" xfId="14819"/>
    <cellStyle name="Comma 7 5 3 7" xfId="2602"/>
    <cellStyle name="Comma 7 5 3 7 2" xfId="14250"/>
    <cellStyle name="Comma 7 5 3 8" xfId="10563"/>
    <cellStyle name="Comma 7 5 3 8 2" xfId="17102"/>
    <cellStyle name="Comma 7 5 3 9" xfId="13679"/>
    <cellStyle name="Comma 7 5 4" xfId="701"/>
    <cellStyle name="Comma 7 5 4 2" xfId="1836"/>
    <cellStyle name="Comma 7 5 4 2 2" xfId="5256"/>
    <cellStyle name="Comma 7 5 4 2 2 2" xfId="11874"/>
    <cellStyle name="Comma 7 5 4 2 2 2 2" xfId="18413"/>
    <cellStyle name="Comma 7 5 4 2 2 3" xfId="15561"/>
    <cellStyle name="Comma 7 5 4 2 3" xfId="7528"/>
    <cellStyle name="Comma 7 5 4 2 3 2" xfId="12445"/>
    <cellStyle name="Comma 7 5 4 2 3 2 2" xfId="18984"/>
    <cellStyle name="Comma 7 5 4 2 3 3" xfId="16132"/>
    <cellStyle name="Comma 7 5 4 2 4" xfId="9800"/>
    <cellStyle name="Comma 7 5 4 2 4 2" xfId="13016"/>
    <cellStyle name="Comma 7 5 4 2 4 2 2" xfId="19555"/>
    <cellStyle name="Comma 7 5 4 2 4 3" xfId="16703"/>
    <cellStyle name="Comma 7 5 4 2 5" xfId="3346"/>
    <cellStyle name="Comma 7 5 4 2 5 2" xfId="11303"/>
    <cellStyle name="Comma 7 5 4 2 5 2 2" xfId="17842"/>
    <cellStyle name="Comma 7 5 4 2 5 3" xfId="14990"/>
    <cellStyle name="Comma 7 5 4 2 6" xfId="2770"/>
    <cellStyle name="Comma 7 5 4 2 6 2" xfId="14418"/>
    <cellStyle name="Comma 7 5 4 2 7" xfId="10731"/>
    <cellStyle name="Comma 7 5 4 2 7 2" xfId="17270"/>
    <cellStyle name="Comma 7 5 4 2 8" xfId="13850"/>
    <cellStyle name="Comma 7 5 4 3" xfId="4121"/>
    <cellStyle name="Comma 7 5 4 3 2" xfId="11589"/>
    <cellStyle name="Comma 7 5 4 3 2 2" xfId="18128"/>
    <cellStyle name="Comma 7 5 4 3 3" xfId="15276"/>
    <cellStyle name="Comma 7 5 4 4" xfId="6393"/>
    <cellStyle name="Comma 7 5 4 4 2" xfId="12160"/>
    <cellStyle name="Comma 7 5 4 4 2 2" xfId="18699"/>
    <cellStyle name="Comma 7 5 4 4 3" xfId="15847"/>
    <cellStyle name="Comma 7 5 4 5" xfId="8665"/>
    <cellStyle name="Comma 7 5 4 5 2" xfId="12731"/>
    <cellStyle name="Comma 7 5 4 5 2 2" xfId="19270"/>
    <cellStyle name="Comma 7 5 4 5 3" xfId="16418"/>
    <cellStyle name="Comma 7 5 4 6" xfId="3061"/>
    <cellStyle name="Comma 7 5 4 6 2" xfId="11018"/>
    <cellStyle name="Comma 7 5 4 6 2 2" xfId="17557"/>
    <cellStyle name="Comma 7 5 4 6 3" xfId="14705"/>
    <cellStyle name="Comma 7 5 4 7" xfId="2490"/>
    <cellStyle name="Comma 7 5 4 7 2" xfId="14138"/>
    <cellStyle name="Comma 7 5 4 8" xfId="10451"/>
    <cellStyle name="Comma 7 5 4 8 2" xfId="16990"/>
    <cellStyle name="Comma 7 5 4 9" xfId="13565"/>
    <cellStyle name="Comma 7 5 5" xfId="1382"/>
    <cellStyle name="Comma 7 5 5 2" xfId="4802"/>
    <cellStyle name="Comma 7 5 5 2 2" xfId="11760"/>
    <cellStyle name="Comma 7 5 5 2 2 2" xfId="18299"/>
    <cellStyle name="Comma 7 5 5 2 3" xfId="15447"/>
    <cellStyle name="Comma 7 5 5 3" xfId="7074"/>
    <cellStyle name="Comma 7 5 5 3 2" xfId="12331"/>
    <cellStyle name="Comma 7 5 5 3 2 2" xfId="18870"/>
    <cellStyle name="Comma 7 5 5 3 3" xfId="16018"/>
    <cellStyle name="Comma 7 5 5 4" xfId="9346"/>
    <cellStyle name="Comma 7 5 5 4 2" xfId="12902"/>
    <cellStyle name="Comma 7 5 5 4 2 2" xfId="19441"/>
    <cellStyle name="Comma 7 5 5 4 3" xfId="16589"/>
    <cellStyle name="Comma 7 5 5 5" xfId="3232"/>
    <cellStyle name="Comma 7 5 5 5 2" xfId="11189"/>
    <cellStyle name="Comma 7 5 5 5 2 2" xfId="17728"/>
    <cellStyle name="Comma 7 5 5 5 3" xfId="14876"/>
    <cellStyle name="Comma 7 5 5 6" xfId="2658"/>
    <cellStyle name="Comma 7 5 5 6 2" xfId="14306"/>
    <cellStyle name="Comma 7 5 5 7" xfId="10619"/>
    <cellStyle name="Comma 7 5 5 7 2" xfId="17158"/>
    <cellStyle name="Comma 7 5 5 8" xfId="13736"/>
    <cellStyle name="Comma 7 5 6" xfId="3667"/>
    <cellStyle name="Comma 7 5 6 2" xfId="11475"/>
    <cellStyle name="Comma 7 5 6 2 2" xfId="18014"/>
    <cellStyle name="Comma 7 5 6 3" xfId="15162"/>
    <cellStyle name="Comma 7 5 7" xfId="5939"/>
    <cellStyle name="Comma 7 5 7 2" xfId="12046"/>
    <cellStyle name="Comma 7 5 7 2 2" xfId="18585"/>
    <cellStyle name="Comma 7 5 7 3" xfId="15733"/>
    <cellStyle name="Comma 7 5 8" xfId="8211"/>
    <cellStyle name="Comma 7 5 8 2" xfId="12617"/>
    <cellStyle name="Comma 7 5 8 2 2" xfId="19156"/>
    <cellStyle name="Comma 7 5 8 3" xfId="16304"/>
    <cellStyle name="Comma 7 5 9" xfId="2947"/>
    <cellStyle name="Comma 7 5 9 2" xfId="10904"/>
    <cellStyle name="Comma 7 5 9 2 2" xfId="17443"/>
    <cellStyle name="Comma 7 5 9 3" xfId="14591"/>
    <cellStyle name="Comma 7 6" xfId="303"/>
    <cellStyle name="Comma 7 6 10" xfId="13465"/>
    <cellStyle name="Comma 7 6 2" xfId="757"/>
    <cellStyle name="Comma 7 6 2 2" xfId="1892"/>
    <cellStyle name="Comma 7 6 2 2 2" xfId="5312"/>
    <cellStyle name="Comma 7 6 2 2 2 2" xfId="11888"/>
    <cellStyle name="Comma 7 6 2 2 2 2 2" xfId="18427"/>
    <cellStyle name="Comma 7 6 2 2 2 3" xfId="15575"/>
    <cellStyle name="Comma 7 6 2 2 3" xfId="7584"/>
    <cellStyle name="Comma 7 6 2 2 3 2" xfId="12459"/>
    <cellStyle name="Comma 7 6 2 2 3 2 2" xfId="18998"/>
    <cellStyle name="Comma 7 6 2 2 3 3" xfId="16146"/>
    <cellStyle name="Comma 7 6 2 2 4" xfId="9856"/>
    <cellStyle name="Comma 7 6 2 2 4 2" xfId="13030"/>
    <cellStyle name="Comma 7 6 2 2 4 2 2" xfId="19569"/>
    <cellStyle name="Comma 7 6 2 2 4 3" xfId="16717"/>
    <cellStyle name="Comma 7 6 2 2 5" xfId="3360"/>
    <cellStyle name="Comma 7 6 2 2 5 2" xfId="11317"/>
    <cellStyle name="Comma 7 6 2 2 5 2 2" xfId="17856"/>
    <cellStyle name="Comma 7 6 2 2 5 3" xfId="15004"/>
    <cellStyle name="Comma 7 6 2 2 6" xfId="2784"/>
    <cellStyle name="Comma 7 6 2 2 6 2" xfId="14432"/>
    <cellStyle name="Comma 7 6 2 2 7" xfId="10745"/>
    <cellStyle name="Comma 7 6 2 2 7 2" xfId="17284"/>
    <cellStyle name="Comma 7 6 2 2 8" xfId="13864"/>
    <cellStyle name="Comma 7 6 2 3" xfId="4177"/>
    <cellStyle name="Comma 7 6 2 3 2" xfId="11603"/>
    <cellStyle name="Comma 7 6 2 3 2 2" xfId="18142"/>
    <cellStyle name="Comma 7 6 2 3 3" xfId="15290"/>
    <cellStyle name="Comma 7 6 2 4" xfId="6449"/>
    <cellStyle name="Comma 7 6 2 4 2" xfId="12174"/>
    <cellStyle name="Comma 7 6 2 4 2 2" xfId="18713"/>
    <cellStyle name="Comma 7 6 2 4 3" xfId="15861"/>
    <cellStyle name="Comma 7 6 2 5" xfId="8721"/>
    <cellStyle name="Comma 7 6 2 5 2" xfId="12745"/>
    <cellStyle name="Comma 7 6 2 5 2 2" xfId="19284"/>
    <cellStyle name="Comma 7 6 2 5 3" xfId="16432"/>
    <cellStyle name="Comma 7 6 2 6" xfId="3075"/>
    <cellStyle name="Comma 7 6 2 6 2" xfId="11032"/>
    <cellStyle name="Comma 7 6 2 6 2 2" xfId="17571"/>
    <cellStyle name="Comma 7 6 2 6 3" xfId="14719"/>
    <cellStyle name="Comma 7 6 2 7" xfId="2504"/>
    <cellStyle name="Comma 7 6 2 7 2" xfId="14152"/>
    <cellStyle name="Comma 7 6 2 8" xfId="10465"/>
    <cellStyle name="Comma 7 6 2 8 2" xfId="17004"/>
    <cellStyle name="Comma 7 6 2 9" xfId="13579"/>
    <cellStyle name="Comma 7 6 3" xfId="1438"/>
    <cellStyle name="Comma 7 6 3 2" xfId="4858"/>
    <cellStyle name="Comma 7 6 3 2 2" xfId="11774"/>
    <cellStyle name="Comma 7 6 3 2 2 2" xfId="18313"/>
    <cellStyle name="Comma 7 6 3 2 3" xfId="15461"/>
    <cellStyle name="Comma 7 6 3 3" xfId="7130"/>
    <cellStyle name="Comma 7 6 3 3 2" xfId="12345"/>
    <cellStyle name="Comma 7 6 3 3 2 2" xfId="18884"/>
    <cellStyle name="Comma 7 6 3 3 3" xfId="16032"/>
    <cellStyle name="Comma 7 6 3 4" xfId="9402"/>
    <cellStyle name="Comma 7 6 3 4 2" xfId="12916"/>
    <cellStyle name="Comma 7 6 3 4 2 2" xfId="19455"/>
    <cellStyle name="Comma 7 6 3 4 3" xfId="16603"/>
    <cellStyle name="Comma 7 6 3 5" xfId="3246"/>
    <cellStyle name="Comma 7 6 3 5 2" xfId="11203"/>
    <cellStyle name="Comma 7 6 3 5 2 2" xfId="17742"/>
    <cellStyle name="Comma 7 6 3 5 3" xfId="14890"/>
    <cellStyle name="Comma 7 6 3 6" xfId="2672"/>
    <cellStyle name="Comma 7 6 3 6 2" xfId="14320"/>
    <cellStyle name="Comma 7 6 3 7" xfId="10633"/>
    <cellStyle name="Comma 7 6 3 7 2" xfId="17172"/>
    <cellStyle name="Comma 7 6 3 8" xfId="13750"/>
    <cellStyle name="Comma 7 6 4" xfId="3723"/>
    <cellStyle name="Comma 7 6 4 2" xfId="11489"/>
    <cellStyle name="Comma 7 6 4 2 2" xfId="18028"/>
    <cellStyle name="Comma 7 6 4 3" xfId="15176"/>
    <cellStyle name="Comma 7 6 5" xfId="5995"/>
    <cellStyle name="Comma 7 6 5 2" xfId="12060"/>
    <cellStyle name="Comma 7 6 5 2 2" xfId="18599"/>
    <cellStyle name="Comma 7 6 5 3" xfId="15747"/>
    <cellStyle name="Comma 7 6 6" xfId="8267"/>
    <cellStyle name="Comma 7 6 6 2" xfId="12631"/>
    <cellStyle name="Comma 7 6 6 2 2" xfId="19170"/>
    <cellStyle name="Comma 7 6 6 3" xfId="16318"/>
    <cellStyle name="Comma 7 6 7" xfId="2961"/>
    <cellStyle name="Comma 7 6 7 2" xfId="10918"/>
    <cellStyle name="Comma 7 6 7 2 2" xfId="17457"/>
    <cellStyle name="Comma 7 6 7 3" xfId="14605"/>
    <cellStyle name="Comma 7 6 8" xfId="2392"/>
    <cellStyle name="Comma 7 6 8 2" xfId="14040"/>
    <cellStyle name="Comma 7 6 9" xfId="10353"/>
    <cellStyle name="Comma 7 6 9 2" xfId="16892"/>
    <cellStyle name="Comma 7 7" xfId="984"/>
    <cellStyle name="Comma 7 7 2" xfId="2119"/>
    <cellStyle name="Comma 7 7 2 2" xfId="5539"/>
    <cellStyle name="Comma 7 7 2 2 2" xfId="11945"/>
    <cellStyle name="Comma 7 7 2 2 2 2" xfId="18484"/>
    <cellStyle name="Comma 7 7 2 2 3" xfId="15632"/>
    <cellStyle name="Comma 7 7 2 3" xfId="7811"/>
    <cellStyle name="Comma 7 7 2 3 2" xfId="12516"/>
    <cellStyle name="Comma 7 7 2 3 2 2" xfId="19055"/>
    <cellStyle name="Comma 7 7 2 3 3" xfId="16203"/>
    <cellStyle name="Comma 7 7 2 4" xfId="10083"/>
    <cellStyle name="Comma 7 7 2 4 2" xfId="13087"/>
    <cellStyle name="Comma 7 7 2 4 2 2" xfId="19626"/>
    <cellStyle name="Comma 7 7 2 4 3" xfId="16774"/>
    <cellStyle name="Comma 7 7 2 5" xfId="3417"/>
    <cellStyle name="Comma 7 7 2 5 2" xfId="11374"/>
    <cellStyle name="Comma 7 7 2 5 2 2" xfId="17913"/>
    <cellStyle name="Comma 7 7 2 5 3" xfId="15061"/>
    <cellStyle name="Comma 7 7 2 6" xfId="2840"/>
    <cellStyle name="Comma 7 7 2 6 2" xfId="14488"/>
    <cellStyle name="Comma 7 7 2 7" xfId="10801"/>
    <cellStyle name="Comma 7 7 2 7 2" xfId="17340"/>
    <cellStyle name="Comma 7 7 2 8" xfId="13921"/>
    <cellStyle name="Comma 7 7 3" xfId="4404"/>
    <cellStyle name="Comma 7 7 3 2" xfId="11660"/>
    <cellStyle name="Comma 7 7 3 2 2" xfId="18199"/>
    <cellStyle name="Comma 7 7 3 3" xfId="15347"/>
    <cellStyle name="Comma 7 7 4" xfId="6676"/>
    <cellStyle name="Comma 7 7 4 2" xfId="12231"/>
    <cellStyle name="Comma 7 7 4 2 2" xfId="18770"/>
    <cellStyle name="Comma 7 7 4 3" xfId="15918"/>
    <cellStyle name="Comma 7 7 5" xfId="8948"/>
    <cellStyle name="Comma 7 7 5 2" xfId="12802"/>
    <cellStyle name="Comma 7 7 5 2 2" xfId="19341"/>
    <cellStyle name="Comma 7 7 5 3" xfId="16489"/>
    <cellStyle name="Comma 7 7 6" xfId="3132"/>
    <cellStyle name="Comma 7 7 6 2" xfId="11089"/>
    <cellStyle name="Comma 7 7 6 2 2" xfId="17628"/>
    <cellStyle name="Comma 7 7 6 3" xfId="14776"/>
    <cellStyle name="Comma 7 7 7" xfId="2560"/>
    <cellStyle name="Comma 7 7 7 2" xfId="14208"/>
    <cellStyle name="Comma 7 7 8" xfId="10521"/>
    <cellStyle name="Comma 7 7 8 2" xfId="17060"/>
    <cellStyle name="Comma 7 7 9" xfId="13636"/>
    <cellStyle name="Comma 7 8" xfId="530"/>
    <cellStyle name="Comma 7 8 2" xfId="1665"/>
    <cellStyle name="Comma 7 8 2 2" xfId="5085"/>
    <cellStyle name="Comma 7 8 2 2 2" xfId="11831"/>
    <cellStyle name="Comma 7 8 2 2 2 2" xfId="18370"/>
    <cellStyle name="Comma 7 8 2 2 3" xfId="15518"/>
    <cellStyle name="Comma 7 8 2 3" xfId="7357"/>
    <cellStyle name="Comma 7 8 2 3 2" xfId="12402"/>
    <cellStyle name="Comma 7 8 2 3 2 2" xfId="18941"/>
    <cellStyle name="Comma 7 8 2 3 3" xfId="16089"/>
    <cellStyle name="Comma 7 8 2 4" xfId="9629"/>
    <cellStyle name="Comma 7 8 2 4 2" xfId="12973"/>
    <cellStyle name="Comma 7 8 2 4 2 2" xfId="19512"/>
    <cellStyle name="Comma 7 8 2 4 3" xfId="16660"/>
    <cellStyle name="Comma 7 8 2 5" xfId="3303"/>
    <cellStyle name="Comma 7 8 2 5 2" xfId="11260"/>
    <cellStyle name="Comma 7 8 2 5 2 2" xfId="17799"/>
    <cellStyle name="Comma 7 8 2 5 3" xfId="14947"/>
    <cellStyle name="Comma 7 8 2 6" xfId="2728"/>
    <cellStyle name="Comma 7 8 2 6 2" xfId="14376"/>
    <cellStyle name="Comma 7 8 2 7" xfId="10689"/>
    <cellStyle name="Comma 7 8 2 7 2" xfId="17228"/>
    <cellStyle name="Comma 7 8 2 8" xfId="13807"/>
    <cellStyle name="Comma 7 8 3" xfId="3950"/>
    <cellStyle name="Comma 7 8 3 2" xfId="11546"/>
    <cellStyle name="Comma 7 8 3 2 2" xfId="18085"/>
    <cellStyle name="Comma 7 8 3 3" xfId="15233"/>
    <cellStyle name="Comma 7 8 4" xfId="6222"/>
    <cellStyle name="Comma 7 8 4 2" xfId="12117"/>
    <cellStyle name="Comma 7 8 4 2 2" xfId="18656"/>
    <cellStyle name="Comma 7 8 4 3" xfId="15804"/>
    <cellStyle name="Comma 7 8 5" xfId="8494"/>
    <cellStyle name="Comma 7 8 5 2" xfId="12688"/>
    <cellStyle name="Comma 7 8 5 2 2" xfId="19227"/>
    <cellStyle name="Comma 7 8 5 3" xfId="16375"/>
    <cellStyle name="Comma 7 8 6" xfId="3018"/>
    <cellStyle name="Comma 7 8 6 2" xfId="10975"/>
    <cellStyle name="Comma 7 8 6 2 2" xfId="17514"/>
    <cellStyle name="Comma 7 8 6 3" xfId="14662"/>
    <cellStyle name="Comma 7 8 7" xfId="2448"/>
    <cellStyle name="Comma 7 8 7 2" xfId="14096"/>
    <cellStyle name="Comma 7 8 8" xfId="10409"/>
    <cellStyle name="Comma 7 8 8 2" xfId="16948"/>
    <cellStyle name="Comma 7 8 9" xfId="13522"/>
    <cellStyle name="Comma 7 9" xfId="1211"/>
    <cellStyle name="Comma 7 9 2" xfId="4631"/>
    <cellStyle name="Comma 7 9 2 2" xfId="11717"/>
    <cellStyle name="Comma 7 9 2 2 2" xfId="18256"/>
    <cellStyle name="Comma 7 9 2 3" xfId="15404"/>
    <cellStyle name="Comma 7 9 3" xfId="6903"/>
    <cellStyle name="Comma 7 9 3 2" xfId="12288"/>
    <cellStyle name="Comma 7 9 3 2 2" xfId="18827"/>
    <cellStyle name="Comma 7 9 3 3" xfId="15975"/>
    <cellStyle name="Comma 7 9 4" xfId="9175"/>
    <cellStyle name="Comma 7 9 4 2" xfId="12859"/>
    <cellStyle name="Comma 7 9 4 2 2" xfId="19398"/>
    <cellStyle name="Comma 7 9 4 3" xfId="16546"/>
    <cellStyle name="Comma 7 9 5" xfId="3189"/>
    <cellStyle name="Comma 7 9 5 2" xfId="11146"/>
    <cellStyle name="Comma 7 9 5 2 2" xfId="17685"/>
    <cellStyle name="Comma 7 9 5 3" xfId="14833"/>
    <cellStyle name="Comma 7 9 6" xfId="2616"/>
    <cellStyle name="Comma 7 9 6 2" xfId="14264"/>
    <cellStyle name="Comma 7 9 7" xfId="10577"/>
    <cellStyle name="Comma 7 9 7 2" xfId="17116"/>
    <cellStyle name="Comma 7 9 8" xfId="13693"/>
    <cellStyle name="Comma 8" xfId="65"/>
    <cellStyle name="Comma 8 10" xfId="3498"/>
    <cellStyle name="Comma 8 10 2" xfId="11433"/>
    <cellStyle name="Comma 8 10 2 2" xfId="17972"/>
    <cellStyle name="Comma 8 10 3" xfId="15120"/>
    <cellStyle name="Comma 8 11" xfId="5770"/>
    <cellStyle name="Comma 8 11 2" xfId="12004"/>
    <cellStyle name="Comma 8 11 2 2" xfId="18543"/>
    <cellStyle name="Comma 8 11 3" xfId="15691"/>
    <cellStyle name="Comma 8 12" xfId="8042"/>
    <cellStyle name="Comma 8 12 2" xfId="12575"/>
    <cellStyle name="Comma 8 12 2 2" xfId="19114"/>
    <cellStyle name="Comma 8 12 3" xfId="16262"/>
    <cellStyle name="Comma 8 13" xfId="2900"/>
    <cellStyle name="Comma 8 13 2" xfId="10860"/>
    <cellStyle name="Comma 8 13 2 2" xfId="17399"/>
    <cellStyle name="Comma 8 13 3" xfId="14547"/>
    <cellStyle name="Comma 8 14" xfId="2335"/>
    <cellStyle name="Comma 8 14 2" xfId="13983"/>
    <cellStyle name="Comma 8 15" xfId="10296"/>
    <cellStyle name="Comma 8 15 2" xfId="16835"/>
    <cellStyle name="Comma 8 16" xfId="13263"/>
    <cellStyle name="Comma 8 16 2" xfId="19772"/>
    <cellStyle name="Comma 8 17" xfId="13407"/>
    <cellStyle name="Comma 8 2" xfId="95"/>
    <cellStyle name="Comma 8 2 10" xfId="5798"/>
    <cellStyle name="Comma 8 2 10 2" xfId="12011"/>
    <cellStyle name="Comma 8 2 10 2 2" xfId="18550"/>
    <cellStyle name="Comma 8 2 10 3" xfId="15698"/>
    <cellStyle name="Comma 8 2 11" xfId="8070"/>
    <cellStyle name="Comma 8 2 11 2" xfId="12582"/>
    <cellStyle name="Comma 8 2 11 2 2" xfId="19121"/>
    <cellStyle name="Comma 8 2 11 3" xfId="16269"/>
    <cellStyle name="Comma 8 2 12" xfId="2909"/>
    <cellStyle name="Comma 8 2 12 2" xfId="10868"/>
    <cellStyle name="Comma 8 2 12 2 2" xfId="17407"/>
    <cellStyle name="Comma 8 2 12 3" xfId="14555"/>
    <cellStyle name="Comma 8 2 13" xfId="2343"/>
    <cellStyle name="Comma 8 2 13 2" xfId="13991"/>
    <cellStyle name="Comma 8 2 14" xfId="10304"/>
    <cellStyle name="Comma 8 2 14 2" xfId="16843"/>
    <cellStyle name="Comma 8 2 15" xfId="13264"/>
    <cellStyle name="Comma 8 2 15 2" xfId="19773"/>
    <cellStyle name="Comma 8 2 16" xfId="13415"/>
    <cellStyle name="Comma 8 2 2" xfId="207"/>
    <cellStyle name="Comma 8 2 2 10" xfId="2371"/>
    <cellStyle name="Comma 8 2 2 10 2" xfId="14019"/>
    <cellStyle name="Comma 8 2 2 11" xfId="10332"/>
    <cellStyle name="Comma 8 2 2 11 2" xfId="16871"/>
    <cellStyle name="Comma 8 2 2 12" xfId="13443"/>
    <cellStyle name="Comma 8 2 2 2" xfId="445"/>
    <cellStyle name="Comma 8 2 2 2 10" xfId="13501"/>
    <cellStyle name="Comma 8 2 2 2 2" xfId="899"/>
    <cellStyle name="Comma 8 2 2 2 2 2" xfId="2034"/>
    <cellStyle name="Comma 8 2 2 2 2 2 2" xfId="5454"/>
    <cellStyle name="Comma 8 2 2 2 2 2 2 2" xfId="11924"/>
    <cellStyle name="Comma 8 2 2 2 2 2 2 2 2" xfId="18463"/>
    <cellStyle name="Comma 8 2 2 2 2 2 2 3" xfId="15611"/>
    <cellStyle name="Comma 8 2 2 2 2 2 3" xfId="7726"/>
    <cellStyle name="Comma 8 2 2 2 2 2 3 2" xfId="12495"/>
    <cellStyle name="Comma 8 2 2 2 2 2 3 2 2" xfId="19034"/>
    <cellStyle name="Comma 8 2 2 2 2 2 3 3" xfId="16182"/>
    <cellStyle name="Comma 8 2 2 2 2 2 4" xfId="9998"/>
    <cellStyle name="Comma 8 2 2 2 2 2 4 2" xfId="13066"/>
    <cellStyle name="Comma 8 2 2 2 2 2 4 2 2" xfId="19605"/>
    <cellStyle name="Comma 8 2 2 2 2 2 4 3" xfId="16753"/>
    <cellStyle name="Comma 8 2 2 2 2 2 5" xfId="3396"/>
    <cellStyle name="Comma 8 2 2 2 2 2 5 2" xfId="11353"/>
    <cellStyle name="Comma 8 2 2 2 2 2 5 2 2" xfId="17892"/>
    <cellStyle name="Comma 8 2 2 2 2 2 5 3" xfId="15040"/>
    <cellStyle name="Comma 8 2 2 2 2 2 6" xfId="2820"/>
    <cellStyle name="Comma 8 2 2 2 2 2 6 2" xfId="14468"/>
    <cellStyle name="Comma 8 2 2 2 2 2 7" xfId="10781"/>
    <cellStyle name="Comma 8 2 2 2 2 2 7 2" xfId="17320"/>
    <cellStyle name="Comma 8 2 2 2 2 2 8" xfId="13900"/>
    <cellStyle name="Comma 8 2 2 2 2 3" xfId="4319"/>
    <cellStyle name="Comma 8 2 2 2 2 3 2" xfId="11639"/>
    <cellStyle name="Comma 8 2 2 2 2 3 2 2" xfId="18178"/>
    <cellStyle name="Comma 8 2 2 2 2 3 3" xfId="15326"/>
    <cellStyle name="Comma 8 2 2 2 2 4" xfId="6591"/>
    <cellStyle name="Comma 8 2 2 2 2 4 2" xfId="12210"/>
    <cellStyle name="Comma 8 2 2 2 2 4 2 2" xfId="18749"/>
    <cellStyle name="Comma 8 2 2 2 2 4 3" xfId="15897"/>
    <cellStyle name="Comma 8 2 2 2 2 5" xfId="8863"/>
    <cellStyle name="Comma 8 2 2 2 2 5 2" xfId="12781"/>
    <cellStyle name="Comma 8 2 2 2 2 5 2 2" xfId="19320"/>
    <cellStyle name="Comma 8 2 2 2 2 5 3" xfId="16468"/>
    <cellStyle name="Comma 8 2 2 2 2 6" xfId="3111"/>
    <cellStyle name="Comma 8 2 2 2 2 6 2" xfId="11068"/>
    <cellStyle name="Comma 8 2 2 2 2 6 2 2" xfId="17607"/>
    <cellStyle name="Comma 8 2 2 2 2 6 3" xfId="14755"/>
    <cellStyle name="Comma 8 2 2 2 2 7" xfId="2540"/>
    <cellStyle name="Comma 8 2 2 2 2 7 2" xfId="14188"/>
    <cellStyle name="Comma 8 2 2 2 2 8" xfId="10501"/>
    <cellStyle name="Comma 8 2 2 2 2 8 2" xfId="17040"/>
    <cellStyle name="Comma 8 2 2 2 2 9" xfId="13615"/>
    <cellStyle name="Comma 8 2 2 2 3" xfId="1580"/>
    <cellStyle name="Comma 8 2 2 2 3 2" xfId="5000"/>
    <cellStyle name="Comma 8 2 2 2 3 2 2" xfId="11810"/>
    <cellStyle name="Comma 8 2 2 2 3 2 2 2" xfId="18349"/>
    <cellStyle name="Comma 8 2 2 2 3 2 3" xfId="15497"/>
    <cellStyle name="Comma 8 2 2 2 3 3" xfId="7272"/>
    <cellStyle name="Comma 8 2 2 2 3 3 2" xfId="12381"/>
    <cellStyle name="Comma 8 2 2 2 3 3 2 2" xfId="18920"/>
    <cellStyle name="Comma 8 2 2 2 3 3 3" xfId="16068"/>
    <cellStyle name="Comma 8 2 2 2 3 4" xfId="9544"/>
    <cellStyle name="Comma 8 2 2 2 3 4 2" xfId="12952"/>
    <cellStyle name="Comma 8 2 2 2 3 4 2 2" xfId="19491"/>
    <cellStyle name="Comma 8 2 2 2 3 4 3" xfId="16639"/>
    <cellStyle name="Comma 8 2 2 2 3 5" xfId="3282"/>
    <cellStyle name="Comma 8 2 2 2 3 5 2" xfId="11239"/>
    <cellStyle name="Comma 8 2 2 2 3 5 2 2" xfId="17778"/>
    <cellStyle name="Comma 8 2 2 2 3 5 3" xfId="14926"/>
    <cellStyle name="Comma 8 2 2 2 3 6" xfId="2708"/>
    <cellStyle name="Comma 8 2 2 2 3 6 2" xfId="14356"/>
    <cellStyle name="Comma 8 2 2 2 3 7" xfId="10669"/>
    <cellStyle name="Comma 8 2 2 2 3 7 2" xfId="17208"/>
    <cellStyle name="Comma 8 2 2 2 3 8" xfId="13786"/>
    <cellStyle name="Comma 8 2 2 2 4" xfId="3865"/>
    <cellStyle name="Comma 8 2 2 2 4 2" xfId="11525"/>
    <cellStyle name="Comma 8 2 2 2 4 2 2" xfId="18064"/>
    <cellStyle name="Comma 8 2 2 2 4 3" xfId="15212"/>
    <cellStyle name="Comma 8 2 2 2 5" xfId="6137"/>
    <cellStyle name="Comma 8 2 2 2 5 2" xfId="12096"/>
    <cellStyle name="Comma 8 2 2 2 5 2 2" xfId="18635"/>
    <cellStyle name="Comma 8 2 2 2 5 3" xfId="15783"/>
    <cellStyle name="Comma 8 2 2 2 6" xfId="8409"/>
    <cellStyle name="Comma 8 2 2 2 6 2" xfId="12667"/>
    <cellStyle name="Comma 8 2 2 2 6 2 2" xfId="19206"/>
    <cellStyle name="Comma 8 2 2 2 6 3" xfId="16354"/>
    <cellStyle name="Comma 8 2 2 2 7" xfId="2997"/>
    <cellStyle name="Comma 8 2 2 2 7 2" xfId="10954"/>
    <cellStyle name="Comma 8 2 2 2 7 2 2" xfId="17493"/>
    <cellStyle name="Comma 8 2 2 2 7 3" xfId="14641"/>
    <cellStyle name="Comma 8 2 2 2 8" xfId="2428"/>
    <cellStyle name="Comma 8 2 2 2 8 2" xfId="14076"/>
    <cellStyle name="Comma 8 2 2 2 9" xfId="10389"/>
    <cellStyle name="Comma 8 2 2 2 9 2" xfId="16928"/>
    <cellStyle name="Comma 8 2 2 3" xfId="1126"/>
    <cellStyle name="Comma 8 2 2 3 2" xfId="2261"/>
    <cellStyle name="Comma 8 2 2 3 2 2" xfId="5681"/>
    <cellStyle name="Comma 8 2 2 3 2 2 2" xfId="11981"/>
    <cellStyle name="Comma 8 2 2 3 2 2 2 2" xfId="18520"/>
    <cellStyle name="Comma 8 2 2 3 2 2 3" xfId="15668"/>
    <cellStyle name="Comma 8 2 2 3 2 3" xfId="7953"/>
    <cellStyle name="Comma 8 2 2 3 2 3 2" xfId="12552"/>
    <cellStyle name="Comma 8 2 2 3 2 3 2 2" xfId="19091"/>
    <cellStyle name="Comma 8 2 2 3 2 3 3" xfId="16239"/>
    <cellStyle name="Comma 8 2 2 3 2 4" xfId="10225"/>
    <cellStyle name="Comma 8 2 2 3 2 4 2" xfId="13123"/>
    <cellStyle name="Comma 8 2 2 3 2 4 2 2" xfId="19662"/>
    <cellStyle name="Comma 8 2 2 3 2 4 3" xfId="16810"/>
    <cellStyle name="Comma 8 2 2 3 2 5" xfId="3453"/>
    <cellStyle name="Comma 8 2 2 3 2 5 2" xfId="11410"/>
    <cellStyle name="Comma 8 2 2 3 2 5 2 2" xfId="17949"/>
    <cellStyle name="Comma 8 2 2 3 2 5 3" xfId="15097"/>
    <cellStyle name="Comma 8 2 2 3 2 6" xfId="2876"/>
    <cellStyle name="Comma 8 2 2 3 2 6 2" xfId="14524"/>
    <cellStyle name="Comma 8 2 2 3 2 7" xfId="10837"/>
    <cellStyle name="Comma 8 2 2 3 2 7 2" xfId="17376"/>
    <cellStyle name="Comma 8 2 2 3 2 8" xfId="13957"/>
    <cellStyle name="Comma 8 2 2 3 3" xfId="4546"/>
    <cellStyle name="Comma 8 2 2 3 3 2" xfId="11696"/>
    <cellStyle name="Comma 8 2 2 3 3 2 2" xfId="18235"/>
    <cellStyle name="Comma 8 2 2 3 3 3" xfId="15383"/>
    <cellStyle name="Comma 8 2 2 3 4" xfId="6818"/>
    <cellStyle name="Comma 8 2 2 3 4 2" xfId="12267"/>
    <cellStyle name="Comma 8 2 2 3 4 2 2" xfId="18806"/>
    <cellStyle name="Comma 8 2 2 3 4 3" xfId="15954"/>
    <cellStyle name="Comma 8 2 2 3 5" xfId="9090"/>
    <cellStyle name="Comma 8 2 2 3 5 2" xfId="12838"/>
    <cellStyle name="Comma 8 2 2 3 5 2 2" xfId="19377"/>
    <cellStyle name="Comma 8 2 2 3 5 3" xfId="16525"/>
    <cellStyle name="Comma 8 2 2 3 6" xfId="3168"/>
    <cellStyle name="Comma 8 2 2 3 6 2" xfId="11125"/>
    <cellStyle name="Comma 8 2 2 3 6 2 2" xfId="17664"/>
    <cellStyle name="Comma 8 2 2 3 6 3" xfId="14812"/>
    <cellStyle name="Comma 8 2 2 3 7" xfId="2596"/>
    <cellStyle name="Comma 8 2 2 3 7 2" xfId="14244"/>
    <cellStyle name="Comma 8 2 2 3 8" xfId="10557"/>
    <cellStyle name="Comma 8 2 2 3 8 2" xfId="17096"/>
    <cellStyle name="Comma 8 2 2 3 9" xfId="13672"/>
    <cellStyle name="Comma 8 2 2 4" xfId="672"/>
    <cellStyle name="Comma 8 2 2 4 2" xfId="1807"/>
    <cellStyle name="Comma 8 2 2 4 2 2" xfId="5227"/>
    <cellStyle name="Comma 8 2 2 4 2 2 2" xfId="11867"/>
    <cellStyle name="Comma 8 2 2 4 2 2 2 2" xfId="18406"/>
    <cellStyle name="Comma 8 2 2 4 2 2 3" xfId="15554"/>
    <cellStyle name="Comma 8 2 2 4 2 3" xfId="7499"/>
    <cellStyle name="Comma 8 2 2 4 2 3 2" xfId="12438"/>
    <cellStyle name="Comma 8 2 2 4 2 3 2 2" xfId="18977"/>
    <cellStyle name="Comma 8 2 2 4 2 3 3" xfId="16125"/>
    <cellStyle name="Comma 8 2 2 4 2 4" xfId="9771"/>
    <cellStyle name="Comma 8 2 2 4 2 4 2" xfId="13009"/>
    <cellStyle name="Comma 8 2 2 4 2 4 2 2" xfId="19548"/>
    <cellStyle name="Comma 8 2 2 4 2 4 3" xfId="16696"/>
    <cellStyle name="Comma 8 2 2 4 2 5" xfId="3339"/>
    <cellStyle name="Comma 8 2 2 4 2 5 2" xfId="11296"/>
    <cellStyle name="Comma 8 2 2 4 2 5 2 2" xfId="17835"/>
    <cellStyle name="Comma 8 2 2 4 2 5 3" xfId="14983"/>
    <cellStyle name="Comma 8 2 2 4 2 6" xfId="2764"/>
    <cellStyle name="Comma 8 2 2 4 2 6 2" xfId="14412"/>
    <cellStyle name="Comma 8 2 2 4 2 7" xfId="10725"/>
    <cellStyle name="Comma 8 2 2 4 2 7 2" xfId="17264"/>
    <cellStyle name="Comma 8 2 2 4 2 8" xfId="13843"/>
    <cellStyle name="Comma 8 2 2 4 3" xfId="4092"/>
    <cellStyle name="Comma 8 2 2 4 3 2" xfId="11582"/>
    <cellStyle name="Comma 8 2 2 4 3 2 2" xfId="18121"/>
    <cellStyle name="Comma 8 2 2 4 3 3" xfId="15269"/>
    <cellStyle name="Comma 8 2 2 4 4" xfId="6364"/>
    <cellStyle name="Comma 8 2 2 4 4 2" xfId="12153"/>
    <cellStyle name="Comma 8 2 2 4 4 2 2" xfId="18692"/>
    <cellStyle name="Comma 8 2 2 4 4 3" xfId="15840"/>
    <cellStyle name="Comma 8 2 2 4 5" xfId="8636"/>
    <cellStyle name="Comma 8 2 2 4 5 2" xfId="12724"/>
    <cellStyle name="Comma 8 2 2 4 5 2 2" xfId="19263"/>
    <cellStyle name="Comma 8 2 2 4 5 3" xfId="16411"/>
    <cellStyle name="Comma 8 2 2 4 6" xfId="3054"/>
    <cellStyle name="Comma 8 2 2 4 6 2" xfId="11011"/>
    <cellStyle name="Comma 8 2 2 4 6 2 2" xfId="17550"/>
    <cellStyle name="Comma 8 2 2 4 6 3" xfId="14698"/>
    <cellStyle name="Comma 8 2 2 4 7" xfId="2484"/>
    <cellStyle name="Comma 8 2 2 4 7 2" xfId="14132"/>
    <cellStyle name="Comma 8 2 2 4 8" xfId="10445"/>
    <cellStyle name="Comma 8 2 2 4 8 2" xfId="16984"/>
    <cellStyle name="Comma 8 2 2 4 9" xfId="13558"/>
    <cellStyle name="Comma 8 2 2 5" xfId="1353"/>
    <cellStyle name="Comma 8 2 2 5 2" xfId="4773"/>
    <cellStyle name="Comma 8 2 2 5 2 2" xfId="11753"/>
    <cellStyle name="Comma 8 2 2 5 2 2 2" xfId="18292"/>
    <cellStyle name="Comma 8 2 2 5 2 3" xfId="15440"/>
    <cellStyle name="Comma 8 2 2 5 3" xfId="7045"/>
    <cellStyle name="Comma 8 2 2 5 3 2" xfId="12324"/>
    <cellStyle name="Comma 8 2 2 5 3 2 2" xfId="18863"/>
    <cellStyle name="Comma 8 2 2 5 3 3" xfId="16011"/>
    <cellStyle name="Comma 8 2 2 5 4" xfId="9317"/>
    <cellStyle name="Comma 8 2 2 5 4 2" xfId="12895"/>
    <cellStyle name="Comma 8 2 2 5 4 2 2" xfId="19434"/>
    <cellStyle name="Comma 8 2 2 5 4 3" xfId="16582"/>
    <cellStyle name="Comma 8 2 2 5 5" xfId="3225"/>
    <cellStyle name="Comma 8 2 2 5 5 2" xfId="11182"/>
    <cellStyle name="Comma 8 2 2 5 5 2 2" xfId="17721"/>
    <cellStyle name="Comma 8 2 2 5 5 3" xfId="14869"/>
    <cellStyle name="Comma 8 2 2 5 6" xfId="2652"/>
    <cellStyle name="Comma 8 2 2 5 6 2" xfId="14300"/>
    <cellStyle name="Comma 8 2 2 5 7" xfId="10613"/>
    <cellStyle name="Comma 8 2 2 5 7 2" xfId="17152"/>
    <cellStyle name="Comma 8 2 2 5 8" xfId="13729"/>
    <cellStyle name="Comma 8 2 2 6" xfId="3638"/>
    <cellStyle name="Comma 8 2 2 6 2" xfId="11468"/>
    <cellStyle name="Comma 8 2 2 6 2 2" xfId="18007"/>
    <cellStyle name="Comma 8 2 2 6 3" xfId="15155"/>
    <cellStyle name="Comma 8 2 2 7" xfId="5910"/>
    <cellStyle name="Comma 8 2 2 7 2" xfId="12039"/>
    <cellStyle name="Comma 8 2 2 7 2 2" xfId="18578"/>
    <cellStyle name="Comma 8 2 2 7 3" xfId="15726"/>
    <cellStyle name="Comma 8 2 2 8" xfId="8182"/>
    <cellStyle name="Comma 8 2 2 8 2" xfId="12610"/>
    <cellStyle name="Comma 8 2 2 8 2 2" xfId="19149"/>
    <cellStyle name="Comma 8 2 2 8 3" xfId="16297"/>
    <cellStyle name="Comma 8 2 2 9" xfId="2937"/>
    <cellStyle name="Comma 8 2 2 9 2" xfId="10896"/>
    <cellStyle name="Comma 8 2 2 9 2 2" xfId="17435"/>
    <cellStyle name="Comma 8 2 2 9 3" xfId="14583"/>
    <cellStyle name="Comma 8 2 3" xfId="151"/>
    <cellStyle name="Comma 8 2 3 10" xfId="2357"/>
    <cellStyle name="Comma 8 2 3 10 2" xfId="14005"/>
    <cellStyle name="Comma 8 2 3 11" xfId="10318"/>
    <cellStyle name="Comma 8 2 3 11 2" xfId="16857"/>
    <cellStyle name="Comma 8 2 3 12" xfId="13429"/>
    <cellStyle name="Comma 8 2 3 2" xfId="389"/>
    <cellStyle name="Comma 8 2 3 2 10" xfId="13487"/>
    <cellStyle name="Comma 8 2 3 2 2" xfId="843"/>
    <cellStyle name="Comma 8 2 3 2 2 2" xfId="1978"/>
    <cellStyle name="Comma 8 2 3 2 2 2 2" xfId="5398"/>
    <cellStyle name="Comma 8 2 3 2 2 2 2 2" xfId="11910"/>
    <cellStyle name="Comma 8 2 3 2 2 2 2 2 2" xfId="18449"/>
    <cellStyle name="Comma 8 2 3 2 2 2 2 3" xfId="15597"/>
    <cellStyle name="Comma 8 2 3 2 2 2 3" xfId="7670"/>
    <cellStyle name="Comma 8 2 3 2 2 2 3 2" xfId="12481"/>
    <cellStyle name="Comma 8 2 3 2 2 2 3 2 2" xfId="19020"/>
    <cellStyle name="Comma 8 2 3 2 2 2 3 3" xfId="16168"/>
    <cellStyle name="Comma 8 2 3 2 2 2 4" xfId="9942"/>
    <cellStyle name="Comma 8 2 3 2 2 2 4 2" xfId="13052"/>
    <cellStyle name="Comma 8 2 3 2 2 2 4 2 2" xfId="19591"/>
    <cellStyle name="Comma 8 2 3 2 2 2 4 3" xfId="16739"/>
    <cellStyle name="Comma 8 2 3 2 2 2 5" xfId="3382"/>
    <cellStyle name="Comma 8 2 3 2 2 2 5 2" xfId="11339"/>
    <cellStyle name="Comma 8 2 3 2 2 2 5 2 2" xfId="17878"/>
    <cellStyle name="Comma 8 2 3 2 2 2 5 3" xfId="15026"/>
    <cellStyle name="Comma 8 2 3 2 2 2 6" xfId="2806"/>
    <cellStyle name="Comma 8 2 3 2 2 2 6 2" xfId="14454"/>
    <cellStyle name="Comma 8 2 3 2 2 2 7" xfId="10767"/>
    <cellStyle name="Comma 8 2 3 2 2 2 7 2" xfId="17306"/>
    <cellStyle name="Comma 8 2 3 2 2 2 8" xfId="13886"/>
    <cellStyle name="Comma 8 2 3 2 2 3" xfId="4263"/>
    <cellStyle name="Comma 8 2 3 2 2 3 2" xfId="11625"/>
    <cellStyle name="Comma 8 2 3 2 2 3 2 2" xfId="18164"/>
    <cellStyle name="Comma 8 2 3 2 2 3 3" xfId="15312"/>
    <cellStyle name="Comma 8 2 3 2 2 4" xfId="6535"/>
    <cellStyle name="Comma 8 2 3 2 2 4 2" xfId="12196"/>
    <cellStyle name="Comma 8 2 3 2 2 4 2 2" xfId="18735"/>
    <cellStyle name="Comma 8 2 3 2 2 4 3" xfId="15883"/>
    <cellStyle name="Comma 8 2 3 2 2 5" xfId="8807"/>
    <cellStyle name="Comma 8 2 3 2 2 5 2" xfId="12767"/>
    <cellStyle name="Comma 8 2 3 2 2 5 2 2" xfId="19306"/>
    <cellStyle name="Comma 8 2 3 2 2 5 3" xfId="16454"/>
    <cellStyle name="Comma 8 2 3 2 2 6" xfId="3097"/>
    <cellStyle name="Comma 8 2 3 2 2 6 2" xfId="11054"/>
    <cellStyle name="Comma 8 2 3 2 2 6 2 2" xfId="17593"/>
    <cellStyle name="Comma 8 2 3 2 2 6 3" xfId="14741"/>
    <cellStyle name="Comma 8 2 3 2 2 7" xfId="2526"/>
    <cellStyle name="Comma 8 2 3 2 2 7 2" xfId="14174"/>
    <cellStyle name="Comma 8 2 3 2 2 8" xfId="10487"/>
    <cellStyle name="Comma 8 2 3 2 2 8 2" xfId="17026"/>
    <cellStyle name="Comma 8 2 3 2 2 9" xfId="13601"/>
    <cellStyle name="Comma 8 2 3 2 3" xfId="1524"/>
    <cellStyle name="Comma 8 2 3 2 3 2" xfId="4944"/>
    <cellStyle name="Comma 8 2 3 2 3 2 2" xfId="11796"/>
    <cellStyle name="Comma 8 2 3 2 3 2 2 2" xfId="18335"/>
    <cellStyle name="Comma 8 2 3 2 3 2 3" xfId="15483"/>
    <cellStyle name="Comma 8 2 3 2 3 3" xfId="7216"/>
    <cellStyle name="Comma 8 2 3 2 3 3 2" xfId="12367"/>
    <cellStyle name="Comma 8 2 3 2 3 3 2 2" xfId="18906"/>
    <cellStyle name="Comma 8 2 3 2 3 3 3" xfId="16054"/>
    <cellStyle name="Comma 8 2 3 2 3 4" xfId="9488"/>
    <cellStyle name="Comma 8 2 3 2 3 4 2" xfId="12938"/>
    <cellStyle name="Comma 8 2 3 2 3 4 2 2" xfId="19477"/>
    <cellStyle name="Comma 8 2 3 2 3 4 3" xfId="16625"/>
    <cellStyle name="Comma 8 2 3 2 3 5" xfId="3268"/>
    <cellStyle name="Comma 8 2 3 2 3 5 2" xfId="11225"/>
    <cellStyle name="Comma 8 2 3 2 3 5 2 2" xfId="17764"/>
    <cellStyle name="Comma 8 2 3 2 3 5 3" xfId="14912"/>
    <cellStyle name="Comma 8 2 3 2 3 6" xfId="2694"/>
    <cellStyle name="Comma 8 2 3 2 3 6 2" xfId="14342"/>
    <cellStyle name="Comma 8 2 3 2 3 7" xfId="10655"/>
    <cellStyle name="Comma 8 2 3 2 3 7 2" xfId="17194"/>
    <cellStyle name="Comma 8 2 3 2 3 8" xfId="13772"/>
    <cellStyle name="Comma 8 2 3 2 4" xfId="3809"/>
    <cellStyle name="Comma 8 2 3 2 4 2" xfId="11511"/>
    <cellStyle name="Comma 8 2 3 2 4 2 2" xfId="18050"/>
    <cellStyle name="Comma 8 2 3 2 4 3" xfId="15198"/>
    <cellStyle name="Comma 8 2 3 2 5" xfId="6081"/>
    <cellStyle name="Comma 8 2 3 2 5 2" xfId="12082"/>
    <cellStyle name="Comma 8 2 3 2 5 2 2" xfId="18621"/>
    <cellStyle name="Comma 8 2 3 2 5 3" xfId="15769"/>
    <cellStyle name="Comma 8 2 3 2 6" xfId="8353"/>
    <cellStyle name="Comma 8 2 3 2 6 2" xfId="12653"/>
    <cellStyle name="Comma 8 2 3 2 6 2 2" xfId="19192"/>
    <cellStyle name="Comma 8 2 3 2 6 3" xfId="16340"/>
    <cellStyle name="Comma 8 2 3 2 7" xfId="2983"/>
    <cellStyle name="Comma 8 2 3 2 7 2" xfId="10940"/>
    <cellStyle name="Comma 8 2 3 2 7 2 2" xfId="17479"/>
    <cellStyle name="Comma 8 2 3 2 7 3" xfId="14627"/>
    <cellStyle name="Comma 8 2 3 2 8" xfId="2414"/>
    <cellStyle name="Comma 8 2 3 2 8 2" xfId="14062"/>
    <cellStyle name="Comma 8 2 3 2 9" xfId="10375"/>
    <cellStyle name="Comma 8 2 3 2 9 2" xfId="16914"/>
    <cellStyle name="Comma 8 2 3 3" xfId="1070"/>
    <cellStyle name="Comma 8 2 3 3 2" xfId="2205"/>
    <cellStyle name="Comma 8 2 3 3 2 2" xfId="5625"/>
    <cellStyle name="Comma 8 2 3 3 2 2 2" xfId="11967"/>
    <cellStyle name="Comma 8 2 3 3 2 2 2 2" xfId="18506"/>
    <cellStyle name="Comma 8 2 3 3 2 2 3" xfId="15654"/>
    <cellStyle name="Comma 8 2 3 3 2 3" xfId="7897"/>
    <cellStyle name="Comma 8 2 3 3 2 3 2" xfId="12538"/>
    <cellStyle name="Comma 8 2 3 3 2 3 2 2" xfId="19077"/>
    <cellStyle name="Comma 8 2 3 3 2 3 3" xfId="16225"/>
    <cellStyle name="Comma 8 2 3 3 2 4" xfId="10169"/>
    <cellStyle name="Comma 8 2 3 3 2 4 2" xfId="13109"/>
    <cellStyle name="Comma 8 2 3 3 2 4 2 2" xfId="19648"/>
    <cellStyle name="Comma 8 2 3 3 2 4 3" xfId="16796"/>
    <cellStyle name="Comma 8 2 3 3 2 5" xfId="3439"/>
    <cellStyle name="Comma 8 2 3 3 2 5 2" xfId="11396"/>
    <cellStyle name="Comma 8 2 3 3 2 5 2 2" xfId="17935"/>
    <cellStyle name="Comma 8 2 3 3 2 5 3" xfId="15083"/>
    <cellStyle name="Comma 8 2 3 3 2 6" xfId="2862"/>
    <cellStyle name="Comma 8 2 3 3 2 6 2" xfId="14510"/>
    <cellStyle name="Comma 8 2 3 3 2 7" xfId="10823"/>
    <cellStyle name="Comma 8 2 3 3 2 7 2" xfId="17362"/>
    <cellStyle name="Comma 8 2 3 3 2 8" xfId="13943"/>
    <cellStyle name="Comma 8 2 3 3 3" xfId="4490"/>
    <cellStyle name="Comma 8 2 3 3 3 2" xfId="11682"/>
    <cellStyle name="Comma 8 2 3 3 3 2 2" xfId="18221"/>
    <cellStyle name="Comma 8 2 3 3 3 3" xfId="15369"/>
    <cellStyle name="Comma 8 2 3 3 4" xfId="6762"/>
    <cellStyle name="Comma 8 2 3 3 4 2" xfId="12253"/>
    <cellStyle name="Comma 8 2 3 3 4 2 2" xfId="18792"/>
    <cellStyle name="Comma 8 2 3 3 4 3" xfId="15940"/>
    <cellStyle name="Comma 8 2 3 3 5" xfId="9034"/>
    <cellStyle name="Comma 8 2 3 3 5 2" xfId="12824"/>
    <cellStyle name="Comma 8 2 3 3 5 2 2" xfId="19363"/>
    <cellStyle name="Comma 8 2 3 3 5 3" xfId="16511"/>
    <cellStyle name="Comma 8 2 3 3 6" xfId="3154"/>
    <cellStyle name="Comma 8 2 3 3 6 2" xfId="11111"/>
    <cellStyle name="Comma 8 2 3 3 6 2 2" xfId="17650"/>
    <cellStyle name="Comma 8 2 3 3 6 3" xfId="14798"/>
    <cellStyle name="Comma 8 2 3 3 7" xfId="2582"/>
    <cellStyle name="Comma 8 2 3 3 7 2" xfId="14230"/>
    <cellStyle name="Comma 8 2 3 3 8" xfId="10543"/>
    <cellStyle name="Comma 8 2 3 3 8 2" xfId="17082"/>
    <cellStyle name="Comma 8 2 3 3 9" xfId="13658"/>
    <cellStyle name="Comma 8 2 3 4" xfId="616"/>
    <cellStyle name="Comma 8 2 3 4 2" xfId="1751"/>
    <cellStyle name="Comma 8 2 3 4 2 2" xfId="5171"/>
    <cellStyle name="Comma 8 2 3 4 2 2 2" xfId="11853"/>
    <cellStyle name="Comma 8 2 3 4 2 2 2 2" xfId="18392"/>
    <cellStyle name="Comma 8 2 3 4 2 2 3" xfId="15540"/>
    <cellStyle name="Comma 8 2 3 4 2 3" xfId="7443"/>
    <cellStyle name="Comma 8 2 3 4 2 3 2" xfId="12424"/>
    <cellStyle name="Comma 8 2 3 4 2 3 2 2" xfId="18963"/>
    <cellStyle name="Comma 8 2 3 4 2 3 3" xfId="16111"/>
    <cellStyle name="Comma 8 2 3 4 2 4" xfId="9715"/>
    <cellStyle name="Comma 8 2 3 4 2 4 2" xfId="12995"/>
    <cellStyle name="Comma 8 2 3 4 2 4 2 2" xfId="19534"/>
    <cellStyle name="Comma 8 2 3 4 2 4 3" xfId="16682"/>
    <cellStyle name="Comma 8 2 3 4 2 5" xfId="3325"/>
    <cellStyle name="Comma 8 2 3 4 2 5 2" xfId="11282"/>
    <cellStyle name="Comma 8 2 3 4 2 5 2 2" xfId="17821"/>
    <cellStyle name="Comma 8 2 3 4 2 5 3" xfId="14969"/>
    <cellStyle name="Comma 8 2 3 4 2 6" xfId="2750"/>
    <cellStyle name="Comma 8 2 3 4 2 6 2" xfId="14398"/>
    <cellStyle name="Comma 8 2 3 4 2 7" xfId="10711"/>
    <cellStyle name="Comma 8 2 3 4 2 7 2" xfId="17250"/>
    <cellStyle name="Comma 8 2 3 4 2 8" xfId="13829"/>
    <cellStyle name="Comma 8 2 3 4 3" xfId="4036"/>
    <cellStyle name="Comma 8 2 3 4 3 2" xfId="11568"/>
    <cellStyle name="Comma 8 2 3 4 3 2 2" xfId="18107"/>
    <cellStyle name="Comma 8 2 3 4 3 3" xfId="15255"/>
    <cellStyle name="Comma 8 2 3 4 4" xfId="6308"/>
    <cellStyle name="Comma 8 2 3 4 4 2" xfId="12139"/>
    <cellStyle name="Comma 8 2 3 4 4 2 2" xfId="18678"/>
    <cellStyle name="Comma 8 2 3 4 4 3" xfId="15826"/>
    <cellStyle name="Comma 8 2 3 4 5" xfId="8580"/>
    <cellStyle name="Comma 8 2 3 4 5 2" xfId="12710"/>
    <cellStyle name="Comma 8 2 3 4 5 2 2" xfId="19249"/>
    <cellStyle name="Comma 8 2 3 4 5 3" xfId="16397"/>
    <cellStyle name="Comma 8 2 3 4 6" xfId="3040"/>
    <cellStyle name="Comma 8 2 3 4 6 2" xfId="10997"/>
    <cellStyle name="Comma 8 2 3 4 6 2 2" xfId="17536"/>
    <cellStyle name="Comma 8 2 3 4 6 3" xfId="14684"/>
    <cellStyle name="Comma 8 2 3 4 7" xfId="2470"/>
    <cellStyle name="Comma 8 2 3 4 7 2" xfId="14118"/>
    <cellStyle name="Comma 8 2 3 4 8" xfId="10431"/>
    <cellStyle name="Comma 8 2 3 4 8 2" xfId="16970"/>
    <cellStyle name="Comma 8 2 3 4 9" xfId="13544"/>
    <cellStyle name="Comma 8 2 3 5" xfId="1297"/>
    <cellStyle name="Comma 8 2 3 5 2" xfId="4717"/>
    <cellStyle name="Comma 8 2 3 5 2 2" xfId="11739"/>
    <cellStyle name="Comma 8 2 3 5 2 2 2" xfId="18278"/>
    <cellStyle name="Comma 8 2 3 5 2 3" xfId="15426"/>
    <cellStyle name="Comma 8 2 3 5 3" xfId="6989"/>
    <cellStyle name="Comma 8 2 3 5 3 2" xfId="12310"/>
    <cellStyle name="Comma 8 2 3 5 3 2 2" xfId="18849"/>
    <cellStyle name="Comma 8 2 3 5 3 3" xfId="15997"/>
    <cellStyle name="Comma 8 2 3 5 4" xfId="9261"/>
    <cellStyle name="Comma 8 2 3 5 4 2" xfId="12881"/>
    <cellStyle name="Comma 8 2 3 5 4 2 2" xfId="19420"/>
    <cellStyle name="Comma 8 2 3 5 4 3" xfId="16568"/>
    <cellStyle name="Comma 8 2 3 5 5" xfId="3211"/>
    <cellStyle name="Comma 8 2 3 5 5 2" xfId="11168"/>
    <cellStyle name="Comma 8 2 3 5 5 2 2" xfId="17707"/>
    <cellStyle name="Comma 8 2 3 5 5 3" xfId="14855"/>
    <cellStyle name="Comma 8 2 3 5 6" xfId="2638"/>
    <cellStyle name="Comma 8 2 3 5 6 2" xfId="14286"/>
    <cellStyle name="Comma 8 2 3 5 7" xfId="10599"/>
    <cellStyle name="Comma 8 2 3 5 7 2" xfId="17138"/>
    <cellStyle name="Comma 8 2 3 5 8" xfId="13715"/>
    <cellStyle name="Comma 8 2 3 6" xfId="3582"/>
    <cellStyle name="Comma 8 2 3 6 2" xfId="11454"/>
    <cellStyle name="Comma 8 2 3 6 2 2" xfId="17993"/>
    <cellStyle name="Comma 8 2 3 6 3" xfId="15141"/>
    <cellStyle name="Comma 8 2 3 7" xfId="5854"/>
    <cellStyle name="Comma 8 2 3 7 2" xfId="12025"/>
    <cellStyle name="Comma 8 2 3 7 2 2" xfId="18564"/>
    <cellStyle name="Comma 8 2 3 7 3" xfId="15712"/>
    <cellStyle name="Comma 8 2 3 8" xfId="8126"/>
    <cellStyle name="Comma 8 2 3 8 2" xfId="12596"/>
    <cellStyle name="Comma 8 2 3 8 2 2" xfId="19135"/>
    <cellStyle name="Comma 8 2 3 8 3" xfId="16283"/>
    <cellStyle name="Comma 8 2 3 9" xfId="2923"/>
    <cellStyle name="Comma 8 2 3 9 2" xfId="10882"/>
    <cellStyle name="Comma 8 2 3 9 2 2" xfId="17421"/>
    <cellStyle name="Comma 8 2 3 9 3" xfId="14569"/>
    <cellStyle name="Comma 8 2 4" xfId="277"/>
    <cellStyle name="Comma 8 2 4 10" xfId="2386"/>
    <cellStyle name="Comma 8 2 4 10 2" xfId="14034"/>
    <cellStyle name="Comma 8 2 4 11" xfId="10347"/>
    <cellStyle name="Comma 8 2 4 11 2" xfId="16886"/>
    <cellStyle name="Comma 8 2 4 12" xfId="13459"/>
    <cellStyle name="Comma 8 2 4 2" xfId="504"/>
    <cellStyle name="Comma 8 2 4 2 10" xfId="13516"/>
    <cellStyle name="Comma 8 2 4 2 2" xfId="958"/>
    <cellStyle name="Comma 8 2 4 2 2 2" xfId="2093"/>
    <cellStyle name="Comma 8 2 4 2 2 2 2" xfId="5513"/>
    <cellStyle name="Comma 8 2 4 2 2 2 2 2" xfId="11939"/>
    <cellStyle name="Comma 8 2 4 2 2 2 2 2 2" xfId="18478"/>
    <cellStyle name="Comma 8 2 4 2 2 2 2 3" xfId="15626"/>
    <cellStyle name="Comma 8 2 4 2 2 2 3" xfId="7785"/>
    <cellStyle name="Comma 8 2 4 2 2 2 3 2" xfId="12510"/>
    <cellStyle name="Comma 8 2 4 2 2 2 3 2 2" xfId="19049"/>
    <cellStyle name="Comma 8 2 4 2 2 2 3 3" xfId="16197"/>
    <cellStyle name="Comma 8 2 4 2 2 2 4" xfId="10057"/>
    <cellStyle name="Comma 8 2 4 2 2 2 4 2" xfId="13081"/>
    <cellStyle name="Comma 8 2 4 2 2 2 4 2 2" xfId="19620"/>
    <cellStyle name="Comma 8 2 4 2 2 2 4 3" xfId="16768"/>
    <cellStyle name="Comma 8 2 4 2 2 2 5" xfId="3411"/>
    <cellStyle name="Comma 8 2 4 2 2 2 5 2" xfId="11368"/>
    <cellStyle name="Comma 8 2 4 2 2 2 5 2 2" xfId="17907"/>
    <cellStyle name="Comma 8 2 4 2 2 2 5 3" xfId="15055"/>
    <cellStyle name="Comma 8 2 4 2 2 2 6" xfId="2834"/>
    <cellStyle name="Comma 8 2 4 2 2 2 6 2" xfId="14482"/>
    <cellStyle name="Comma 8 2 4 2 2 2 7" xfId="10795"/>
    <cellStyle name="Comma 8 2 4 2 2 2 7 2" xfId="17334"/>
    <cellStyle name="Comma 8 2 4 2 2 2 8" xfId="13915"/>
    <cellStyle name="Comma 8 2 4 2 2 3" xfId="4378"/>
    <cellStyle name="Comma 8 2 4 2 2 3 2" xfId="11654"/>
    <cellStyle name="Comma 8 2 4 2 2 3 2 2" xfId="18193"/>
    <cellStyle name="Comma 8 2 4 2 2 3 3" xfId="15341"/>
    <cellStyle name="Comma 8 2 4 2 2 4" xfId="6650"/>
    <cellStyle name="Comma 8 2 4 2 2 4 2" xfId="12225"/>
    <cellStyle name="Comma 8 2 4 2 2 4 2 2" xfId="18764"/>
    <cellStyle name="Comma 8 2 4 2 2 4 3" xfId="15912"/>
    <cellStyle name="Comma 8 2 4 2 2 5" xfId="8922"/>
    <cellStyle name="Comma 8 2 4 2 2 5 2" xfId="12796"/>
    <cellStyle name="Comma 8 2 4 2 2 5 2 2" xfId="19335"/>
    <cellStyle name="Comma 8 2 4 2 2 5 3" xfId="16483"/>
    <cellStyle name="Comma 8 2 4 2 2 6" xfId="3126"/>
    <cellStyle name="Comma 8 2 4 2 2 6 2" xfId="11083"/>
    <cellStyle name="Comma 8 2 4 2 2 6 2 2" xfId="17622"/>
    <cellStyle name="Comma 8 2 4 2 2 6 3" xfId="14770"/>
    <cellStyle name="Comma 8 2 4 2 2 7" xfId="2554"/>
    <cellStyle name="Comma 8 2 4 2 2 7 2" xfId="14202"/>
    <cellStyle name="Comma 8 2 4 2 2 8" xfId="10515"/>
    <cellStyle name="Comma 8 2 4 2 2 8 2" xfId="17054"/>
    <cellStyle name="Comma 8 2 4 2 2 9" xfId="13630"/>
    <cellStyle name="Comma 8 2 4 2 3" xfId="1639"/>
    <cellStyle name="Comma 8 2 4 2 3 2" xfId="5059"/>
    <cellStyle name="Comma 8 2 4 2 3 2 2" xfId="11825"/>
    <cellStyle name="Comma 8 2 4 2 3 2 2 2" xfId="18364"/>
    <cellStyle name="Comma 8 2 4 2 3 2 3" xfId="15512"/>
    <cellStyle name="Comma 8 2 4 2 3 3" xfId="7331"/>
    <cellStyle name="Comma 8 2 4 2 3 3 2" xfId="12396"/>
    <cellStyle name="Comma 8 2 4 2 3 3 2 2" xfId="18935"/>
    <cellStyle name="Comma 8 2 4 2 3 3 3" xfId="16083"/>
    <cellStyle name="Comma 8 2 4 2 3 4" xfId="9603"/>
    <cellStyle name="Comma 8 2 4 2 3 4 2" xfId="12967"/>
    <cellStyle name="Comma 8 2 4 2 3 4 2 2" xfId="19506"/>
    <cellStyle name="Comma 8 2 4 2 3 4 3" xfId="16654"/>
    <cellStyle name="Comma 8 2 4 2 3 5" xfId="3297"/>
    <cellStyle name="Comma 8 2 4 2 3 5 2" xfId="11254"/>
    <cellStyle name="Comma 8 2 4 2 3 5 2 2" xfId="17793"/>
    <cellStyle name="Comma 8 2 4 2 3 5 3" xfId="14941"/>
    <cellStyle name="Comma 8 2 4 2 3 6" xfId="2722"/>
    <cellStyle name="Comma 8 2 4 2 3 6 2" xfId="14370"/>
    <cellStyle name="Comma 8 2 4 2 3 7" xfId="10683"/>
    <cellStyle name="Comma 8 2 4 2 3 7 2" xfId="17222"/>
    <cellStyle name="Comma 8 2 4 2 3 8" xfId="13801"/>
    <cellStyle name="Comma 8 2 4 2 4" xfId="3924"/>
    <cellStyle name="Comma 8 2 4 2 4 2" xfId="11540"/>
    <cellStyle name="Comma 8 2 4 2 4 2 2" xfId="18079"/>
    <cellStyle name="Comma 8 2 4 2 4 3" xfId="15227"/>
    <cellStyle name="Comma 8 2 4 2 5" xfId="6196"/>
    <cellStyle name="Comma 8 2 4 2 5 2" xfId="12111"/>
    <cellStyle name="Comma 8 2 4 2 5 2 2" xfId="18650"/>
    <cellStyle name="Comma 8 2 4 2 5 3" xfId="15798"/>
    <cellStyle name="Comma 8 2 4 2 6" xfId="8468"/>
    <cellStyle name="Comma 8 2 4 2 6 2" xfId="12682"/>
    <cellStyle name="Comma 8 2 4 2 6 2 2" xfId="19221"/>
    <cellStyle name="Comma 8 2 4 2 6 3" xfId="16369"/>
    <cellStyle name="Comma 8 2 4 2 7" xfId="3012"/>
    <cellStyle name="Comma 8 2 4 2 7 2" xfId="10969"/>
    <cellStyle name="Comma 8 2 4 2 7 2 2" xfId="17508"/>
    <cellStyle name="Comma 8 2 4 2 7 3" xfId="14656"/>
    <cellStyle name="Comma 8 2 4 2 8" xfId="2442"/>
    <cellStyle name="Comma 8 2 4 2 8 2" xfId="14090"/>
    <cellStyle name="Comma 8 2 4 2 9" xfId="10403"/>
    <cellStyle name="Comma 8 2 4 2 9 2" xfId="16942"/>
    <cellStyle name="Comma 8 2 4 3" xfId="1185"/>
    <cellStyle name="Comma 8 2 4 3 2" xfId="2320"/>
    <cellStyle name="Comma 8 2 4 3 2 2" xfId="5740"/>
    <cellStyle name="Comma 8 2 4 3 2 2 2" xfId="11996"/>
    <cellStyle name="Comma 8 2 4 3 2 2 2 2" xfId="18535"/>
    <cellStyle name="Comma 8 2 4 3 2 2 3" xfId="15683"/>
    <cellStyle name="Comma 8 2 4 3 2 3" xfId="8012"/>
    <cellStyle name="Comma 8 2 4 3 2 3 2" xfId="12567"/>
    <cellStyle name="Comma 8 2 4 3 2 3 2 2" xfId="19106"/>
    <cellStyle name="Comma 8 2 4 3 2 3 3" xfId="16254"/>
    <cellStyle name="Comma 8 2 4 3 2 4" xfId="10284"/>
    <cellStyle name="Comma 8 2 4 3 2 4 2" xfId="13138"/>
    <cellStyle name="Comma 8 2 4 3 2 4 2 2" xfId="19677"/>
    <cellStyle name="Comma 8 2 4 3 2 4 3" xfId="16825"/>
    <cellStyle name="Comma 8 2 4 3 2 5" xfId="3468"/>
    <cellStyle name="Comma 8 2 4 3 2 5 2" xfId="11425"/>
    <cellStyle name="Comma 8 2 4 3 2 5 2 2" xfId="17964"/>
    <cellStyle name="Comma 8 2 4 3 2 5 3" xfId="15112"/>
    <cellStyle name="Comma 8 2 4 3 2 6" xfId="2890"/>
    <cellStyle name="Comma 8 2 4 3 2 6 2" xfId="14538"/>
    <cellStyle name="Comma 8 2 4 3 2 7" xfId="10851"/>
    <cellStyle name="Comma 8 2 4 3 2 7 2" xfId="17390"/>
    <cellStyle name="Comma 8 2 4 3 2 8" xfId="13972"/>
    <cellStyle name="Comma 8 2 4 3 3" xfId="4605"/>
    <cellStyle name="Comma 8 2 4 3 3 2" xfId="11711"/>
    <cellStyle name="Comma 8 2 4 3 3 2 2" xfId="18250"/>
    <cellStyle name="Comma 8 2 4 3 3 3" xfId="15398"/>
    <cellStyle name="Comma 8 2 4 3 4" xfId="6877"/>
    <cellStyle name="Comma 8 2 4 3 4 2" xfId="12282"/>
    <cellStyle name="Comma 8 2 4 3 4 2 2" xfId="18821"/>
    <cellStyle name="Comma 8 2 4 3 4 3" xfId="15969"/>
    <cellStyle name="Comma 8 2 4 3 5" xfId="9149"/>
    <cellStyle name="Comma 8 2 4 3 5 2" xfId="12853"/>
    <cellStyle name="Comma 8 2 4 3 5 2 2" xfId="19392"/>
    <cellStyle name="Comma 8 2 4 3 5 3" xfId="16540"/>
    <cellStyle name="Comma 8 2 4 3 6" xfId="3183"/>
    <cellStyle name="Comma 8 2 4 3 6 2" xfId="11140"/>
    <cellStyle name="Comma 8 2 4 3 6 2 2" xfId="17679"/>
    <cellStyle name="Comma 8 2 4 3 6 3" xfId="14827"/>
    <cellStyle name="Comma 8 2 4 3 7" xfId="2610"/>
    <cellStyle name="Comma 8 2 4 3 7 2" xfId="14258"/>
    <cellStyle name="Comma 8 2 4 3 8" xfId="10571"/>
    <cellStyle name="Comma 8 2 4 3 8 2" xfId="17110"/>
    <cellStyle name="Comma 8 2 4 3 9" xfId="13687"/>
    <cellStyle name="Comma 8 2 4 4" xfId="731"/>
    <cellStyle name="Comma 8 2 4 4 2" xfId="1866"/>
    <cellStyle name="Comma 8 2 4 4 2 2" xfId="5286"/>
    <cellStyle name="Comma 8 2 4 4 2 2 2" xfId="11882"/>
    <cellStyle name="Comma 8 2 4 4 2 2 2 2" xfId="18421"/>
    <cellStyle name="Comma 8 2 4 4 2 2 3" xfId="15569"/>
    <cellStyle name="Comma 8 2 4 4 2 3" xfId="7558"/>
    <cellStyle name="Comma 8 2 4 4 2 3 2" xfId="12453"/>
    <cellStyle name="Comma 8 2 4 4 2 3 2 2" xfId="18992"/>
    <cellStyle name="Comma 8 2 4 4 2 3 3" xfId="16140"/>
    <cellStyle name="Comma 8 2 4 4 2 4" xfId="9830"/>
    <cellStyle name="Comma 8 2 4 4 2 4 2" xfId="13024"/>
    <cellStyle name="Comma 8 2 4 4 2 4 2 2" xfId="19563"/>
    <cellStyle name="Comma 8 2 4 4 2 4 3" xfId="16711"/>
    <cellStyle name="Comma 8 2 4 4 2 5" xfId="3354"/>
    <cellStyle name="Comma 8 2 4 4 2 5 2" xfId="11311"/>
    <cellStyle name="Comma 8 2 4 4 2 5 2 2" xfId="17850"/>
    <cellStyle name="Comma 8 2 4 4 2 5 3" xfId="14998"/>
    <cellStyle name="Comma 8 2 4 4 2 6" xfId="2778"/>
    <cellStyle name="Comma 8 2 4 4 2 6 2" xfId="14426"/>
    <cellStyle name="Comma 8 2 4 4 2 7" xfId="10739"/>
    <cellStyle name="Comma 8 2 4 4 2 7 2" xfId="17278"/>
    <cellStyle name="Comma 8 2 4 4 2 8" xfId="13858"/>
    <cellStyle name="Comma 8 2 4 4 3" xfId="4151"/>
    <cellStyle name="Comma 8 2 4 4 3 2" xfId="11597"/>
    <cellStyle name="Comma 8 2 4 4 3 2 2" xfId="18136"/>
    <cellStyle name="Comma 8 2 4 4 3 3" xfId="15284"/>
    <cellStyle name="Comma 8 2 4 4 4" xfId="6423"/>
    <cellStyle name="Comma 8 2 4 4 4 2" xfId="12168"/>
    <cellStyle name="Comma 8 2 4 4 4 2 2" xfId="18707"/>
    <cellStyle name="Comma 8 2 4 4 4 3" xfId="15855"/>
    <cellStyle name="Comma 8 2 4 4 5" xfId="8695"/>
    <cellStyle name="Comma 8 2 4 4 5 2" xfId="12739"/>
    <cellStyle name="Comma 8 2 4 4 5 2 2" xfId="19278"/>
    <cellStyle name="Comma 8 2 4 4 5 3" xfId="16426"/>
    <cellStyle name="Comma 8 2 4 4 6" xfId="3069"/>
    <cellStyle name="Comma 8 2 4 4 6 2" xfId="11026"/>
    <cellStyle name="Comma 8 2 4 4 6 2 2" xfId="17565"/>
    <cellStyle name="Comma 8 2 4 4 6 3" xfId="14713"/>
    <cellStyle name="Comma 8 2 4 4 7" xfId="2498"/>
    <cellStyle name="Comma 8 2 4 4 7 2" xfId="14146"/>
    <cellStyle name="Comma 8 2 4 4 8" xfId="10459"/>
    <cellStyle name="Comma 8 2 4 4 8 2" xfId="16998"/>
    <cellStyle name="Comma 8 2 4 4 9" xfId="13573"/>
    <cellStyle name="Comma 8 2 4 5" xfId="1412"/>
    <cellStyle name="Comma 8 2 4 5 2" xfId="4832"/>
    <cellStyle name="Comma 8 2 4 5 2 2" xfId="11768"/>
    <cellStyle name="Comma 8 2 4 5 2 2 2" xfId="18307"/>
    <cellStyle name="Comma 8 2 4 5 2 3" xfId="15455"/>
    <cellStyle name="Comma 8 2 4 5 3" xfId="7104"/>
    <cellStyle name="Comma 8 2 4 5 3 2" xfId="12339"/>
    <cellStyle name="Comma 8 2 4 5 3 2 2" xfId="18878"/>
    <cellStyle name="Comma 8 2 4 5 3 3" xfId="16026"/>
    <cellStyle name="Comma 8 2 4 5 4" xfId="9376"/>
    <cellStyle name="Comma 8 2 4 5 4 2" xfId="12910"/>
    <cellStyle name="Comma 8 2 4 5 4 2 2" xfId="19449"/>
    <cellStyle name="Comma 8 2 4 5 4 3" xfId="16597"/>
    <cellStyle name="Comma 8 2 4 5 5" xfId="3240"/>
    <cellStyle name="Comma 8 2 4 5 5 2" xfId="11197"/>
    <cellStyle name="Comma 8 2 4 5 5 2 2" xfId="17736"/>
    <cellStyle name="Comma 8 2 4 5 5 3" xfId="14884"/>
    <cellStyle name="Comma 8 2 4 5 6" xfId="2666"/>
    <cellStyle name="Comma 8 2 4 5 6 2" xfId="14314"/>
    <cellStyle name="Comma 8 2 4 5 7" xfId="10627"/>
    <cellStyle name="Comma 8 2 4 5 7 2" xfId="17166"/>
    <cellStyle name="Comma 8 2 4 5 8" xfId="13744"/>
    <cellStyle name="Comma 8 2 4 6" xfId="3697"/>
    <cellStyle name="Comma 8 2 4 6 2" xfId="11483"/>
    <cellStyle name="Comma 8 2 4 6 2 2" xfId="18022"/>
    <cellStyle name="Comma 8 2 4 6 3" xfId="15170"/>
    <cellStyle name="Comma 8 2 4 7" xfId="5969"/>
    <cellStyle name="Comma 8 2 4 7 2" xfId="12054"/>
    <cellStyle name="Comma 8 2 4 7 2 2" xfId="18593"/>
    <cellStyle name="Comma 8 2 4 7 3" xfId="15741"/>
    <cellStyle name="Comma 8 2 4 8" xfId="8241"/>
    <cellStyle name="Comma 8 2 4 8 2" xfId="12625"/>
    <cellStyle name="Comma 8 2 4 8 2 2" xfId="19164"/>
    <cellStyle name="Comma 8 2 4 8 3" xfId="16312"/>
    <cellStyle name="Comma 8 2 4 9" xfId="2955"/>
    <cellStyle name="Comma 8 2 4 9 2" xfId="10912"/>
    <cellStyle name="Comma 8 2 4 9 2 2" xfId="17451"/>
    <cellStyle name="Comma 8 2 4 9 3" xfId="14599"/>
    <cellStyle name="Comma 8 2 5" xfId="333"/>
    <cellStyle name="Comma 8 2 5 10" xfId="13473"/>
    <cellStyle name="Comma 8 2 5 2" xfId="787"/>
    <cellStyle name="Comma 8 2 5 2 2" xfId="1922"/>
    <cellStyle name="Comma 8 2 5 2 2 2" xfId="5342"/>
    <cellStyle name="Comma 8 2 5 2 2 2 2" xfId="11896"/>
    <cellStyle name="Comma 8 2 5 2 2 2 2 2" xfId="18435"/>
    <cellStyle name="Comma 8 2 5 2 2 2 3" xfId="15583"/>
    <cellStyle name="Comma 8 2 5 2 2 3" xfId="7614"/>
    <cellStyle name="Comma 8 2 5 2 2 3 2" xfId="12467"/>
    <cellStyle name="Comma 8 2 5 2 2 3 2 2" xfId="19006"/>
    <cellStyle name="Comma 8 2 5 2 2 3 3" xfId="16154"/>
    <cellStyle name="Comma 8 2 5 2 2 4" xfId="9886"/>
    <cellStyle name="Comma 8 2 5 2 2 4 2" xfId="13038"/>
    <cellStyle name="Comma 8 2 5 2 2 4 2 2" xfId="19577"/>
    <cellStyle name="Comma 8 2 5 2 2 4 3" xfId="16725"/>
    <cellStyle name="Comma 8 2 5 2 2 5" xfId="3368"/>
    <cellStyle name="Comma 8 2 5 2 2 5 2" xfId="11325"/>
    <cellStyle name="Comma 8 2 5 2 2 5 2 2" xfId="17864"/>
    <cellStyle name="Comma 8 2 5 2 2 5 3" xfId="15012"/>
    <cellStyle name="Comma 8 2 5 2 2 6" xfId="2792"/>
    <cellStyle name="Comma 8 2 5 2 2 6 2" xfId="14440"/>
    <cellStyle name="Comma 8 2 5 2 2 7" xfId="10753"/>
    <cellStyle name="Comma 8 2 5 2 2 7 2" xfId="17292"/>
    <cellStyle name="Comma 8 2 5 2 2 8" xfId="13872"/>
    <cellStyle name="Comma 8 2 5 2 3" xfId="4207"/>
    <cellStyle name="Comma 8 2 5 2 3 2" xfId="11611"/>
    <cellStyle name="Comma 8 2 5 2 3 2 2" xfId="18150"/>
    <cellStyle name="Comma 8 2 5 2 3 3" xfId="15298"/>
    <cellStyle name="Comma 8 2 5 2 4" xfId="6479"/>
    <cellStyle name="Comma 8 2 5 2 4 2" xfId="12182"/>
    <cellStyle name="Comma 8 2 5 2 4 2 2" xfId="18721"/>
    <cellStyle name="Comma 8 2 5 2 4 3" xfId="15869"/>
    <cellStyle name="Comma 8 2 5 2 5" xfId="8751"/>
    <cellStyle name="Comma 8 2 5 2 5 2" xfId="12753"/>
    <cellStyle name="Comma 8 2 5 2 5 2 2" xfId="19292"/>
    <cellStyle name="Comma 8 2 5 2 5 3" xfId="16440"/>
    <cellStyle name="Comma 8 2 5 2 6" xfId="3083"/>
    <cellStyle name="Comma 8 2 5 2 6 2" xfId="11040"/>
    <cellStyle name="Comma 8 2 5 2 6 2 2" xfId="17579"/>
    <cellStyle name="Comma 8 2 5 2 6 3" xfId="14727"/>
    <cellStyle name="Comma 8 2 5 2 7" xfId="2512"/>
    <cellStyle name="Comma 8 2 5 2 7 2" xfId="14160"/>
    <cellStyle name="Comma 8 2 5 2 8" xfId="10473"/>
    <cellStyle name="Comma 8 2 5 2 8 2" xfId="17012"/>
    <cellStyle name="Comma 8 2 5 2 9" xfId="13587"/>
    <cellStyle name="Comma 8 2 5 3" xfId="1468"/>
    <cellStyle name="Comma 8 2 5 3 2" xfId="4888"/>
    <cellStyle name="Comma 8 2 5 3 2 2" xfId="11782"/>
    <cellStyle name="Comma 8 2 5 3 2 2 2" xfId="18321"/>
    <cellStyle name="Comma 8 2 5 3 2 3" xfId="15469"/>
    <cellStyle name="Comma 8 2 5 3 3" xfId="7160"/>
    <cellStyle name="Comma 8 2 5 3 3 2" xfId="12353"/>
    <cellStyle name="Comma 8 2 5 3 3 2 2" xfId="18892"/>
    <cellStyle name="Comma 8 2 5 3 3 3" xfId="16040"/>
    <cellStyle name="Comma 8 2 5 3 4" xfId="9432"/>
    <cellStyle name="Comma 8 2 5 3 4 2" xfId="12924"/>
    <cellStyle name="Comma 8 2 5 3 4 2 2" xfId="19463"/>
    <cellStyle name="Comma 8 2 5 3 4 3" xfId="16611"/>
    <cellStyle name="Comma 8 2 5 3 5" xfId="3254"/>
    <cellStyle name="Comma 8 2 5 3 5 2" xfId="11211"/>
    <cellStyle name="Comma 8 2 5 3 5 2 2" xfId="17750"/>
    <cellStyle name="Comma 8 2 5 3 5 3" xfId="14898"/>
    <cellStyle name="Comma 8 2 5 3 6" xfId="2680"/>
    <cellStyle name="Comma 8 2 5 3 6 2" xfId="14328"/>
    <cellStyle name="Comma 8 2 5 3 7" xfId="10641"/>
    <cellStyle name="Comma 8 2 5 3 7 2" xfId="17180"/>
    <cellStyle name="Comma 8 2 5 3 8" xfId="13758"/>
    <cellStyle name="Comma 8 2 5 4" xfId="3753"/>
    <cellStyle name="Comma 8 2 5 4 2" xfId="11497"/>
    <cellStyle name="Comma 8 2 5 4 2 2" xfId="18036"/>
    <cellStyle name="Comma 8 2 5 4 3" xfId="15184"/>
    <cellStyle name="Comma 8 2 5 5" xfId="6025"/>
    <cellStyle name="Comma 8 2 5 5 2" xfId="12068"/>
    <cellStyle name="Comma 8 2 5 5 2 2" xfId="18607"/>
    <cellStyle name="Comma 8 2 5 5 3" xfId="15755"/>
    <cellStyle name="Comma 8 2 5 6" xfId="8297"/>
    <cellStyle name="Comma 8 2 5 6 2" xfId="12639"/>
    <cellStyle name="Comma 8 2 5 6 2 2" xfId="19178"/>
    <cellStyle name="Comma 8 2 5 6 3" xfId="16326"/>
    <cellStyle name="Comma 8 2 5 7" xfId="2969"/>
    <cellStyle name="Comma 8 2 5 7 2" xfId="10926"/>
    <cellStyle name="Comma 8 2 5 7 2 2" xfId="17465"/>
    <cellStyle name="Comma 8 2 5 7 3" xfId="14613"/>
    <cellStyle name="Comma 8 2 5 8" xfId="2400"/>
    <cellStyle name="Comma 8 2 5 8 2" xfId="14048"/>
    <cellStyle name="Comma 8 2 5 9" xfId="10361"/>
    <cellStyle name="Comma 8 2 5 9 2" xfId="16900"/>
    <cellStyle name="Comma 8 2 6" xfId="1014"/>
    <cellStyle name="Comma 8 2 6 2" xfId="2149"/>
    <cellStyle name="Comma 8 2 6 2 2" xfId="5569"/>
    <cellStyle name="Comma 8 2 6 2 2 2" xfId="11953"/>
    <cellStyle name="Comma 8 2 6 2 2 2 2" xfId="18492"/>
    <cellStyle name="Comma 8 2 6 2 2 3" xfId="15640"/>
    <cellStyle name="Comma 8 2 6 2 3" xfId="7841"/>
    <cellStyle name="Comma 8 2 6 2 3 2" xfId="12524"/>
    <cellStyle name="Comma 8 2 6 2 3 2 2" xfId="19063"/>
    <cellStyle name="Comma 8 2 6 2 3 3" xfId="16211"/>
    <cellStyle name="Comma 8 2 6 2 4" xfId="10113"/>
    <cellStyle name="Comma 8 2 6 2 4 2" xfId="13095"/>
    <cellStyle name="Comma 8 2 6 2 4 2 2" xfId="19634"/>
    <cellStyle name="Comma 8 2 6 2 4 3" xfId="16782"/>
    <cellStyle name="Comma 8 2 6 2 5" xfId="3425"/>
    <cellStyle name="Comma 8 2 6 2 5 2" xfId="11382"/>
    <cellStyle name="Comma 8 2 6 2 5 2 2" xfId="17921"/>
    <cellStyle name="Comma 8 2 6 2 5 3" xfId="15069"/>
    <cellStyle name="Comma 8 2 6 2 6" xfId="2848"/>
    <cellStyle name="Comma 8 2 6 2 6 2" xfId="14496"/>
    <cellStyle name="Comma 8 2 6 2 7" xfId="10809"/>
    <cellStyle name="Comma 8 2 6 2 7 2" xfId="17348"/>
    <cellStyle name="Comma 8 2 6 2 8" xfId="13929"/>
    <cellStyle name="Comma 8 2 6 3" xfId="4434"/>
    <cellStyle name="Comma 8 2 6 3 2" xfId="11668"/>
    <cellStyle name="Comma 8 2 6 3 2 2" xfId="18207"/>
    <cellStyle name="Comma 8 2 6 3 3" xfId="15355"/>
    <cellStyle name="Comma 8 2 6 4" xfId="6706"/>
    <cellStyle name="Comma 8 2 6 4 2" xfId="12239"/>
    <cellStyle name="Comma 8 2 6 4 2 2" xfId="18778"/>
    <cellStyle name="Comma 8 2 6 4 3" xfId="15926"/>
    <cellStyle name="Comma 8 2 6 5" xfId="8978"/>
    <cellStyle name="Comma 8 2 6 5 2" xfId="12810"/>
    <cellStyle name="Comma 8 2 6 5 2 2" xfId="19349"/>
    <cellStyle name="Comma 8 2 6 5 3" xfId="16497"/>
    <cellStyle name="Comma 8 2 6 6" xfId="3140"/>
    <cellStyle name="Comma 8 2 6 6 2" xfId="11097"/>
    <cellStyle name="Comma 8 2 6 6 2 2" xfId="17636"/>
    <cellStyle name="Comma 8 2 6 6 3" xfId="14784"/>
    <cellStyle name="Comma 8 2 6 7" xfId="2568"/>
    <cellStyle name="Comma 8 2 6 7 2" xfId="14216"/>
    <cellStyle name="Comma 8 2 6 8" xfId="10529"/>
    <cellStyle name="Comma 8 2 6 8 2" xfId="17068"/>
    <cellStyle name="Comma 8 2 6 9" xfId="13644"/>
    <cellStyle name="Comma 8 2 7" xfId="560"/>
    <cellStyle name="Comma 8 2 7 2" xfId="1695"/>
    <cellStyle name="Comma 8 2 7 2 2" xfId="5115"/>
    <cellStyle name="Comma 8 2 7 2 2 2" xfId="11839"/>
    <cellStyle name="Comma 8 2 7 2 2 2 2" xfId="18378"/>
    <cellStyle name="Comma 8 2 7 2 2 3" xfId="15526"/>
    <cellStyle name="Comma 8 2 7 2 3" xfId="7387"/>
    <cellStyle name="Comma 8 2 7 2 3 2" xfId="12410"/>
    <cellStyle name="Comma 8 2 7 2 3 2 2" xfId="18949"/>
    <cellStyle name="Comma 8 2 7 2 3 3" xfId="16097"/>
    <cellStyle name="Comma 8 2 7 2 4" xfId="9659"/>
    <cellStyle name="Comma 8 2 7 2 4 2" xfId="12981"/>
    <cellStyle name="Comma 8 2 7 2 4 2 2" xfId="19520"/>
    <cellStyle name="Comma 8 2 7 2 4 3" xfId="16668"/>
    <cellStyle name="Comma 8 2 7 2 5" xfId="3311"/>
    <cellStyle name="Comma 8 2 7 2 5 2" xfId="11268"/>
    <cellStyle name="Comma 8 2 7 2 5 2 2" xfId="17807"/>
    <cellStyle name="Comma 8 2 7 2 5 3" xfId="14955"/>
    <cellStyle name="Comma 8 2 7 2 6" xfId="2736"/>
    <cellStyle name="Comma 8 2 7 2 6 2" xfId="14384"/>
    <cellStyle name="Comma 8 2 7 2 7" xfId="10697"/>
    <cellStyle name="Comma 8 2 7 2 7 2" xfId="17236"/>
    <cellStyle name="Comma 8 2 7 2 8" xfId="13815"/>
    <cellStyle name="Comma 8 2 7 3" xfId="3980"/>
    <cellStyle name="Comma 8 2 7 3 2" xfId="11554"/>
    <cellStyle name="Comma 8 2 7 3 2 2" xfId="18093"/>
    <cellStyle name="Comma 8 2 7 3 3" xfId="15241"/>
    <cellStyle name="Comma 8 2 7 4" xfId="6252"/>
    <cellStyle name="Comma 8 2 7 4 2" xfId="12125"/>
    <cellStyle name="Comma 8 2 7 4 2 2" xfId="18664"/>
    <cellStyle name="Comma 8 2 7 4 3" xfId="15812"/>
    <cellStyle name="Comma 8 2 7 5" xfId="8524"/>
    <cellStyle name="Comma 8 2 7 5 2" xfId="12696"/>
    <cellStyle name="Comma 8 2 7 5 2 2" xfId="19235"/>
    <cellStyle name="Comma 8 2 7 5 3" xfId="16383"/>
    <cellStyle name="Comma 8 2 7 6" xfId="3026"/>
    <cellStyle name="Comma 8 2 7 6 2" xfId="10983"/>
    <cellStyle name="Comma 8 2 7 6 2 2" xfId="17522"/>
    <cellStyle name="Comma 8 2 7 6 3" xfId="14670"/>
    <cellStyle name="Comma 8 2 7 7" xfId="2456"/>
    <cellStyle name="Comma 8 2 7 7 2" xfId="14104"/>
    <cellStyle name="Comma 8 2 7 8" xfId="10417"/>
    <cellStyle name="Comma 8 2 7 8 2" xfId="16956"/>
    <cellStyle name="Comma 8 2 7 9" xfId="13530"/>
    <cellStyle name="Comma 8 2 8" xfId="1241"/>
    <cellStyle name="Comma 8 2 8 2" xfId="4661"/>
    <cellStyle name="Comma 8 2 8 2 2" xfId="11725"/>
    <cellStyle name="Comma 8 2 8 2 2 2" xfId="18264"/>
    <cellStyle name="Comma 8 2 8 2 3" xfId="15412"/>
    <cellStyle name="Comma 8 2 8 3" xfId="6933"/>
    <cellStyle name="Comma 8 2 8 3 2" xfId="12296"/>
    <cellStyle name="Comma 8 2 8 3 2 2" xfId="18835"/>
    <cellStyle name="Comma 8 2 8 3 3" xfId="15983"/>
    <cellStyle name="Comma 8 2 8 4" xfId="9205"/>
    <cellStyle name="Comma 8 2 8 4 2" xfId="12867"/>
    <cellStyle name="Comma 8 2 8 4 2 2" xfId="19406"/>
    <cellStyle name="Comma 8 2 8 4 3" xfId="16554"/>
    <cellStyle name="Comma 8 2 8 5" xfId="3197"/>
    <cellStyle name="Comma 8 2 8 5 2" xfId="11154"/>
    <cellStyle name="Comma 8 2 8 5 2 2" xfId="17693"/>
    <cellStyle name="Comma 8 2 8 5 3" xfId="14841"/>
    <cellStyle name="Comma 8 2 8 6" xfId="2624"/>
    <cellStyle name="Comma 8 2 8 6 2" xfId="14272"/>
    <cellStyle name="Comma 8 2 8 7" xfId="10585"/>
    <cellStyle name="Comma 8 2 8 7 2" xfId="17124"/>
    <cellStyle name="Comma 8 2 8 8" xfId="13701"/>
    <cellStyle name="Comma 8 2 9" xfId="3526"/>
    <cellStyle name="Comma 8 2 9 2" xfId="11440"/>
    <cellStyle name="Comma 8 2 9 2 2" xfId="17979"/>
    <cellStyle name="Comma 8 2 9 3" xfId="15127"/>
    <cellStyle name="Comma 8 3" xfId="179"/>
    <cellStyle name="Comma 8 3 10" xfId="2364"/>
    <cellStyle name="Comma 8 3 10 2" xfId="14012"/>
    <cellStyle name="Comma 8 3 11" xfId="10325"/>
    <cellStyle name="Comma 8 3 11 2" xfId="16864"/>
    <cellStyle name="Comma 8 3 12" xfId="13436"/>
    <cellStyle name="Comma 8 3 2" xfId="417"/>
    <cellStyle name="Comma 8 3 2 10" xfId="13494"/>
    <cellStyle name="Comma 8 3 2 2" xfId="871"/>
    <cellStyle name="Comma 8 3 2 2 2" xfId="2006"/>
    <cellStyle name="Comma 8 3 2 2 2 2" xfId="5426"/>
    <cellStyle name="Comma 8 3 2 2 2 2 2" xfId="11917"/>
    <cellStyle name="Comma 8 3 2 2 2 2 2 2" xfId="18456"/>
    <cellStyle name="Comma 8 3 2 2 2 2 3" xfId="15604"/>
    <cellStyle name="Comma 8 3 2 2 2 3" xfId="7698"/>
    <cellStyle name="Comma 8 3 2 2 2 3 2" xfId="12488"/>
    <cellStyle name="Comma 8 3 2 2 2 3 2 2" xfId="19027"/>
    <cellStyle name="Comma 8 3 2 2 2 3 3" xfId="16175"/>
    <cellStyle name="Comma 8 3 2 2 2 4" xfId="9970"/>
    <cellStyle name="Comma 8 3 2 2 2 4 2" xfId="13059"/>
    <cellStyle name="Comma 8 3 2 2 2 4 2 2" xfId="19598"/>
    <cellStyle name="Comma 8 3 2 2 2 4 3" xfId="16746"/>
    <cellStyle name="Comma 8 3 2 2 2 5" xfId="3389"/>
    <cellStyle name="Comma 8 3 2 2 2 5 2" xfId="11346"/>
    <cellStyle name="Comma 8 3 2 2 2 5 2 2" xfId="17885"/>
    <cellStyle name="Comma 8 3 2 2 2 5 3" xfId="15033"/>
    <cellStyle name="Comma 8 3 2 2 2 6" xfId="2813"/>
    <cellStyle name="Comma 8 3 2 2 2 6 2" xfId="14461"/>
    <cellStyle name="Comma 8 3 2 2 2 7" xfId="10774"/>
    <cellStyle name="Comma 8 3 2 2 2 7 2" xfId="17313"/>
    <cellStyle name="Comma 8 3 2 2 2 8" xfId="13893"/>
    <cellStyle name="Comma 8 3 2 2 3" xfId="4291"/>
    <cellStyle name="Comma 8 3 2 2 3 2" xfId="11632"/>
    <cellStyle name="Comma 8 3 2 2 3 2 2" xfId="18171"/>
    <cellStyle name="Comma 8 3 2 2 3 3" xfId="15319"/>
    <cellStyle name="Comma 8 3 2 2 4" xfId="6563"/>
    <cellStyle name="Comma 8 3 2 2 4 2" xfId="12203"/>
    <cellStyle name="Comma 8 3 2 2 4 2 2" xfId="18742"/>
    <cellStyle name="Comma 8 3 2 2 4 3" xfId="15890"/>
    <cellStyle name="Comma 8 3 2 2 5" xfId="8835"/>
    <cellStyle name="Comma 8 3 2 2 5 2" xfId="12774"/>
    <cellStyle name="Comma 8 3 2 2 5 2 2" xfId="19313"/>
    <cellStyle name="Comma 8 3 2 2 5 3" xfId="16461"/>
    <cellStyle name="Comma 8 3 2 2 6" xfId="3104"/>
    <cellStyle name="Comma 8 3 2 2 6 2" xfId="11061"/>
    <cellStyle name="Comma 8 3 2 2 6 2 2" xfId="17600"/>
    <cellStyle name="Comma 8 3 2 2 6 3" xfId="14748"/>
    <cellStyle name="Comma 8 3 2 2 7" xfId="2533"/>
    <cellStyle name="Comma 8 3 2 2 7 2" xfId="14181"/>
    <cellStyle name="Comma 8 3 2 2 8" xfId="10494"/>
    <cellStyle name="Comma 8 3 2 2 8 2" xfId="17033"/>
    <cellStyle name="Comma 8 3 2 2 9" xfId="13608"/>
    <cellStyle name="Comma 8 3 2 3" xfId="1552"/>
    <cellStyle name="Comma 8 3 2 3 2" xfId="4972"/>
    <cellStyle name="Comma 8 3 2 3 2 2" xfId="11803"/>
    <cellStyle name="Comma 8 3 2 3 2 2 2" xfId="18342"/>
    <cellStyle name="Comma 8 3 2 3 2 3" xfId="15490"/>
    <cellStyle name="Comma 8 3 2 3 3" xfId="7244"/>
    <cellStyle name="Comma 8 3 2 3 3 2" xfId="12374"/>
    <cellStyle name="Comma 8 3 2 3 3 2 2" xfId="18913"/>
    <cellStyle name="Comma 8 3 2 3 3 3" xfId="16061"/>
    <cellStyle name="Comma 8 3 2 3 4" xfId="9516"/>
    <cellStyle name="Comma 8 3 2 3 4 2" xfId="12945"/>
    <cellStyle name="Comma 8 3 2 3 4 2 2" xfId="19484"/>
    <cellStyle name="Comma 8 3 2 3 4 3" xfId="16632"/>
    <cellStyle name="Comma 8 3 2 3 5" xfId="3275"/>
    <cellStyle name="Comma 8 3 2 3 5 2" xfId="11232"/>
    <cellStyle name="Comma 8 3 2 3 5 2 2" xfId="17771"/>
    <cellStyle name="Comma 8 3 2 3 5 3" xfId="14919"/>
    <cellStyle name="Comma 8 3 2 3 6" xfId="2701"/>
    <cellStyle name="Comma 8 3 2 3 6 2" xfId="14349"/>
    <cellStyle name="Comma 8 3 2 3 7" xfId="10662"/>
    <cellStyle name="Comma 8 3 2 3 7 2" xfId="17201"/>
    <cellStyle name="Comma 8 3 2 3 8" xfId="13779"/>
    <cellStyle name="Comma 8 3 2 4" xfId="3837"/>
    <cellStyle name="Comma 8 3 2 4 2" xfId="11518"/>
    <cellStyle name="Comma 8 3 2 4 2 2" xfId="18057"/>
    <cellStyle name="Comma 8 3 2 4 3" xfId="15205"/>
    <cellStyle name="Comma 8 3 2 5" xfId="6109"/>
    <cellStyle name="Comma 8 3 2 5 2" xfId="12089"/>
    <cellStyle name="Comma 8 3 2 5 2 2" xfId="18628"/>
    <cellStyle name="Comma 8 3 2 5 3" xfId="15776"/>
    <cellStyle name="Comma 8 3 2 6" xfId="8381"/>
    <cellStyle name="Comma 8 3 2 6 2" xfId="12660"/>
    <cellStyle name="Comma 8 3 2 6 2 2" xfId="19199"/>
    <cellStyle name="Comma 8 3 2 6 3" xfId="16347"/>
    <cellStyle name="Comma 8 3 2 7" xfId="2990"/>
    <cellStyle name="Comma 8 3 2 7 2" xfId="10947"/>
    <cellStyle name="Comma 8 3 2 7 2 2" xfId="17486"/>
    <cellStyle name="Comma 8 3 2 7 3" xfId="14634"/>
    <cellStyle name="Comma 8 3 2 8" xfId="2421"/>
    <cellStyle name="Comma 8 3 2 8 2" xfId="14069"/>
    <cellStyle name="Comma 8 3 2 9" xfId="10382"/>
    <cellStyle name="Comma 8 3 2 9 2" xfId="16921"/>
    <cellStyle name="Comma 8 3 3" xfId="1098"/>
    <cellStyle name="Comma 8 3 3 2" xfId="2233"/>
    <cellStyle name="Comma 8 3 3 2 2" xfId="5653"/>
    <cellStyle name="Comma 8 3 3 2 2 2" xfId="11974"/>
    <cellStyle name="Comma 8 3 3 2 2 2 2" xfId="18513"/>
    <cellStyle name="Comma 8 3 3 2 2 3" xfId="15661"/>
    <cellStyle name="Comma 8 3 3 2 3" xfId="7925"/>
    <cellStyle name="Comma 8 3 3 2 3 2" xfId="12545"/>
    <cellStyle name="Comma 8 3 3 2 3 2 2" xfId="19084"/>
    <cellStyle name="Comma 8 3 3 2 3 3" xfId="16232"/>
    <cellStyle name="Comma 8 3 3 2 4" xfId="10197"/>
    <cellStyle name="Comma 8 3 3 2 4 2" xfId="13116"/>
    <cellStyle name="Comma 8 3 3 2 4 2 2" xfId="19655"/>
    <cellStyle name="Comma 8 3 3 2 4 3" xfId="16803"/>
    <cellStyle name="Comma 8 3 3 2 5" xfId="3446"/>
    <cellStyle name="Comma 8 3 3 2 5 2" xfId="11403"/>
    <cellStyle name="Comma 8 3 3 2 5 2 2" xfId="17942"/>
    <cellStyle name="Comma 8 3 3 2 5 3" xfId="15090"/>
    <cellStyle name="Comma 8 3 3 2 6" xfId="2869"/>
    <cellStyle name="Comma 8 3 3 2 6 2" xfId="14517"/>
    <cellStyle name="Comma 8 3 3 2 7" xfId="10830"/>
    <cellStyle name="Comma 8 3 3 2 7 2" xfId="17369"/>
    <cellStyle name="Comma 8 3 3 2 8" xfId="13950"/>
    <cellStyle name="Comma 8 3 3 3" xfId="4518"/>
    <cellStyle name="Comma 8 3 3 3 2" xfId="11689"/>
    <cellStyle name="Comma 8 3 3 3 2 2" xfId="18228"/>
    <cellStyle name="Comma 8 3 3 3 3" xfId="15376"/>
    <cellStyle name="Comma 8 3 3 4" xfId="6790"/>
    <cellStyle name="Comma 8 3 3 4 2" xfId="12260"/>
    <cellStyle name="Comma 8 3 3 4 2 2" xfId="18799"/>
    <cellStyle name="Comma 8 3 3 4 3" xfId="15947"/>
    <cellStyle name="Comma 8 3 3 5" xfId="9062"/>
    <cellStyle name="Comma 8 3 3 5 2" xfId="12831"/>
    <cellStyle name="Comma 8 3 3 5 2 2" xfId="19370"/>
    <cellStyle name="Comma 8 3 3 5 3" xfId="16518"/>
    <cellStyle name="Comma 8 3 3 6" xfId="3161"/>
    <cellStyle name="Comma 8 3 3 6 2" xfId="11118"/>
    <cellStyle name="Comma 8 3 3 6 2 2" xfId="17657"/>
    <cellStyle name="Comma 8 3 3 6 3" xfId="14805"/>
    <cellStyle name="Comma 8 3 3 7" xfId="2589"/>
    <cellStyle name="Comma 8 3 3 7 2" xfId="14237"/>
    <cellStyle name="Comma 8 3 3 8" xfId="10550"/>
    <cellStyle name="Comma 8 3 3 8 2" xfId="17089"/>
    <cellStyle name="Comma 8 3 3 9" xfId="13665"/>
    <cellStyle name="Comma 8 3 4" xfId="644"/>
    <cellStyle name="Comma 8 3 4 2" xfId="1779"/>
    <cellStyle name="Comma 8 3 4 2 2" xfId="5199"/>
    <cellStyle name="Comma 8 3 4 2 2 2" xfId="11860"/>
    <cellStyle name="Comma 8 3 4 2 2 2 2" xfId="18399"/>
    <cellStyle name="Comma 8 3 4 2 2 3" xfId="15547"/>
    <cellStyle name="Comma 8 3 4 2 3" xfId="7471"/>
    <cellStyle name="Comma 8 3 4 2 3 2" xfId="12431"/>
    <cellStyle name="Comma 8 3 4 2 3 2 2" xfId="18970"/>
    <cellStyle name="Comma 8 3 4 2 3 3" xfId="16118"/>
    <cellStyle name="Comma 8 3 4 2 4" xfId="9743"/>
    <cellStyle name="Comma 8 3 4 2 4 2" xfId="13002"/>
    <cellStyle name="Comma 8 3 4 2 4 2 2" xfId="19541"/>
    <cellStyle name="Comma 8 3 4 2 4 3" xfId="16689"/>
    <cellStyle name="Comma 8 3 4 2 5" xfId="3332"/>
    <cellStyle name="Comma 8 3 4 2 5 2" xfId="11289"/>
    <cellStyle name="Comma 8 3 4 2 5 2 2" xfId="17828"/>
    <cellStyle name="Comma 8 3 4 2 5 3" xfId="14976"/>
    <cellStyle name="Comma 8 3 4 2 6" xfId="2757"/>
    <cellStyle name="Comma 8 3 4 2 6 2" xfId="14405"/>
    <cellStyle name="Comma 8 3 4 2 7" xfId="10718"/>
    <cellStyle name="Comma 8 3 4 2 7 2" xfId="17257"/>
    <cellStyle name="Comma 8 3 4 2 8" xfId="13836"/>
    <cellStyle name="Comma 8 3 4 3" xfId="4064"/>
    <cellStyle name="Comma 8 3 4 3 2" xfId="11575"/>
    <cellStyle name="Comma 8 3 4 3 2 2" xfId="18114"/>
    <cellStyle name="Comma 8 3 4 3 3" xfId="15262"/>
    <cellStyle name="Comma 8 3 4 4" xfId="6336"/>
    <cellStyle name="Comma 8 3 4 4 2" xfId="12146"/>
    <cellStyle name="Comma 8 3 4 4 2 2" xfId="18685"/>
    <cellStyle name="Comma 8 3 4 4 3" xfId="15833"/>
    <cellStyle name="Comma 8 3 4 5" xfId="8608"/>
    <cellStyle name="Comma 8 3 4 5 2" xfId="12717"/>
    <cellStyle name="Comma 8 3 4 5 2 2" xfId="19256"/>
    <cellStyle name="Comma 8 3 4 5 3" xfId="16404"/>
    <cellStyle name="Comma 8 3 4 6" xfId="3047"/>
    <cellStyle name="Comma 8 3 4 6 2" xfId="11004"/>
    <cellStyle name="Comma 8 3 4 6 2 2" xfId="17543"/>
    <cellStyle name="Comma 8 3 4 6 3" xfId="14691"/>
    <cellStyle name="Comma 8 3 4 7" xfId="2477"/>
    <cellStyle name="Comma 8 3 4 7 2" xfId="14125"/>
    <cellStyle name="Comma 8 3 4 8" xfId="10438"/>
    <cellStyle name="Comma 8 3 4 8 2" xfId="16977"/>
    <cellStyle name="Comma 8 3 4 9" xfId="13551"/>
    <cellStyle name="Comma 8 3 5" xfId="1325"/>
    <cellStyle name="Comma 8 3 5 2" xfId="4745"/>
    <cellStyle name="Comma 8 3 5 2 2" xfId="11746"/>
    <cellStyle name="Comma 8 3 5 2 2 2" xfId="18285"/>
    <cellStyle name="Comma 8 3 5 2 3" xfId="15433"/>
    <cellStyle name="Comma 8 3 5 3" xfId="7017"/>
    <cellStyle name="Comma 8 3 5 3 2" xfId="12317"/>
    <cellStyle name="Comma 8 3 5 3 2 2" xfId="18856"/>
    <cellStyle name="Comma 8 3 5 3 3" xfId="16004"/>
    <cellStyle name="Comma 8 3 5 4" xfId="9289"/>
    <cellStyle name="Comma 8 3 5 4 2" xfId="12888"/>
    <cellStyle name="Comma 8 3 5 4 2 2" xfId="19427"/>
    <cellStyle name="Comma 8 3 5 4 3" xfId="16575"/>
    <cellStyle name="Comma 8 3 5 5" xfId="3218"/>
    <cellStyle name="Comma 8 3 5 5 2" xfId="11175"/>
    <cellStyle name="Comma 8 3 5 5 2 2" xfId="17714"/>
    <cellStyle name="Comma 8 3 5 5 3" xfId="14862"/>
    <cellStyle name="Comma 8 3 5 6" xfId="2645"/>
    <cellStyle name="Comma 8 3 5 6 2" xfId="14293"/>
    <cellStyle name="Comma 8 3 5 7" xfId="10606"/>
    <cellStyle name="Comma 8 3 5 7 2" xfId="17145"/>
    <cellStyle name="Comma 8 3 5 8" xfId="13722"/>
    <cellStyle name="Comma 8 3 6" xfId="3610"/>
    <cellStyle name="Comma 8 3 6 2" xfId="11461"/>
    <cellStyle name="Comma 8 3 6 2 2" xfId="18000"/>
    <cellStyle name="Comma 8 3 6 3" xfId="15148"/>
    <cellStyle name="Comma 8 3 7" xfId="5882"/>
    <cellStyle name="Comma 8 3 7 2" xfId="12032"/>
    <cellStyle name="Comma 8 3 7 2 2" xfId="18571"/>
    <cellStyle name="Comma 8 3 7 3" xfId="15719"/>
    <cellStyle name="Comma 8 3 8" xfId="8154"/>
    <cellStyle name="Comma 8 3 8 2" xfId="12603"/>
    <cellStyle name="Comma 8 3 8 2 2" xfId="19142"/>
    <cellStyle name="Comma 8 3 8 3" xfId="16290"/>
    <cellStyle name="Comma 8 3 9" xfId="2930"/>
    <cellStyle name="Comma 8 3 9 2" xfId="10889"/>
    <cellStyle name="Comma 8 3 9 2 2" xfId="17428"/>
    <cellStyle name="Comma 8 3 9 3" xfId="14576"/>
    <cellStyle name="Comma 8 4" xfId="123"/>
    <cellStyle name="Comma 8 4 10" xfId="2350"/>
    <cellStyle name="Comma 8 4 10 2" xfId="13998"/>
    <cellStyle name="Comma 8 4 11" xfId="10311"/>
    <cellStyle name="Comma 8 4 11 2" xfId="16850"/>
    <cellStyle name="Comma 8 4 12" xfId="13422"/>
    <cellStyle name="Comma 8 4 2" xfId="361"/>
    <cellStyle name="Comma 8 4 2 10" xfId="13480"/>
    <cellStyle name="Comma 8 4 2 2" xfId="815"/>
    <cellStyle name="Comma 8 4 2 2 2" xfId="1950"/>
    <cellStyle name="Comma 8 4 2 2 2 2" xfId="5370"/>
    <cellStyle name="Comma 8 4 2 2 2 2 2" xfId="11903"/>
    <cellStyle name="Comma 8 4 2 2 2 2 2 2" xfId="18442"/>
    <cellStyle name="Comma 8 4 2 2 2 2 3" xfId="15590"/>
    <cellStyle name="Comma 8 4 2 2 2 3" xfId="7642"/>
    <cellStyle name="Comma 8 4 2 2 2 3 2" xfId="12474"/>
    <cellStyle name="Comma 8 4 2 2 2 3 2 2" xfId="19013"/>
    <cellStyle name="Comma 8 4 2 2 2 3 3" xfId="16161"/>
    <cellStyle name="Comma 8 4 2 2 2 4" xfId="9914"/>
    <cellStyle name="Comma 8 4 2 2 2 4 2" xfId="13045"/>
    <cellStyle name="Comma 8 4 2 2 2 4 2 2" xfId="19584"/>
    <cellStyle name="Comma 8 4 2 2 2 4 3" xfId="16732"/>
    <cellStyle name="Comma 8 4 2 2 2 5" xfId="3375"/>
    <cellStyle name="Comma 8 4 2 2 2 5 2" xfId="11332"/>
    <cellStyle name="Comma 8 4 2 2 2 5 2 2" xfId="17871"/>
    <cellStyle name="Comma 8 4 2 2 2 5 3" xfId="15019"/>
    <cellStyle name="Comma 8 4 2 2 2 6" xfId="2799"/>
    <cellStyle name="Comma 8 4 2 2 2 6 2" xfId="14447"/>
    <cellStyle name="Comma 8 4 2 2 2 7" xfId="10760"/>
    <cellStyle name="Comma 8 4 2 2 2 7 2" xfId="17299"/>
    <cellStyle name="Comma 8 4 2 2 2 8" xfId="13879"/>
    <cellStyle name="Comma 8 4 2 2 3" xfId="4235"/>
    <cellStyle name="Comma 8 4 2 2 3 2" xfId="11618"/>
    <cellStyle name="Comma 8 4 2 2 3 2 2" xfId="18157"/>
    <cellStyle name="Comma 8 4 2 2 3 3" xfId="15305"/>
    <cellStyle name="Comma 8 4 2 2 4" xfId="6507"/>
    <cellStyle name="Comma 8 4 2 2 4 2" xfId="12189"/>
    <cellStyle name="Comma 8 4 2 2 4 2 2" xfId="18728"/>
    <cellStyle name="Comma 8 4 2 2 4 3" xfId="15876"/>
    <cellStyle name="Comma 8 4 2 2 5" xfId="8779"/>
    <cellStyle name="Comma 8 4 2 2 5 2" xfId="12760"/>
    <cellStyle name="Comma 8 4 2 2 5 2 2" xfId="19299"/>
    <cellStyle name="Comma 8 4 2 2 5 3" xfId="16447"/>
    <cellStyle name="Comma 8 4 2 2 6" xfId="3090"/>
    <cellStyle name="Comma 8 4 2 2 6 2" xfId="11047"/>
    <cellStyle name="Comma 8 4 2 2 6 2 2" xfId="17586"/>
    <cellStyle name="Comma 8 4 2 2 6 3" xfId="14734"/>
    <cellStyle name="Comma 8 4 2 2 7" xfId="2519"/>
    <cellStyle name="Comma 8 4 2 2 7 2" xfId="14167"/>
    <cellStyle name="Comma 8 4 2 2 8" xfId="10480"/>
    <cellStyle name="Comma 8 4 2 2 8 2" xfId="17019"/>
    <cellStyle name="Comma 8 4 2 2 9" xfId="13594"/>
    <cellStyle name="Comma 8 4 2 3" xfId="1496"/>
    <cellStyle name="Comma 8 4 2 3 2" xfId="4916"/>
    <cellStyle name="Comma 8 4 2 3 2 2" xfId="11789"/>
    <cellStyle name="Comma 8 4 2 3 2 2 2" xfId="18328"/>
    <cellStyle name="Comma 8 4 2 3 2 3" xfId="15476"/>
    <cellStyle name="Comma 8 4 2 3 3" xfId="7188"/>
    <cellStyle name="Comma 8 4 2 3 3 2" xfId="12360"/>
    <cellStyle name="Comma 8 4 2 3 3 2 2" xfId="18899"/>
    <cellStyle name="Comma 8 4 2 3 3 3" xfId="16047"/>
    <cellStyle name="Comma 8 4 2 3 4" xfId="9460"/>
    <cellStyle name="Comma 8 4 2 3 4 2" xfId="12931"/>
    <cellStyle name="Comma 8 4 2 3 4 2 2" xfId="19470"/>
    <cellStyle name="Comma 8 4 2 3 4 3" xfId="16618"/>
    <cellStyle name="Comma 8 4 2 3 5" xfId="3261"/>
    <cellStyle name="Comma 8 4 2 3 5 2" xfId="11218"/>
    <cellStyle name="Comma 8 4 2 3 5 2 2" xfId="17757"/>
    <cellStyle name="Comma 8 4 2 3 5 3" xfId="14905"/>
    <cellStyle name="Comma 8 4 2 3 6" xfId="2687"/>
    <cellStyle name="Comma 8 4 2 3 6 2" xfId="14335"/>
    <cellStyle name="Comma 8 4 2 3 7" xfId="10648"/>
    <cellStyle name="Comma 8 4 2 3 7 2" xfId="17187"/>
    <cellStyle name="Comma 8 4 2 3 8" xfId="13765"/>
    <cellStyle name="Comma 8 4 2 4" xfId="3781"/>
    <cellStyle name="Comma 8 4 2 4 2" xfId="11504"/>
    <cellStyle name="Comma 8 4 2 4 2 2" xfId="18043"/>
    <cellStyle name="Comma 8 4 2 4 3" xfId="15191"/>
    <cellStyle name="Comma 8 4 2 5" xfId="6053"/>
    <cellStyle name="Comma 8 4 2 5 2" xfId="12075"/>
    <cellStyle name="Comma 8 4 2 5 2 2" xfId="18614"/>
    <cellStyle name="Comma 8 4 2 5 3" xfId="15762"/>
    <cellStyle name="Comma 8 4 2 6" xfId="8325"/>
    <cellStyle name="Comma 8 4 2 6 2" xfId="12646"/>
    <cellStyle name="Comma 8 4 2 6 2 2" xfId="19185"/>
    <cellStyle name="Comma 8 4 2 6 3" xfId="16333"/>
    <cellStyle name="Comma 8 4 2 7" xfId="2976"/>
    <cellStyle name="Comma 8 4 2 7 2" xfId="10933"/>
    <cellStyle name="Comma 8 4 2 7 2 2" xfId="17472"/>
    <cellStyle name="Comma 8 4 2 7 3" xfId="14620"/>
    <cellStyle name="Comma 8 4 2 8" xfId="2407"/>
    <cellStyle name="Comma 8 4 2 8 2" xfId="14055"/>
    <cellStyle name="Comma 8 4 2 9" xfId="10368"/>
    <cellStyle name="Comma 8 4 2 9 2" xfId="16907"/>
    <cellStyle name="Comma 8 4 3" xfId="1042"/>
    <cellStyle name="Comma 8 4 3 2" xfId="2177"/>
    <cellStyle name="Comma 8 4 3 2 2" xfId="5597"/>
    <cellStyle name="Comma 8 4 3 2 2 2" xfId="11960"/>
    <cellStyle name="Comma 8 4 3 2 2 2 2" xfId="18499"/>
    <cellStyle name="Comma 8 4 3 2 2 3" xfId="15647"/>
    <cellStyle name="Comma 8 4 3 2 3" xfId="7869"/>
    <cellStyle name="Comma 8 4 3 2 3 2" xfId="12531"/>
    <cellStyle name="Comma 8 4 3 2 3 2 2" xfId="19070"/>
    <cellStyle name="Comma 8 4 3 2 3 3" xfId="16218"/>
    <cellStyle name="Comma 8 4 3 2 4" xfId="10141"/>
    <cellStyle name="Comma 8 4 3 2 4 2" xfId="13102"/>
    <cellStyle name="Comma 8 4 3 2 4 2 2" xfId="19641"/>
    <cellStyle name="Comma 8 4 3 2 4 3" xfId="16789"/>
    <cellStyle name="Comma 8 4 3 2 5" xfId="3432"/>
    <cellStyle name="Comma 8 4 3 2 5 2" xfId="11389"/>
    <cellStyle name="Comma 8 4 3 2 5 2 2" xfId="17928"/>
    <cellStyle name="Comma 8 4 3 2 5 3" xfId="15076"/>
    <cellStyle name="Comma 8 4 3 2 6" xfId="2855"/>
    <cellStyle name="Comma 8 4 3 2 6 2" xfId="14503"/>
    <cellStyle name="Comma 8 4 3 2 7" xfId="10816"/>
    <cellStyle name="Comma 8 4 3 2 7 2" xfId="17355"/>
    <cellStyle name="Comma 8 4 3 2 8" xfId="13936"/>
    <cellStyle name="Comma 8 4 3 3" xfId="4462"/>
    <cellStyle name="Comma 8 4 3 3 2" xfId="11675"/>
    <cellStyle name="Comma 8 4 3 3 2 2" xfId="18214"/>
    <cellStyle name="Comma 8 4 3 3 3" xfId="15362"/>
    <cellStyle name="Comma 8 4 3 4" xfId="6734"/>
    <cellStyle name="Comma 8 4 3 4 2" xfId="12246"/>
    <cellStyle name="Comma 8 4 3 4 2 2" xfId="18785"/>
    <cellStyle name="Comma 8 4 3 4 3" xfId="15933"/>
    <cellStyle name="Comma 8 4 3 5" xfId="9006"/>
    <cellStyle name="Comma 8 4 3 5 2" xfId="12817"/>
    <cellStyle name="Comma 8 4 3 5 2 2" xfId="19356"/>
    <cellStyle name="Comma 8 4 3 5 3" xfId="16504"/>
    <cellStyle name="Comma 8 4 3 6" xfId="3147"/>
    <cellStyle name="Comma 8 4 3 6 2" xfId="11104"/>
    <cellStyle name="Comma 8 4 3 6 2 2" xfId="17643"/>
    <cellStyle name="Comma 8 4 3 6 3" xfId="14791"/>
    <cellStyle name="Comma 8 4 3 7" xfId="2575"/>
    <cellStyle name="Comma 8 4 3 7 2" xfId="14223"/>
    <cellStyle name="Comma 8 4 3 8" xfId="10536"/>
    <cellStyle name="Comma 8 4 3 8 2" xfId="17075"/>
    <cellStyle name="Comma 8 4 3 9" xfId="13651"/>
    <cellStyle name="Comma 8 4 4" xfId="588"/>
    <cellStyle name="Comma 8 4 4 2" xfId="1723"/>
    <cellStyle name="Comma 8 4 4 2 2" xfId="5143"/>
    <cellStyle name="Comma 8 4 4 2 2 2" xfId="11846"/>
    <cellStyle name="Comma 8 4 4 2 2 2 2" xfId="18385"/>
    <cellStyle name="Comma 8 4 4 2 2 3" xfId="15533"/>
    <cellStyle name="Comma 8 4 4 2 3" xfId="7415"/>
    <cellStyle name="Comma 8 4 4 2 3 2" xfId="12417"/>
    <cellStyle name="Comma 8 4 4 2 3 2 2" xfId="18956"/>
    <cellStyle name="Comma 8 4 4 2 3 3" xfId="16104"/>
    <cellStyle name="Comma 8 4 4 2 4" xfId="9687"/>
    <cellStyle name="Comma 8 4 4 2 4 2" xfId="12988"/>
    <cellStyle name="Comma 8 4 4 2 4 2 2" xfId="19527"/>
    <cellStyle name="Comma 8 4 4 2 4 3" xfId="16675"/>
    <cellStyle name="Comma 8 4 4 2 5" xfId="3318"/>
    <cellStyle name="Comma 8 4 4 2 5 2" xfId="11275"/>
    <cellStyle name="Comma 8 4 4 2 5 2 2" xfId="17814"/>
    <cellStyle name="Comma 8 4 4 2 5 3" xfId="14962"/>
    <cellStyle name="Comma 8 4 4 2 6" xfId="2743"/>
    <cellStyle name="Comma 8 4 4 2 6 2" xfId="14391"/>
    <cellStyle name="Comma 8 4 4 2 7" xfId="10704"/>
    <cellStyle name="Comma 8 4 4 2 7 2" xfId="17243"/>
    <cellStyle name="Comma 8 4 4 2 8" xfId="13822"/>
    <cellStyle name="Comma 8 4 4 3" xfId="4008"/>
    <cellStyle name="Comma 8 4 4 3 2" xfId="11561"/>
    <cellStyle name="Comma 8 4 4 3 2 2" xfId="18100"/>
    <cellStyle name="Comma 8 4 4 3 3" xfId="15248"/>
    <cellStyle name="Comma 8 4 4 4" xfId="6280"/>
    <cellStyle name="Comma 8 4 4 4 2" xfId="12132"/>
    <cellStyle name="Comma 8 4 4 4 2 2" xfId="18671"/>
    <cellStyle name="Comma 8 4 4 4 3" xfId="15819"/>
    <cellStyle name="Comma 8 4 4 5" xfId="8552"/>
    <cellStyle name="Comma 8 4 4 5 2" xfId="12703"/>
    <cellStyle name="Comma 8 4 4 5 2 2" xfId="19242"/>
    <cellStyle name="Comma 8 4 4 5 3" xfId="16390"/>
    <cellStyle name="Comma 8 4 4 6" xfId="3033"/>
    <cellStyle name="Comma 8 4 4 6 2" xfId="10990"/>
    <cellStyle name="Comma 8 4 4 6 2 2" xfId="17529"/>
    <cellStyle name="Comma 8 4 4 6 3" xfId="14677"/>
    <cellStyle name="Comma 8 4 4 7" xfId="2463"/>
    <cellStyle name="Comma 8 4 4 7 2" xfId="14111"/>
    <cellStyle name="Comma 8 4 4 8" xfId="10424"/>
    <cellStyle name="Comma 8 4 4 8 2" xfId="16963"/>
    <cellStyle name="Comma 8 4 4 9" xfId="13537"/>
    <cellStyle name="Comma 8 4 5" xfId="1269"/>
    <cellStyle name="Comma 8 4 5 2" xfId="4689"/>
    <cellStyle name="Comma 8 4 5 2 2" xfId="11732"/>
    <cellStyle name="Comma 8 4 5 2 2 2" xfId="18271"/>
    <cellStyle name="Comma 8 4 5 2 3" xfId="15419"/>
    <cellStyle name="Comma 8 4 5 3" xfId="6961"/>
    <cellStyle name="Comma 8 4 5 3 2" xfId="12303"/>
    <cellStyle name="Comma 8 4 5 3 2 2" xfId="18842"/>
    <cellStyle name="Comma 8 4 5 3 3" xfId="15990"/>
    <cellStyle name="Comma 8 4 5 4" xfId="9233"/>
    <cellStyle name="Comma 8 4 5 4 2" xfId="12874"/>
    <cellStyle name="Comma 8 4 5 4 2 2" xfId="19413"/>
    <cellStyle name="Comma 8 4 5 4 3" xfId="16561"/>
    <cellStyle name="Comma 8 4 5 5" xfId="3204"/>
    <cellStyle name="Comma 8 4 5 5 2" xfId="11161"/>
    <cellStyle name="Comma 8 4 5 5 2 2" xfId="17700"/>
    <cellStyle name="Comma 8 4 5 5 3" xfId="14848"/>
    <cellStyle name="Comma 8 4 5 6" xfId="2631"/>
    <cellStyle name="Comma 8 4 5 6 2" xfId="14279"/>
    <cellStyle name="Comma 8 4 5 7" xfId="10592"/>
    <cellStyle name="Comma 8 4 5 7 2" xfId="17131"/>
    <cellStyle name="Comma 8 4 5 8" xfId="13708"/>
    <cellStyle name="Comma 8 4 6" xfId="3554"/>
    <cellStyle name="Comma 8 4 6 2" xfId="11447"/>
    <cellStyle name="Comma 8 4 6 2 2" xfId="17986"/>
    <cellStyle name="Comma 8 4 6 3" xfId="15134"/>
    <cellStyle name="Comma 8 4 7" xfId="5826"/>
    <cellStyle name="Comma 8 4 7 2" xfId="12018"/>
    <cellStyle name="Comma 8 4 7 2 2" xfId="18557"/>
    <cellStyle name="Comma 8 4 7 3" xfId="15705"/>
    <cellStyle name="Comma 8 4 8" xfId="8098"/>
    <cellStyle name="Comma 8 4 8 2" xfId="12589"/>
    <cellStyle name="Comma 8 4 8 2 2" xfId="19128"/>
    <cellStyle name="Comma 8 4 8 3" xfId="16276"/>
    <cellStyle name="Comma 8 4 9" xfId="2916"/>
    <cellStyle name="Comma 8 4 9 2" xfId="10875"/>
    <cellStyle name="Comma 8 4 9 2 2" xfId="17414"/>
    <cellStyle name="Comma 8 4 9 3" xfId="14562"/>
    <cellStyle name="Comma 8 5" xfId="249"/>
    <cellStyle name="Comma 8 5 10" xfId="2379"/>
    <cellStyle name="Comma 8 5 10 2" xfId="14027"/>
    <cellStyle name="Comma 8 5 11" xfId="10340"/>
    <cellStyle name="Comma 8 5 11 2" xfId="16879"/>
    <cellStyle name="Comma 8 5 12" xfId="13452"/>
    <cellStyle name="Comma 8 5 2" xfId="476"/>
    <cellStyle name="Comma 8 5 2 10" xfId="13509"/>
    <cellStyle name="Comma 8 5 2 2" xfId="930"/>
    <cellStyle name="Comma 8 5 2 2 2" xfId="2065"/>
    <cellStyle name="Comma 8 5 2 2 2 2" xfId="5485"/>
    <cellStyle name="Comma 8 5 2 2 2 2 2" xfId="11932"/>
    <cellStyle name="Comma 8 5 2 2 2 2 2 2" xfId="18471"/>
    <cellStyle name="Comma 8 5 2 2 2 2 3" xfId="15619"/>
    <cellStyle name="Comma 8 5 2 2 2 3" xfId="7757"/>
    <cellStyle name="Comma 8 5 2 2 2 3 2" xfId="12503"/>
    <cellStyle name="Comma 8 5 2 2 2 3 2 2" xfId="19042"/>
    <cellStyle name="Comma 8 5 2 2 2 3 3" xfId="16190"/>
    <cellStyle name="Comma 8 5 2 2 2 4" xfId="10029"/>
    <cellStyle name="Comma 8 5 2 2 2 4 2" xfId="13074"/>
    <cellStyle name="Comma 8 5 2 2 2 4 2 2" xfId="19613"/>
    <cellStyle name="Comma 8 5 2 2 2 4 3" xfId="16761"/>
    <cellStyle name="Comma 8 5 2 2 2 5" xfId="3404"/>
    <cellStyle name="Comma 8 5 2 2 2 5 2" xfId="11361"/>
    <cellStyle name="Comma 8 5 2 2 2 5 2 2" xfId="17900"/>
    <cellStyle name="Comma 8 5 2 2 2 5 3" xfId="15048"/>
    <cellStyle name="Comma 8 5 2 2 2 6" xfId="2827"/>
    <cellStyle name="Comma 8 5 2 2 2 6 2" xfId="14475"/>
    <cellStyle name="Comma 8 5 2 2 2 7" xfId="10788"/>
    <cellStyle name="Comma 8 5 2 2 2 7 2" xfId="17327"/>
    <cellStyle name="Comma 8 5 2 2 2 8" xfId="13908"/>
    <cellStyle name="Comma 8 5 2 2 3" xfId="4350"/>
    <cellStyle name="Comma 8 5 2 2 3 2" xfId="11647"/>
    <cellStyle name="Comma 8 5 2 2 3 2 2" xfId="18186"/>
    <cellStyle name="Comma 8 5 2 2 3 3" xfId="15334"/>
    <cellStyle name="Comma 8 5 2 2 4" xfId="6622"/>
    <cellStyle name="Comma 8 5 2 2 4 2" xfId="12218"/>
    <cellStyle name="Comma 8 5 2 2 4 2 2" xfId="18757"/>
    <cellStyle name="Comma 8 5 2 2 4 3" xfId="15905"/>
    <cellStyle name="Comma 8 5 2 2 5" xfId="8894"/>
    <cellStyle name="Comma 8 5 2 2 5 2" xfId="12789"/>
    <cellStyle name="Comma 8 5 2 2 5 2 2" xfId="19328"/>
    <cellStyle name="Comma 8 5 2 2 5 3" xfId="16476"/>
    <cellStyle name="Comma 8 5 2 2 6" xfId="3119"/>
    <cellStyle name="Comma 8 5 2 2 6 2" xfId="11076"/>
    <cellStyle name="Comma 8 5 2 2 6 2 2" xfId="17615"/>
    <cellStyle name="Comma 8 5 2 2 6 3" xfId="14763"/>
    <cellStyle name="Comma 8 5 2 2 7" xfId="2547"/>
    <cellStyle name="Comma 8 5 2 2 7 2" xfId="14195"/>
    <cellStyle name="Comma 8 5 2 2 8" xfId="10508"/>
    <cellStyle name="Comma 8 5 2 2 8 2" xfId="17047"/>
    <cellStyle name="Comma 8 5 2 2 9" xfId="13623"/>
    <cellStyle name="Comma 8 5 2 3" xfId="1611"/>
    <cellStyle name="Comma 8 5 2 3 2" xfId="5031"/>
    <cellStyle name="Comma 8 5 2 3 2 2" xfId="11818"/>
    <cellStyle name="Comma 8 5 2 3 2 2 2" xfId="18357"/>
    <cellStyle name="Comma 8 5 2 3 2 3" xfId="15505"/>
    <cellStyle name="Comma 8 5 2 3 3" xfId="7303"/>
    <cellStyle name="Comma 8 5 2 3 3 2" xfId="12389"/>
    <cellStyle name="Comma 8 5 2 3 3 2 2" xfId="18928"/>
    <cellStyle name="Comma 8 5 2 3 3 3" xfId="16076"/>
    <cellStyle name="Comma 8 5 2 3 4" xfId="9575"/>
    <cellStyle name="Comma 8 5 2 3 4 2" xfId="12960"/>
    <cellStyle name="Comma 8 5 2 3 4 2 2" xfId="19499"/>
    <cellStyle name="Comma 8 5 2 3 4 3" xfId="16647"/>
    <cellStyle name="Comma 8 5 2 3 5" xfId="3290"/>
    <cellStyle name="Comma 8 5 2 3 5 2" xfId="11247"/>
    <cellStyle name="Comma 8 5 2 3 5 2 2" xfId="17786"/>
    <cellStyle name="Comma 8 5 2 3 5 3" xfId="14934"/>
    <cellStyle name="Comma 8 5 2 3 6" xfId="2715"/>
    <cellStyle name="Comma 8 5 2 3 6 2" xfId="14363"/>
    <cellStyle name="Comma 8 5 2 3 7" xfId="10676"/>
    <cellStyle name="Comma 8 5 2 3 7 2" xfId="17215"/>
    <cellStyle name="Comma 8 5 2 3 8" xfId="13794"/>
    <cellStyle name="Comma 8 5 2 4" xfId="3896"/>
    <cellStyle name="Comma 8 5 2 4 2" xfId="11533"/>
    <cellStyle name="Comma 8 5 2 4 2 2" xfId="18072"/>
    <cellStyle name="Comma 8 5 2 4 3" xfId="15220"/>
    <cellStyle name="Comma 8 5 2 5" xfId="6168"/>
    <cellStyle name="Comma 8 5 2 5 2" xfId="12104"/>
    <cellStyle name="Comma 8 5 2 5 2 2" xfId="18643"/>
    <cellStyle name="Comma 8 5 2 5 3" xfId="15791"/>
    <cellStyle name="Comma 8 5 2 6" xfId="8440"/>
    <cellStyle name="Comma 8 5 2 6 2" xfId="12675"/>
    <cellStyle name="Comma 8 5 2 6 2 2" xfId="19214"/>
    <cellStyle name="Comma 8 5 2 6 3" xfId="16362"/>
    <cellStyle name="Comma 8 5 2 7" xfId="3005"/>
    <cellStyle name="Comma 8 5 2 7 2" xfId="10962"/>
    <cellStyle name="Comma 8 5 2 7 2 2" xfId="17501"/>
    <cellStyle name="Comma 8 5 2 7 3" xfId="14649"/>
    <cellStyle name="Comma 8 5 2 8" xfId="2435"/>
    <cellStyle name="Comma 8 5 2 8 2" xfId="14083"/>
    <cellStyle name="Comma 8 5 2 9" xfId="10396"/>
    <cellStyle name="Comma 8 5 2 9 2" xfId="16935"/>
    <cellStyle name="Comma 8 5 3" xfId="1157"/>
    <cellStyle name="Comma 8 5 3 2" xfId="2292"/>
    <cellStyle name="Comma 8 5 3 2 2" xfId="5712"/>
    <cellStyle name="Comma 8 5 3 2 2 2" xfId="11989"/>
    <cellStyle name="Comma 8 5 3 2 2 2 2" xfId="18528"/>
    <cellStyle name="Comma 8 5 3 2 2 3" xfId="15676"/>
    <cellStyle name="Comma 8 5 3 2 3" xfId="7984"/>
    <cellStyle name="Comma 8 5 3 2 3 2" xfId="12560"/>
    <cellStyle name="Comma 8 5 3 2 3 2 2" xfId="19099"/>
    <cellStyle name="Comma 8 5 3 2 3 3" xfId="16247"/>
    <cellStyle name="Comma 8 5 3 2 4" xfId="10256"/>
    <cellStyle name="Comma 8 5 3 2 4 2" xfId="13131"/>
    <cellStyle name="Comma 8 5 3 2 4 2 2" xfId="19670"/>
    <cellStyle name="Comma 8 5 3 2 4 3" xfId="16818"/>
    <cellStyle name="Comma 8 5 3 2 5" xfId="3461"/>
    <cellStyle name="Comma 8 5 3 2 5 2" xfId="11418"/>
    <cellStyle name="Comma 8 5 3 2 5 2 2" xfId="17957"/>
    <cellStyle name="Comma 8 5 3 2 5 3" xfId="15105"/>
    <cellStyle name="Comma 8 5 3 2 6" xfId="2883"/>
    <cellStyle name="Comma 8 5 3 2 6 2" xfId="14531"/>
    <cellStyle name="Comma 8 5 3 2 7" xfId="10844"/>
    <cellStyle name="Comma 8 5 3 2 7 2" xfId="17383"/>
    <cellStyle name="Comma 8 5 3 2 8" xfId="13965"/>
    <cellStyle name="Comma 8 5 3 3" xfId="4577"/>
    <cellStyle name="Comma 8 5 3 3 2" xfId="11704"/>
    <cellStyle name="Comma 8 5 3 3 2 2" xfId="18243"/>
    <cellStyle name="Comma 8 5 3 3 3" xfId="15391"/>
    <cellStyle name="Comma 8 5 3 4" xfId="6849"/>
    <cellStyle name="Comma 8 5 3 4 2" xfId="12275"/>
    <cellStyle name="Comma 8 5 3 4 2 2" xfId="18814"/>
    <cellStyle name="Comma 8 5 3 4 3" xfId="15962"/>
    <cellStyle name="Comma 8 5 3 5" xfId="9121"/>
    <cellStyle name="Comma 8 5 3 5 2" xfId="12846"/>
    <cellStyle name="Comma 8 5 3 5 2 2" xfId="19385"/>
    <cellStyle name="Comma 8 5 3 5 3" xfId="16533"/>
    <cellStyle name="Comma 8 5 3 6" xfId="3176"/>
    <cellStyle name="Comma 8 5 3 6 2" xfId="11133"/>
    <cellStyle name="Comma 8 5 3 6 2 2" xfId="17672"/>
    <cellStyle name="Comma 8 5 3 6 3" xfId="14820"/>
    <cellStyle name="Comma 8 5 3 7" xfId="2603"/>
    <cellStyle name="Comma 8 5 3 7 2" xfId="14251"/>
    <cellStyle name="Comma 8 5 3 8" xfId="10564"/>
    <cellStyle name="Comma 8 5 3 8 2" xfId="17103"/>
    <cellStyle name="Comma 8 5 3 9" xfId="13680"/>
    <cellStyle name="Comma 8 5 4" xfId="703"/>
    <cellStyle name="Comma 8 5 4 2" xfId="1838"/>
    <cellStyle name="Comma 8 5 4 2 2" xfId="5258"/>
    <cellStyle name="Comma 8 5 4 2 2 2" xfId="11875"/>
    <cellStyle name="Comma 8 5 4 2 2 2 2" xfId="18414"/>
    <cellStyle name="Comma 8 5 4 2 2 3" xfId="15562"/>
    <cellStyle name="Comma 8 5 4 2 3" xfId="7530"/>
    <cellStyle name="Comma 8 5 4 2 3 2" xfId="12446"/>
    <cellStyle name="Comma 8 5 4 2 3 2 2" xfId="18985"/>
    <cellStyle name="Comma 8 5 4 2 3 3" xfId="16133"/>
    <cellStyle name="Comma 8 5 4 2 4" xfId="9802"/>
    <cellStyle name="Comma 8 5 4 2 4 2" xfId="13017"/>
    <cellStyle name="Comma 8 5 4 2 4 2 2" xfId="19556"/>
    <cellStyle name="Comma 8 5 4 2 4 3" xfId="16704"/>
    <cellStyle name="Comma 8 5 4 2 5" xfId="3347"/>
    <cellStyle name="Comma 8 5 4 2 5 2" xfId="11304"/>
    <cellStyle name="Comma 8 5 4 2 5 2 2" xfId="17843"/>
    <cellStyle name="Comma 8 5 4 2 5 3" xfId="14991"/>
    <cellStyle name="Comma 8 5 4 2 6" xfId="2771"/>
    <cellStyle name="Comma 8 5 4 2 6 2" xfId="14419"/>
    <cellStyle name="Comma 8 5 4 2 7" xfId="10732"/>
    <cellStyle name="Comma 8 5 4 2 7 2" xfId="17271"/>
    <cellStyle name="Comma 8 5 4 2 8" xfId="13851"/>
    <cellStyle name="Comma 8 5 4 3" xfId="4123"/>
    <cellStyle name="Comma 8 5 4 3 2" xfId="11590"/>
    <cellStyle name="Comma 8 5 4 3 2 2" xfId="18129"/>
    <cellStyle name="Comma 8 5 4 3 3" xfId="15277"/>
    <cellStyle name="Comma 8 5 4 4" xfId="6395"/>
    <cellStyle name="Comma 8 5 4 4 2" xfId="12161"/>
    <cellStyle name="Comma 8 5 4 4 2 2" xfId="18700"/>
    <cellStyle name="Comma 8 5 4 4 3" xfId="15848"/>
    <cellStyle name="Comma 8 5 4 5" xfId="8667"/>
    <cellStyle name="Comma 8 5 4 5 2" xfId="12732"/>
    <cellStyle name="Comma 8 5 4 5 2 2" xfId="19271"/>
    <cellStyle name="Comma 8 5 4 5 3" xfId="16419"/>
    <cellStyle name="Comma 8 5 4 6" xfId="3062"/>
    <cellStyle name="Comma 8 5 4 6 2" xfId="11019"/>
    <cellStyle name="Comma 8 5 4 6 2 2" xfId="17558"/>
    <cellStyle name="Comma 8 5 4 6 3" xfId="14706"/>
    <cellStyle name="Comma 8 5 4 7" xfId="2491"/>
    <cellStyle name="Comma 8 5 4 7 2" xfId="14139"/>
    <cellStyle name="Comma 8 5 4 8" xfId="10452"/>
    <cellStyle name="Comma 8 5 4 8 2" xfId="16991"/>
    <cellStyle name="Comma 8 5 4 9" xfId="13566"/>
    <cellStyle name="Comma 8 5 5" xfId="1384"/>
    <cellStyle name="Comma 8 5 5 2" xfId="4804"/>
    <cellStyle name="Comma 8 5 5 2 2" xfId="11761"/>
    <cellStyle name="Comma 8 5 5 2 2 2" xfId="18300"/>
    <cellStyle name="Comma 8 5 5 2 3" xfId="15448"/>
    <cellStyle name="Comma 8 5 5 3" xfId="7076"/>
    <cellStyle name="Comma 8 5 5 3 2" xfId="12332"/>
    <cellStyle name="Comma 8 5 5 3 2 2" xfId="18871"/>
    <cellStyle name="Comma 8 5 5 3 3" xfId="16019"/>
    <cellStyle name="Comma 8 5 5 4" xfId="9348"/>
    <cellStyle name="Comma 8 5 5 4 2" xfId="12903"/>
    <cellStyle name="Comma 8 5 5 4 2 2" xfId="19442"/>
    <cellStyle name="Comma 8 5 5 4 3" xfId="16590"/>
    <cellStyle name="Comma 8 5 5 5" xfId="3233"/>
    <cellStyle name="Comma 8 5 5 5 2" xfId="11190"/>
    <cellStyle name="Comma 8 5 5 5 2 2" xfId="17729"/>
    <cellStyle name="Comma 8 5 5 5 3" xfId="14877"/>
    <cellStyle name="Comma 8 5 5 6" xfId="2659"/>
    <cellStyle name="Comma 8 5 5 6 2" xfId="14307"/>
    <cellStyle name="Comma 8 5 5 7" xfId="10620"/>
    <cellStyle name="Comma 8 5 5 7 2" xfId="17159"/>
    <cellStyle name="Comma 8 5 5 8" xfId="13737"/>
    <cellStyle name="Comma 8 5 6" xfId="3669"/>
    <cellStyle name="Comma 8 5 6 2" xfId="11476"/>
    <cellStyle name="Comma 8 5 6 2 2" xfId="18015"/>
    <cellStyle name="Comma 8 5 6 3" xfId="15163"/>
    <cellStyle name="Comma 8 5 7" xfId="5941"/>
    <cellStyle name="Comma 8 5 7 2" xfId="12047"/>
    <cellStyle name="Comma 8 5 7 2 2" xfId="18586"/>
    <cellStyle name="Comma 8 5 7 3" xfId="15734"/>
    <cellStyle name="Comma 8 5 8" xfId="8213"/>
    <cellStyle name="Comma 8 5 8 2" xfId="12618"/>
    <cellStyle name="Comma 8 5 8 2 2" xfId="19157"/>
    <cellStyle name="Comma 8 5 8 3" xfId="16305"/>
    <cellStyle name="Comma 8 5 9" xfId="2948"/>
    <cellStyle name="Comma 8 5 9 2" xfId="10905"/>
    <cellStyle name="Comma 8 5 9 2 2" xfId="17444"/>
    <cellStyle name="Comma 8 5 9 3" xfId="14592"/>
    <cellStyle name="Comma 8 6" xfId="305"/>
    <cellStyle name="Comma 8 6 10" xfId="13466"/>
    <cellStyle name="Comma 8 6 2" xfId="759"/>
    <cellStyle name="Comma 8 6 2 2" xfId="1894"/>
    <cellStyle name="Comma 8 6 2 2 2" xfId="5314"/>
    <cellStyle name="Comma 8 6 2 2 2 2" xfId="11889"/>
    <cellStyle name="Comma 8 6 2 2 2 2 2" xfId="18428"/>
    <cellStyle name="Comma 8 6 2 2 2 3" xfId="15576"/>
    <cellStyle name="Comma 8 6 2 2 3" xfId="7586"/>
    <cellStyle name="Comma 8 6 2 2 3 2" xfId="12460"/>
    <cellStyle name="Comma 8 6 2 2 3 2 2" xfId="18999"/>
    <cellStyle name="Comma 8 6 2 2 3 3" xfId="16147"/>
    <cellStyle name="Comma 8 6 2 2 4" xfId="9858"/>
    <cellStyle name="Comma 8 6 2 2 4 2" xfId="13031"/>
    <cellStyle name="Comma 8 6 2 2 4 2 2" xfId="19570"/>
    <cellStyle name="Comma 8 6 2 2 4 3" xfId="16718"/>
    <cellStyle name="Comma 8 6 2 2 5" xfId="3361"/>
    <cellStyle name="Comma 8 6 2 2 5 2" xfId="11318"/>
    <cellStyle name="Comma 8 6 2 2 5 2 2" xfId="17857"/>
    <cellStyle name="Comma 8 6 2 2 5 3" xfId="15005"/>
    <cellStyle name="Comma 8 6 2 2 6" xfId="2785"/>
    <cellStyle name="Comma 8 6 2 2 6 2" xfId="14433"/>
    <cellStyle name="Comma 8 6 2 2 7" xfId="10746"/>
    <cellStyle name="Comma 8 6 2 2 7 2" xfId="17285"/>
    <cellStyle name="Comma 8 6 2 2 8" xfId="13865"/>
    <cellStyle name="Comma 8 6 2 3" xfId="4179"/>
    <cellStyle name="Comma 8 6 2 3 2" xfId="11604"/>
    <cellStyle name="Comma 8 6 2 3 2 2" xfId="18143"/>
    <cellStyle name="Comma 8 6 2 3 3" xfId="15291"/>
    <cellStyle name="Comma 8 6 2 4" xfId="6451"/>
    <cellStyle name="Comma 8 6 2 4 2" xfId="12175"/>
    <cellStyle name="Comma 8 6 2 4 2 2" xfId="18714"/>
    <cellStyle name="Comma 8 6 2 4 3" xfId="15862"/>
    <cellStyle name="Comma 8 6 2 5" xfId="8723"/>
    <cellStyle name="Comma 8 6 2 5 2" xfId="12746"/>
    <cellStyle name="Comma 8 6 2 5 2 2" xfId="19285"/>
    <cellStyle name="Comma 8 6 2 5 3" xfId="16433"/>
    <cellStyle name="Comma 8 6 2 6" xfId="3076"/>
    <cellStyle name="Comma 8 6 2 6 2" xfId="11033"/>
    <cellStyle name="Comma 8 6 2 6 2 2" xfId="17572"/>
    <cellStyle name="Comma 8 6 2 6 3" xfId="14720"/>
    <cellStyle name="Comma 8 6 2 7" xfId="2505"/>
    <cellStyle name="Comma 8 6 2 7 2" xfId="14153"/>
    <cellStyle name="Comma 8 6 2 8" xfId="10466"/>
    <cellStyle name="Comma 8 6 2 8 2" xfId="17005"/>
    <cellStyle name="Comma 8 6 2 9" xfId="13580"/>
    <cellStyle name="Comma 8 6 3" xfId="1440"/>
    <cellStyle name="Comma 8 6 3 2" xfId="4860"/>
    <cellStyle name="Comma 8 6 3 2 2" xfId="11775"/>
    <cellStyle name="Comma 8 6 3 2 2 2" xfId="18314"/>
    <cellStyle name="Comma 8 6 3 2 3" xfId="15462"/>
    <cellStyle name="Comma 8 6 3 3" xfId="7132"/>
    <cellStyle name="Comma 8 6 3 3 2" xfId="12346"/>
    <cellStyle name="Comma 8 6 3 3 2 2" xfId="18885"/>
    <cellStyle name="Comma 8 6 3 3 3" xfId="16033"/>
    <cellStyle name="Comma 8 6 3 4" xfId="9404"/>
    <cellStyle name="Comma 8 6 3 4 2" xfId="12917"/>
    <cellStyle name="Comma 8 6 3 4 2 2" xfId="19456"/>
    <cellStyle name="Comma 8 6 3 4 3" xfId="16604"/>
    <cellStyle name="Comma 8 6 3 5" xfId="3247"/>
    <cellStyle name="Comma 8 6 3 5 2" xfId="11204"/>
    <cellStyle name="Comma 8 6 3 5 2 2" xfId="17743"/>
    <cellStyle name="Comma 8 6 3 5 3" xfId="14891"/>
    <cellStyle name="Comma 8 6 3 6" xfId="2673"/>
    <cellStyle name="Comma 8 6 3 6 2" xfId="14321"/>
    <cellStyle name="Comma 8 6 3 7" xfId="10634"/>
    <cellStyle name="Comma 8 6 3 7 2" xfId="17173"/>
    <cellStyle name="Comma 8 6 3 8" xfId="13751"/>
    <cellStyle name="Comma 8 6 4" xfId="3725"/>
    <cellStyle name="Comma 8 6 4 2" xfId="11490"/>
    <cellStyle name="Comma 8 6 4 2 2" xfId="18029"/>
    <cellStyle name="Comma 8 6 4 3" xfId="15177"/>
    <cellStyle name="Comma 8 6 5" xfId="5997"/>
    <cellStyle name="Comma 8 6 5 2" xfId="12061"/>
    <cellStyle name="Comma 8 6 5 2 2" xfId="18600"/>
    <cellStyle name="Comma 8 6 5 3" xfId="15748"/>
    <cellStyle name="Comma 8 6 6" xfId="8269"/>
    <cellStyle name="Comma 8 6 6 2" xfId="12632"/>
    <cellStyle name="Comma 8 6 6 2 2" xfId="19171"/>
    <cellStyle name="Comma 8 6 6 3" xfId="16319"/>
    <cellStyle name="Comma 8 6 7" xfId="2962"/>
    <cellStyle name="Comma 8 6 7 2" xfId="10919"/>
    <cellStyle name="Comma 8 6 7 2 2" xfId="17458"/>
    <cellStyle name="Comma 8 6 7 3" xfId="14606"/>
    <cellStyle name="Comma 8 6 8" xfId="2393"/>
    <cellStyle name="Comma 8 6 8 2" xfId="14041"/>
    <cellStyle name="Comma 8 6 9" xfId="10354"/>
    <cellStyle name="Comma 8 6 9 2" xfId="16893"/>
    <cellStyle name="Comma 8 7" xfId="986"/>
    <cellStyle name="Comma 8 7 2" xfId="2121"/>
    <cellStyle name="Comma 8 7 2 2" xfId="5541"/>
    <cellStyle name="Comma 8 7 2 2 2" xfId="11946"/>
    <cellStyle name="Comma 8 7 2 2 2 2" xfId="18485"/>
    <cellStyle name="Comma 8 7 2 2 3" xfId="15633"/>
    <cellStyle name="Comma 8 7 2 3" xfId="7813"/>
    <cellStyle name="Comma 8 7 2 3 2" xfId="12517"/>
    <cellStyle name="Comma 8 7 2 3 2 2" xfId="19056"/>
    <cellStyle name="Comma 8 7 2 3 3" xfId="16204"/>
    <cellStyle name="Comma 8 7 2 4" xfId="10085"/>
    <cellStyle name="Comma 8 7 2 4 2" xfId="13088"/>
    <cellStyle name="Comma 8 7 2 4 2 2" xfId="19627"/>
    <cellStyle name="Comma 8 7 2 4 3" xfId="16775"/>
    <cellStyle name="Comma 8 7 2 5" xfId="3418"/>
    <cellStyle name="Comma 8 7 2 5 2" xfId="11375"/>
    <cellStyle name="Comma 8 7 2 5 2 2" xfId="17914"/>
    <cellStyle name="Comma 8 7 2 5 3" xfId="15062"/>
    <cellStyle name="Comma 8 7 2 6" xfId="2841"/>
    <cellStyle name="Comma 8 7 2 6 2" xfId="14489"/>
    <cellStyle name="Comma 8 7 2 7" xfId="10802"/>
    <cellStyle name="Comma 8 7 2 7 2" xfId="17341"/>
    <cellStyle name="Comma 8 7 2 8" xfId="13922"/>
    <cellStyle name="Comma 8 7 3" xfId="4406"/>
    <cellStyle name="Comma 8 7 3 2" xfId="11661"/>
    <cellStyle name="Comma 8 7 3 2 2" xfId="18200"/>
    <cellStyle name="Comma 8 7 3 3" xfId="15348"/>
    <cellStyle name="Comma 8 7 4" xfId="6678"/>
    <cellStyle name="Comma 8 7 4 2" xfId="12232"/>
    <cellStyle name="Comma 8 7 4 2 2" xfId="18771"/>
    <cellStyle name="Comma 8 7 4 3" xfId="15919"/>
    <cellStyle name="Comma 8 7 5" xfId="8950"/>
    <cellStyle name="Comma 8 7 5 2" xfId="12803"/>
    <cellStyle name="Comma 8 7 5 2 2" xfId="19342"/>
    <cellStyle name="Comma 8 7 5 3" xfId="16490"/>
    <cellStyle name="Comma 8 7 6" xfId="3133"/>
    <cellStyle name="Comma 8 7 6 2" xfId="11090"/>
    <cellStyle name="Comma 8 7 6 2 2" xfId="17629"/>
    <cellStyle name="Comma 8 7 6 3" xfId="14777"/>
    <cellStyle name="Comma 8 7 7" xfId="2561"/>
    <cellStyle name="Comma 8 7 7 2" xfId="14209"/>
    <cellStyle name="Comma 8 7 8" xfId="10522"/>
    <cellStyle name="Comma 8 7 8 2" xfId="17061"/>
    <cellStyle name="Comma 8 7 9" xfId="13637"/>
    <cellStyle name="Comma 8 8" xfId="532"/>
    <cellStyle name="Comma 8 8 2" xfId="1667"/>
    <cellStyle name="Comma 8 8 2 2" xfId="5087"/>
    <cellStyle name="Comma 8 8 2 2 2" xfId="11832"/>
    <cellStyle name="Comma 8 8 2 2 2 2" xfId="18371"/>
    <cellStyle name="Comma 8 8 2 2 3" xfId="15519"/>
    <cellStyle name="Comma 8 8 2 3" xfId="7359"/>
    <cellStyle name="Comma 8 8 2 3 2" xfId="12403"/>
    <cellStyle name="Comma 8 8 2 3 2 2" xfId="18942"/>
    <cellStyle name="Comma 8 8 2 3 3" xfId="16090"/>
    <cellStyle name="Comma 8 8 2 4" xfId="9631"/>
    <cellStyle name="Comma 8 8 2 4 2" xfId="12974"/>
    <cellStyle name="Comma 8 8 2 4 2 2" xfId="19513"/>
    <cellStyle name="Comma 8 8 2 4 3" xfId="16661"/>
    <cellStyle name="Comma 8 8 2 5" xfId="3304"/>
    <cellStyle name="Comma 8 8 2 5 2" xfId="11261"/>
    <cellStyle name="Comma 8 8 2 5 2 2" xfId="17800"/>
    <cellStyle name="Comma 8 8 2 5 3" xfId="14948"/>
    <cellStyle name="Comma 8 8 2 6" xfId="2729"/>
    <cellStyle name="Comma 8 8 2 6 2" xfId="14377"/>
    <cellStyle name="Comma 8 8 2 7" xfId="10690"/>
    <cellStyle name="Comma 8 8 2 7 2" xfId="17229"/>
    <cellStyle name="Comma 8 8 2 8" xfId="13808"/>
    <cellStyle name="Comma 8 8 3" xfId="3952"/>
    <cellStyle name="Comma 8 8 3 2" xfId="11547"/>
    <cellStyle name="Comma 8 8 3 2 2" xfId="18086"/>
    <cellStyle name="Comma 8 8 3 3" xfId="15234"/>
    <cellStyle name="Comma 8 8 4" xfId="6224"/>
    <cellStyle name="Comma 8 8 4 2" xfId="12118"/>
    <cellStyle name="Comma 8 8 4 2 2" xfId="18657"/>
    <cellStyle name="Comma 8 8 4 3" xfId="15805"/>
    <cellStyle name="Comma 8 8 5" xfId="8496"/>
    <cellStyle name="Comma 8 8 5 2" xfId="12689"/>
    <cellStyle name="Comma 8 8 5 2 2" xfId="19228"/>
    <cellStyle name="Comma 8 8 5 3" xfId="16376"/>
    <cellStyle name="Comma 8 8 6" xfId="3019"/>
    <cellStyle name="Comma 8 8 6 2" xfId="10976"/>
    <cellStyle name="Comma 8 8 6 2 2" xfId="17515"/>
    <cellStyle name="Comma 8 8 6 3" xfId="14663"/>
    <cellStyle name="Comma 8 8 7" xfId="2449"/>
    <cellStyle name="Comma 8 8 7 2" xfId="14097"/>
    <cellStyle name="Comma 8 8 8" xfId="10410"/>
    <cellStyle name="Comma 8 8 8 2" xfId="16949"/>
    <cellStyle name="Comma 8 8 9" xfId="13523"/>
    <cellStyle name="Comma 8 9" xfId="1213"/>
    <cellStyle name="Comma 8 9 2" xfId="4633"/>
    <cellStyle name="Comma 8 9 2 2" xfId="11718"/>
    <cellStyle name="Comma 8 9 2 2 2" xfId="18257"/>
    <cellStyle name="Comma 8 9 2 3" xfId="15405"/>
    <cellStyle name="Comma 8 9 3" xfId="6905"/>
    <cellStyle name="Comma 8 9 3 2" xfId="12289"/>
    <cellStyle name="Comma 8 9 3 2 2" xfId="18828"/>
    <cellStyle name="Comma 8 9 3 3" xfId="15976"/>
    <cellStyle name="Comma 8 9 4" xfId="9177"/>
    <cellStyle name="Comma 8 9 4 2" xfId="12860"/>
    <cellStyle name="Comma 8 9 4 2 2" xfId="19399"/>
    <cellStyle name="Comma 8 9 4 3" xfId="16547"/>
    <cellStyle name="Comma 8 9 5" xfId="3190"/>
    <cellStyle name="Comma 8 9 5 2" xfId="11147"/>
    <cellStyle name="Comma 8 9 5 2 2" xfId="17686"/>
    <cellStyle name="Comma 8 9 5 3" xfId="14834"/>
    <cellStyle name="Comma 8 9 6" xfId="2617"/>
    <cellStyle name="Comma 8 9 6 2" xfId="14265"/>
    <cellStyle name="Comma 8 9 7" xfId="10578"/>
    <cellStyle name="Comma 8 9 7 2" xfId="17117"/>
    <cellStyle name="Comma 8 9 8" xfId="13694"/>
    <cellStyle name="Comma 9" xfId="67"/>
    <cellStyle name="Comma 9 10" xfId="3500"/>
    <cellStyle name="Comma 9 10 2" xfId="11434"/>
    <cellStyle name="Comma 9 10 2 2" xfId="17973"/>
    <cellStyle name="Comma 9 10 3" xfId="15121"/>
    <cellStyle name="Comma 9 11" xfId="5772"/>
    <cellStyle name="Comma 9 11 2" xfId="12005"/>
    <cellStyle name="Comma 9 11 2 2" xfId="18544"/>
    <cellStyle name="Comma 9 11 3" xfId="15692"/>
    <cellStyle name="Comma 9 12" xfId="8044"/>
    <cellStyle name="Comma 9 12 2" xfId="12576"/>
    <cellStyle name="Comma 9 12 2 2" xfId="19115"/>
    <cellStyle name="Comma 9 12 3" xfId="16263"/>
    <cellStyle name="Comma 9 13" xfId="2901"/>
    <cellStyle name="Comma 9 13 2" xfId="10861"/>
    <cellStyle name="Comma 9 13 2 2" xfId="17400"/>
    <cellStyle name="Comma 9 13 3" xfId="14548"/>
    <cellStyle name="Comma 9 14" xfId="2336"/>
    <cellStyle name="Comma 9 14 2" xfId="13984"/>
    <cellStyle name="Comma 9 15" xfId="10297"/>
    <cellStyle name="Comma 9 15 2" xfId="16836"/>
    <cellStyle name="Comma 9 16" xfId="13265"/>
    <cellStyle name="Comma 9 16 2" xfId="19774"/>
    <cellStyle name="Comma 9 17" xfId="13408"/>
    <cellStyle name="Comma 9 2" xfId="97"/>
    <cellStyle name="Comma 9 2 10" xfId="5800"/>
    <cellStyle name="Comma 9 2 10 2" xfId="12012"/>
    <cellStyle name="Comma 9 2 10 2 2" xfId="18551"/>
    <cellStyle name="Comma 9 2 10 3" xfId="15699"/>
    <cellStyle name="Comma 9 2 11" xfId="8072"/>
    <cellStyle name="Comma 9 2 11 2" xfId="12583"/>
    <cellStyle name="Comma 9 2 11 2 2" xfId="19122"/>
    <cellStyle name="Comma 9 2 11 3" xfId="16270"/>
    <cellStyle name="Comma 9 2 12" xfId="2910"/>
    <cellStyle name="Comma 9 2 12 2" xfId="10869"/>
    <cellStyle name="Comma 9 2 12 2 2" xfId="17408"/>
    <cellStyle name="Comma 9 2 12 3" xfId="14556"/>
    <cellStyle name="Comma 9 2 13" xfId="2344"/>
    <cellStyle name="Comma 9 2 13 2" xfId="13992"/>
    <cellStyle name="Comma 9 2 14" xfId="10305"/>
    <cellStyle name="Comma 9 2 14 2" xfId="16844"/>
    <cellStyle name="Comma 9 2 15" xfId="13266"/>
    <cellStyle name="Comma 9 2 15 2" xfId="19775"/>
    <cellStyle name="Comma 9 2 16" xfId="13416"/>
    <cellStyle name="Comma 9 2 2" xfId="209"/>
    <cellStyle name="Comma 9 2 2 10" xfId="2372"/>
    <cellStyle name="Comma 9 2 2 10 2" xfId="14020"/>
    <cellStyle name="Comma 9 2 2 11" xfId="10333"/>
    <cellStyle name="Comma 9 2 2 11 2" xfId="16872"/>
    <cellStyle name="Comma 9 2 2 12" xfId="13444"/>
    <cellStyle name="Comma 9 2 2 2" xfId="447"/>
    <cellStyle name="Comma 9 2 2 2 10" xfId="13502"/>
    <cellStyle name="Comma 9 2 2 2 2" xfId="901"/>
    <cellStyle name="Comma 9 2 2 2 2 2" xfId="2036"/>
    <cellStyle name="Comma 9 2 2 2 2 2 2" xfId="5456"/>
    <cellStyle name="Comma 9 2 2 2 2 2 2 2" xfId="11925"/>
    <cellStyle name="Comma 9 2 2 2 2 2 2 2 2" xfId="18464"/>
    <cellStyle name="Comma 9 2 2 2 2 2 2 3" xfId="15612"/>
    <cellStyle name="Comma 9 2 2 2 2 2 3" xfId="7728"/>
    <cellStyle name="Comma 9 2 2 2 2 2 3 2" xfId="12496"/>
    <cellStyle name="Comma 9 2 2 2 2 2 3 2 2" xfId="19035"/>
    <cellStyle name="Comma 9 2 2 2 2 2 3 3" xfId="16183"/>
    <cellStyle name="Comma 9 2 2 2 2 2 4" xfId="10000"/>
    <cellStyle name="Comma 9 2 2 2 2 2 4 2" xfId="13067"/>
    <cellStyle name="Comma 9 2 2 2 2 2 4 2 2" xfId="19606"/>
    <cellStyle name="Comma 9 2 2 2 2 2 4 3" xfId="16754"/>
    <cellStyle name="Comma 9 2 2 2 2 2 5" xfId="3397"/>
    <cellStyle name="Comma 9 2 2 2 2 2 5 2" xfId="11354"/>
    <cellStyle name="Comma 9 2 2 2 2 2 5 2 2" xfId="17893"/>
    <cellStyle name="Comma 9 2 2 2 2 2 5 3" xfId="15041"/>
    <cellStyle name="Comma 9 2 2 2 2 2 6" xfId="2821"/>
    <cellStyle name="Comma 9 2 2 2 2 2 6 2" xfId="14469"/>
    <cellStyle name="Comma 9 2 2 2 2 2 7" xfId="10782"/>
    <cellStyle name="Comma 9 2 2 2 2 2 7 2" xfId="17321"/>
    <cellStyle name="Comma 9 2 2 2 2 2 8" xfId="13901"/>
    <cellStyle name="Comma 9 2 2 2 2 3" xfId="4321"/>
    <cellStyle name="Comma 9 2 2 2 2 3 2" xfId="11640"/>
    <cellStyle name="Comma 9 2 2 2 2 3 2 2" xfId="18179"/>
    <cellStyle name="Comma 9 2 2 2 2 3 3" xfId="15327"/>
    <cellStyle name="Comma 9 2 2 2 2 4" xfId="6593"/>
    <cellStyle name="Comma 9 2 2 2 2 4 2" xfId="12211"/>
    <cellStyle name="Comma 9 2 2 2 2 4 2 2" xfId="18750"/>
    <cellStyle name="Comma 9 2 2 2 2 4 3" xfId="15898"/>
    <cellStyle name="Comma 9 2 2 2 2 5" xfId="8865"/>
    <cellStyle name="Comma 9 2 2 2 2 5 2" xfId="12782"/>
    <cellStyle name="Comma 9 2 2 2 2 5 2 2" xfId="19321"/>
    <cellStyle name="Comma 9 2 2 2 2 5 3" xfId="16469"/>
    <cellStyle name="Comma 9 2 2 2 2 6" xfId="3112"/>
    <cellStyle name="Comma 9 2 2 2 2 6 2" xfId="11069"/>
    <cellStyle name="Comma 9 2 2 2 2 6 2 2" xfId="17608"/>
    <cellStyle name="Comma 9 2 2 2 2 6 3" xfId="14756"/>
    <cellStyle name="Comma 9 2 2 2 2 7" xfId="2541"/>
    <cellStyle name="Comma 9 2 2 2 2 7 2" xfId="14189"/>
    <cellStyle name="Comma 9 2 2 2 2 8" xfId="10502"/>
    <cellStyle name="Comma 9 2 2 2 2 8 2" xfId="17041"/>
    <cellStyle name="Comma 9 2 2 2 2 9" xfId="13616"/>
    <cellStyle name="Comma 9 2 2 2 3" xfId="1582"/>
    <cellStyle name="Comma 9 2 2 2 3 2" xfId="5002"/>
    <cellStyle name="Comma 9 2 2 2 3 2 2" xfId="11811"/>
    <cellStyle name="Comma 9 2 2 2 3 2 2 2" xfId="18350"/>
    <cellStyle name="Comma 9 2 2 2 3 2 3" xfId="15498"/>
    <cellStyle name="Comma 9 2 2 2 3 3" xfId="7274"/>
    <cellStyle name="Comma 9 2 2 2 3 3 2" xfId="12382"/>
    <cellStyle name="Comma 9 2 2 2 3 3 2 2" xfId="18921"/>
    <cellStyle name="Comma 9 2 2 2 3 3 3" xfId="16069"/>
    <cellStyle name="Comma 9 2 2 2 3 4" xfId="9546"/>
    <cellStyle name="Comma 9 2 2 2 3 4 2" xfId="12953"/>
    <cellStyle name="Comma 9 2 2 2 3 4 2 2" xfId="19492"/>
    <cellStyle name="Comma 9 2 2 2 3 4 3" xfId="16640"/>
    <cellStyle name="Comma 9 2 2 2 3 5" xfId="3283"/>
    <cellStyle name="Comma 9 2 2 2 3 5 2" xfId="11240"/>
    <cellStyle name="Comma 9 2 2 2 3 5 2 2" xfId="17779"/>
    <cellStyle name="Comma 9 2 2 2 3 5 3" xfId="14927"/>
    <cellStyle name="Comma 9 2 2 2 3 6" xfId="2709"/>
    <cellStyle name="Comma 9 2 2 2 3 6 2" xfId="14357"/>
    <cellStyle name="Comma 9 2 2 2 3 7" xfId="10670"/>
    <cellStyle name="Comma 9 2 2 2 3 7 2" xfId="17209"/>
    <cellStyle name="Comma 9 2 2 2 3 8" xfId="13787"/>
    <cellStyle name="Comma 9 2 2 2 4" xfId="3867"/>
    <cellStyle name="Comma 9 2 2 2 4 2" xfId="11526"/>
    <cellStyle name="Comma 9 2 2 2 4 2 2" xfId="18065"/>
    <cellStyle name="Comma 9 2 2 2 4 3" xfId="15213"/>
    <cellStyle name="Comma 9 2 2 2 5" xfId="6139"/>
    <cellStyle name="Comma 9 2 2 2 5 2" xfId="12097"/>
    <cellStyle name="Comma 9 2 2 2 5 2 2" xfId="18636"/>
    <cellStyle name="Comma 9 2 2 2 5 3" xfId="15784"/>
    <cellStyle name="Comma 9 2 2 2 6" xfId="8411"/>
    <cellStyle name="Comma 9 2 2 2 6 2" xfId="12668"/>
    <cellStyle name="Comma 9 2 2 2 6 2 2" xfId="19207"/>
    <cellStyle name="Comma 9 2 2 2 6 3" xfId="16355"/>
    <cellStyle name="Comma 9 2 2 2 7" xfId="2998"/>
    <cellStyle name="Comma 9 2 2 2 7 2" xfId="10955"/>
    <cellStyle name="Comma 9 2 2 2 7 2 2" xfId="17494"/>
    <cellStyle name="Comma 9 2 2 2 7 3" xfId="14642"/>
    <cellStyle name="Comma 9 2 2 2 8" xfId="2429"/>
    <cellStyle name="Comma 9 2 2 2 8 2" xfId="14077"/>
    <cellStyle name="Comma 9 2 2 2 9" xfId="10390"/>
    <cellStyle name="Comma 9 2 2 2 9 2" xfId="16929"/>
    <cellStyle name="Comma 9 2 2 3" xfId="1128"/>
    <cellStyle name="Comma 9 2 2 3 2" xfId="2263"/>
    <cellStyle name="Comma 9 2 2 3 2 2" xfId="5683"/>
    <cellStyle name="Comma 9 2 2 3 2 2 2" xfId="11982"/>
    <cellStyle name="Comma 9 2 2 3 2 2 2 2" xfId="18521"/>
    <cellStyle name="Comma 9 2 2 3 2 2 3" xfId="15669"/>
    <cellStyle name="Comma 9 2 2 3 2 3" xfId="7955"/>
    <cellStyle name="Comma 9 2 2 3 2 3 2" xfId="12553"/>
    <cellStyle name="Comma 9 2 2 3 2 3 2 2" xfId="19092"/>
    <cellStyle name="Comma 9 2 2 3 2 3 3" xfId="16240"/>
    <cellStyle name="Comma 9 2 2 3 2 4" xfId="10227"/>
    <cellStyle name="Comma 9 2 2 3 2 4 2" xfId="13124"/>
    <cellStyle name="Comma 9 2 2 3 2 4 2 2" xfId="19663"/>
    <cellStyle name="Comma 9 2 2 3 2 4 3" xfId="16811"/>
    <cellStyle name="Comma 9 2 2 3 2 5" xfId="3454"/>
    <cellStyle name="Comma 9 2 2 3 2 5 2" xfId="11411"/>
    <cellStyle name="Comma 9 2 2 3 2 5 2 2" xfId="17950"/>
    <cellStyle name="Comma 9 2 2 3 2 5 3" xfId="15098"/>
    <cellStyle name="Comma 9 2 2 3 2 6" xfId="2877"/>
    <cellStyle name="Comma 9 2 2 3 2 6 2" xfId="14525"/>
    <cellStyle name="Comma 9 2 2 3 2 7" xfId="10838"/>
    <cellStyle name="Comma 9 2 2 3 2 7 2" xfId="17377"/>
    <cellStyle name="Comma 9 2 2 3 2 8" xfId="13958"/>
    <cellStyle name="Comma 9 2 2 3 3" xfId="4548"/>
    <cellStyle name="Comma 9 2 2 3 3 2" xfId="11697"/>
    <cellStyle name="Comma 9 2 2 3 3 2 2" xfId="18236"/>
    <cellStyle name="Comma 9 2 2 3 3 3" xfId="15384"/>
    <cellStyle name="Comma 9 2 2 3 4" xfId="6820"/>
    <cellStyle name="Comma 9 2 2 3 4 2" xfId="12268"/>
    <cellStyle name="Comma 9 2 2 3 4 2 2" xfId="18807"/>
    <cellStyle name="Comma 9 2 2 3 4 3" xfId="15955"/>
    <cellStyle name="Comma 9 2 2 3 5" xfId="9092"/>
    <cellStyle name="Comma 9 2 2 3 5 2" xfId="12839"/>
    <cellStyle name="Comma 9 2 2 3 5 2 2" xfId="19378"/>
    <cellStyle name="Comma 9 2 2 3 5 3" xfId="16526"/>
    <cellStyle name="Comma 9 2 2 3 6" xfId="3169"/>
    <cellStyle name="Comma 9 2 2 3 6 2" xfId="11126"/>
    <cellStyle name="Comma 9 2 2 3 6 2 2" xfId="17665"/>
    <cellStyle name="Comma 9 2 2 3 6 3" xfId="14813"/>
    <cellStyle name="Comma 9 2 2 3 7" xfId="2597"/>
    <cellStyle name="Comma 9 2 2 3 7 2" xfId="14245"/>
    <cellStyle name="Comma 9 2 2 3 8" xfId="10558"/>
    <cellStyle name="Comma 9 2 2 3 8 2" xfId="17097"/>
    <cellStyle name="Comma 9 2 2 3 9" xfId="13673"/>
    <cellStyle name="Comma 9 2 2 4" xfId="674"/>
    <cellStyle name="Comma 9 2 2 4 2" xfId="1809"/>
    <cellStyle name="Comma 9 2 2 4 2 2" xfId="5229"/>
    <cellStyle name="Comma 9 2 2 4 2 2 2" xfId="11868"/>
    <cellStyle name="Comma 9 2 2 4 2 2 2 2" xfId="18407"/>
    <cellStyle name="Comma 9 2 2 4 2 2 3" xfId="15555"/>
    <cellStyle name="Comma 9 2 2 4 2 3" xfId="7501"/>
    <cellStyle name="Comma 9 2 2 4 2 3 2" xfId="12439"/>
    <cellStyle name="Comma 9 2 2 4 2 3 2 2" xfId="18978"/>
    <cellStyle name="Comma 9 2 2 4 2 3 3" xfId="16126"/>
    <cellStyle name="Comma 9 2 2 4 2 4" xfId="9773"/>
    <cellStyle name="Comma 9 2 2 4 2 4 2" xfId="13010"/>
    <cellStyle name="Comma 9 2 2 4 2 4 2 2" xfId="19549"/>
    <cellStyle name="Comma 9 2 2 4 2 4 3" xfId="16697"/>
    <cellStyle name="Comma 9 2 2 4 2 5" xfId="3340"/>
    <cellStyle name="Comma 9 2 2 4 2 5 2" xfId="11297"/>
    <cellStyle name="Comma 9 2 2 4 2 5 2 2" xfId="17836"/>
    <cellStyle name="Comma 9 2 2 4 2 5 3" xfId="14984"/>
    <cellStyle name="Comma 9 2 2 4 2 6" xfId="2765"/>
    <cellStyle name="Comma 9 2 2 4 2 6 2" xfId="14413"/>
    <cellStyle name="Comma 9 2 2 4 2 7" xfId="10726"/>
    <cellStyle name="Comma 9 2 2 4 2 7 2" xfId="17265"/>
    <cellStyle name="Comma 9 2 2 4 2 8" xfId="13844"/>
    <cellStyle name="Comma 9 2 2 4 3" xfId="4094"/>
    <cellStyle name="Comma 9 2 2 4 3 2" xfId="11583"/>
    <cellStyle name="Comma 9 2 2 4 3 2 2" xfId="18122"/>
    <cellStyle name="Comma 9 2 2 4 3 3" xfId="15270"/>
    <cellStyle name="Comma 9 2 2 4 4" xfId="6366"/>
    <cellStyle name="Comma 9 2 2 4 4 2" xfId="12154"/>
    <cellStyle name="Comma 9 2 2 4 4 2 2" xfId="18693"/>
    <cellStyle name="Comma 9 2 2 4 4 3" xfId="15841"/>
    <cellStyle name="Comma 9 2 2 4 5" xfId="8638"/>
    <cellStyle name="Comma 9 2 2 4 5 2" xfId="12725"/>
    <cellStyle name="Comma 9 2 2 4 5 2 2" xfId="19264"/>
    <cellStyle name="Comma 9 2 2 4 5 3" xfId="16412"/>
    <cellStyle name="Comma 9 2 2 4 6" xfId="3055"/>
    <cellStyle name="Comma 9 2 2 4 6 2" xfId="11012"/>
    <cellStyle name="Comma 9 2 2 4 6 2 2" xfId="17551"/>
    <cellStyle name="Comma 9 2 2 4 6 3" xfId="14699"/>
    <cellStyle name="Comma 9 2 2 4 7" xfId="2485"/>
    <cellStyle name="Comma 9 2 2 4 7 2" xfId="14133"/>
    <cellStyle name="Comma 9 2 2 4 8" xfId="10446"/>
    <cellStyle name="Comma 9 2 2 4 8 2" xfId="16985"/>
    <cellStyle name="Comma 9 2 2 4 9" xfId="13559"/>
    <cellStyle name="Comma 9 2 2 5" xfId="1355"/>
    <cellStyle name="Comma 9 2 2 5 2" xfId="4775"/>
    <cellStyle name="Comma 9 2 2 5 2 2" xfId="11754"/>
    <cellStyle name="Comma 9 2 2 5 2 2 2" xfId="18293"/>
    <cellStyle name="Comma 9 2 2 5 2 3" xfId="15441"/>
    <cellStyle name="Comma 9 2 2 5 3" xfId="7047"/>
    <cellStyle name="Comma 9 2 2 5 3 2" xfId="12325"/>
    <cellStyle name="Comma 9 2 2 5 3 2 2" xfId="18864"/>
    <cellStyle name="Comma 9 2 2 5 3 3" xfId="16012"/>
    <cellStyle name="Comma 9 2 2 5 4" xfId="9319"/>
    <cellStyle name="Comma 9 2 2 5 4 2" xfId="12896"/>
    <cellStyle name="Comma 9 2 2 5 4 2 2" xfId="19435"/>
    <cellStyle name="Comma 9 2 2 5 4 3" xfId="16583"/>
    <cellStyle name="Comma 9 2 2 5 5" xfId="3226"/>
    <cellStyle name="Comma 9 2 2 5 5 2" xfId="11183"/>
    <cellStyle name="Comma 9 2 2 5 5 2 2" xfId="17722"/>
    <cellStyle name="Comma 9 2 2 5 5 3" xfId="14870"/>
    <cellStyle name="Comma 9 2 2 5 6" xfId="2653"/>
    <cellStyle name="Comma 9 2 2 5 6 2" xfId="14301"/>
    <cellStyle name="Comma 9 2 2 5 7" xfId="10614"/>
    <cellStyle name="Comma 9 2 2 5 7 2" xfId="17153"/>
    <cellStyle name="Comma 9 2 2 5 8" xfId="13730"/>
    <cellStyle name="Comma 9 2 2 6" xfId="3640"/>
    <cellStyle name="Comma 9 2 2 6 2" xfId="11469"/>
    <cellStyle name="Comma 9 2 2 6 2 2" xfId="18008"/>
    <cellStyle name="Comma 9 2 2 6 3" xfId="15156"/>
    <cellStyle name="Comma 9 2 2 7" xfId="5912"/>
    <cellStyle name="Comma 9 2 2 7 2" xfId="12040"/>
    <cellStyle name="Comma 9 2 2 7 2 2" xfId="18579"/>
    <cellStyle name="Comma 9 2 2 7 3" xfId="15727"/>
    <cellStyle name="Comma 9 2 2 8" xfId="8184"/>
    <cellStyle name="Comma 9 2 2 8 2" xfId="12611"/>
    <cellStyle name="Comma 9 2 2 8 2 2" xfId="19150"/>
    <cellStyle name="Comma 9 2 2 8 3" xfId="16298"/>
    <cellStyle name="Comma 9 2 2 9" xfId="2938"/>
    <cellStyle name="Comma 9 2 2 9 2" xfId="10897"/>
    <cellStyle name="Comma 9 2 2 9 2 2" xfId="17436"/>
    <cellStyle name="Comma 9 2 2 9 3" xfId="14584"/>
    <cellStyle name="Comma 9 2 3" xfId="153"/>
    <cellStyle name="Comma 9 2 3 10" xfId="2358"/>
    <cellStyle name="Comma 9 2 3 10 2" xfId="14006"/>
    <cellStyle name="Comma 9 2 3 11" xfId="10319"/>
    <cellStyle name="Comma 9 2 3 11 2" xfId="16858"/>
    <cellStyle name="Comma 9 2 3 12" xfId="13430"/>
    <cellStyle name="Comma 9 2 3 2" xfId="391"/>
    <cellStyle name="Comma 9 2 3 2 10" xfId="13488"/>
    <cellStyle name="Comma 9 2 3 2 2" xfId="845"/>
    <cellStyle name="Comma 9 2 3 2 2 2" xfId="1980"/>
    <cellStyle name="Comma 9 2 3 2 2 2 2" xfId="5400"/>
    <cellStyle name="Comma 9 2 3 2 2 2 2 2" xfId="11911"/>
    <cellStyle name="Comma 9 2 3 2 2 2 2 2 2" xfId="18450"/>
    <cellStyle name="Comma 9 2 3 2 2 2 2 3" xfId="15598"/>
    <cellStyle name="Comma 9 2 3 2 2 2 3" xfId="7672"/>
    <cellStyle name="Comma 9 2 3 2 2 2 3 2" xfId="12482"/>
    <cellStyle name="Comma 9 2 3 2 2 2 3 2 2" xfId="19021"/>
    <cellStyle name="Comma 9 2 3 2 2 2 3 3" xfId="16169"/>
    <cellStyle name="Comma 9 2 3 2 2 2 4" xfId="9944"/>
    <cellStyle name="Comma 9 2 3 2 2 2 4 2" xfId="13053"/>
    <cellStyle name="Comma 9 2 3 2 2 2 4 2 2" xfId="19592"/>
    <cellStyle name="Comma 9 2 3 2 2 2 4 3" xfId="16740"/>
    <cellStyle name="Comma 9 2 3 2 2 2 5" xfId="3383"/>
    <cellStyle name="Comma 9 2 3 2 2 2 5 2" xfId="11340"/>
    <cellStyle name="Comma 9 2 3 2 2 2 5 2 2" xfId="17879"/>
    <cellStyle name="Comma 9 2 3 2 2 2 5 3" xfId="15027"/>
    <cellStyle name="Comma 9 2 3 2 2 2 6" xfId="2807"/>
    <cellStyle name="Comma 9 2 3 2 2 2 6 2" xfId="14455"/>
    <cellStyle name="Comma 9 2 3 2 2 2 7" xfId="10768"/>
    <cellStyle name="Comma 9 2 3 2 2 2 7 2" xfId="17307"/>
    <cellStyle name="Comma 9 2 3 2 2 2 8" xfId="13887"/>
    <cellStyle name="Comma 9 2 3 2 2 3" xfId="4265"/>
    <cellStyle name="Comma 9 2 3 2 2 3 2" xfId="11626"/>
    <cellStyle name="Comma 9 2 3 2 2 3 2 2" xfId="18165"/>
    <cellStyle name="Comma 9 2 3 2 2 3 3" xfId="15313"/>
    <cellStyle name="Comma 9 2 3 2 2 4" xfId="6537"/>
    <cellStyle name="Comma 9 2 3 2 2 4 2" xfId="12197"/>
    <cellStyle name="Comma 9 2 3 2 2 4 2 2" xfId="18736"/>
    <cellStyle name="Comma 9 2 3 2 2 4 3" xfId="15884"/>
    <cellStyle name="Comma 9 2 3 2 2 5" xfId="8809"/>
    <cellStyle name="Comma 9 2 3 2 2 5 2" xfId="12768"/>
    <cellStyle name="Comma 9 2 3 2 2 5 2 2" xfId="19307"/>
    <cellStyle name="Comma 9 2 3 2 2 5 3" xfId="16455"/>
    <cellStyle name="Comma 9 2 3 2 2 6" xfId="3098"/>
    <cellStyle name="Comma 9 2 3 2 2 6 2" xfId="11055"/>
    <cellStyle name="Comma 9 2 3 2 2 6 2 2" xfId="17594"/>
    <cellStyle name="Comma 9 2 3 2 2 6 3" xfId="14742"/>
    <cellStyle name="Comma 9 2 3 2 2 7" xfId="2527"/>
    <cellStyle name="Comma 9 2 3 2 2 7 2" xfId="14175"/>
    <cellStyle name="Comma 9 2 3 2 2 8" xfId="10488"/>
    <cellStyle name="Comma 9 2 3 2 2 8 2" xfId="17027"/>
    <cellStyle name="Comma 9 2 3 2 2 9" xfId="13602"/>
    <cellStyle name="Comma 9 2 3 2 3" xfId="1526"/>
    <cellStyle name="Comma 9 2 3 2 3 2" xfId="4946"/>
    <cellStyle name="Comma 9 2 3 2 3 2 2" xfId="11797"/>
    <cellStyle name="Comma 9 2 3 2 3 2 2 2" xfId="18336"/>
    <cellStyle name="Comma 9 2 3 2 3 2 3" xfId="15484"/>
    <cellStyle name="Comma 9 2 3 2 3 3" xfId="7218"/>
    <cellStyle name="Comma 9 2 3 2 3 3 2" xfId="12368"/>
    <cellStyle name="Comma 9 2 3 2 3 3 2 2" xfId="18907"/>
    <cellStyle name="Comma 9 2 3 2 3 3 3" xfId="16055"/>
    <cellStyle name="Comma 9 2 3 2 3 4" xfId="9490"/>
    <cellStyle name="Comma 9 2 3 2 3 4 2" xfId="12939"/>
    <cellStyle name="Comma 9 2 3 2 3 4 2 2" xfId="19478"/>
    <cellStyle name="Comma 9 2 3 2 3 4 3" xfId="16626"/>
    <cellStyle name="Comma 9 2 3 2 3 5" xfId="3269"/>
    <cellStyle name="Comma 9 2 3 2 3 5 2" xfId="11226"/>
    <cellStyle name="Comma 9 2 3 2 3 5 2 2" xfId="17765"/>
    <cellStyle name="Comma 9 2 3 2 3 5 3" xfId="14913"/>
    <cellStyle name="Comma 9 2 3 2 3 6" xfId="2695"/>
    <cellStyle name="Comma 9 2 3 2 3 6 2" xfId="14343"/>
    <cellStyle name="Comma 9 2 3 2 3 7" xfId="10656"/>
    <cellStyle name="Comma 9 2 3 2 3 7 2" xfId="17195"/>
    <cellStyle name="Comma 9 2 3 2 3 8" xfId="13773"/>
    <cellStyle name="Comma 9 2 3 2 4" xfId="3811"/>
    <cellStyle name="Comma 9 2 3 2 4 2" xfId="11512"/>
    <cellStyle name="Comma 9 2 3 2 4 2 2" xfId="18051"/>
    <cellStyle name="Comma 9 2 3 2 4 3" xfId="15199"/>
    <cellStyle name="Comma 9 2 3 2 5" xfId="6083"/>
    <cellStyle name="Comma 9 2 3 2 5 2" xfId="12083"/>
    <cellStyle name="Comma 9 2 3 2 5 2 2" xfId="18622"/>
    <cellStyle name="Comma 9 2 3 2 5 3" xfId="15770"/>
    <cellStyle name="Comma 9 2 3 2 6" xfId="8355"/>
    <cellStyle name="Comma 9 2 3 2 6 2" xfId="12654"/>
    <cellStyle name="Comma 9 2 3 2 6 2 2" xfId="19193"/>
    <cellStyle name="Comma 9 2 3 2 6 3" xfId="16341"/>
    <cellStyle name="Comma 9 2 3 2 7" xfId="2984"/>
    <cellStyle name="Comma 9 2 3 2 7 2" xfId="10941"/>
    <cellStyle name="Comma 9 2 3 2 7 2 2" xfId="17480"/>
    <cellStyle name="Comma 9 2 3 2 7 3" xfId="14628"/>
    <cellStyle name="Comma 9 2 3 2 8" xfId="2415"/>
    <cellStyle name="Comma 9 2 3 2 8 2" xfId="14063"/>
    <cellStyle name="Comma 9 2 3 2 9" xfId="10376"/>
    <cellStyle name="Comma 9 2 3 2 9 2" xfId="16915"/>
    <cellStyle name="Comma 9 2 3 3" xfId="1072"/>
    <cellStyle name="Comma 9 2 3 3 2" xfId="2207"/>
    <cellStyle name="Comma 9 2 3 3 2 2" xfId="5627"/>
    <cellStyle name="Comma 9 2 3 3 2 2 2" xfId="11968"/>
    <cellStyle name="Comma 9 2 3 3 2 2 2 2" xfId="18507"/>
    <cellStyle name="Comma 9 2 3 3 2 2 3" xfId="15655"/>
    <cellStyle name="Comma 9 2 3 3 2 3" xfId="7899"/>
    <cellStyle name="Comma 9 2 3 3 2 3 2" xfId="12539"/>
    <cellStyle name="Comma 9 2 3 3 2 3 2 2" xfId="19078"/>
    <cellStyle name="Comma 9 2 3 3 2 3 3" xfId="16226"/>
    <cellStyle name="Comma 9 2 3 3 2 4" xfId="10171"/>
    <cellStyle name="Comma 9 2 3 3 2 4 2" xfId="13110"/>
    <cellStyle name="Comma 9 2 3 3 2 4 2 2" xfId="19649"/>
    <cellStyle name="Comma 9 2 3 3 2 4 3" xfId="16797"/>
    <cellStyle name="Comma 9 2 3 3 2 5" xfId="3440"/>
    <cellStyle name="Comma 9 2 3 3 2 5 2" xfId="11397"/>
    <cellStyle name="Comma 9 2 3 3 2 5 2 2" xfId="17936"/>
    <cellStyle name="Comma 9 2 3 3 2 5 3" xfId="15084"/>
    <cellStyle name="Comma 9 2 3 3 2 6" xfId="2863"/>
    <cellStyle name="Comma 9 2 3 3 2 6 2" xfId="14511"/>
    <cellStyle name="Comma 9 2 3 3 2 7" xfId="10824"/>
    <cellStyle name="Comma 9 2 3 3 2 7 2" xfId="17363"/>
    <cellStyle name="Comma 9 2 3 3 2 8" xfId="13944"/>
    <cellStyle name="Comma 9 2 3 3 3" xfId="4492"/>
    <cellStyle name="Comma 9 2 3 3 3 2" xfId="11683"/>
    <cellStyle name="Comma 9 2 3 3 3 2 2" xfId="18222"/>
    <cellStyle name="Comma 9 2 3 3 3 3" xfId="15370"/>
    <cellStyle name="Comma 9 2 3 3 4" xfId="6764"/>
    <cellStyle name="Comma 9 2 3 3 4 2" xfId="12254"/>
    <cellStyle name="Comma 9 2 3 3 4 2 2" xfId="18793"/>
    <cellStyle name="Comma 9 2 3 3 4 3" xfId="15941"/>
    <cellStyle name="Comma 9 2 3 3 5" xfId="9036"/>
    <cellStyle name="Comma 9 2 3 3 5 2" xfId="12825"/>
    <cellStyle name="Comma 9 2 3 3 5 2 2" xfId="19364"/>
    <cellStyle name="Comma 9 2 3 3 5 3" xfId="16512"/>
    <cellStyle name="Comma 9 2 3 3 6" xfId="3155"/>
    <cellStyle name="Comma 9 2 3 3 6 2" xfId="11112"/>
    <cellStyle name="Comma 9 2 3 3 6 2 2" xfId="17651"/>
    <cellStyle name="Comma 9 2 3 3 6 3" xfId="14799"/>
    <cellStyle name="Comma 9 2 3 3 7" xfId="2583"/>
    <cellStyle name="Comma 9 2 3 3 7 2" xfId="14231"/>
    <cellStyle name="Comma 9 2 3 3 8" xfId="10544"/>
    <cellStyle name="Comma 9 2 3 3 8 2" xfId="17083"/>
    <cellStyle name="Comma 9 2 3 3 9" xfId="13659"/>
    <cellStyle name="Comma 9 2 3 4" xfId="618"/>
    <cellStyle name="Comma 9 2 3 4 2" xfId="1753"/>
    <cellStyle name="Comma 9 2 3 4 2 2" xfId="5173"/>
    <cellStyle name="Comma 9 2 3 4 2 2 2" xfId="11854"/>
    <cellStyle name="Comma 9 2 3 4 2 2 2 2" xfId="18393"/>
    <cellStyle name="Comma 9 2 3 4 2 2 3" xfId="15541"/>
    <cellStyle name="Comma 9 2 3 4 2 3" xfId="7445"/>
    <cellStyle name="Comma 9 2 3 4 2 3 2" xfId="12425"/>
    <cellStyle name="Comma 9 2 3 4 2 3 2 2" xfId="18964"/>
    <cellStyle name="Comma 9 2 3 4 2 3 3" xfId="16112"/>
    <cellStyle name="Comma 9 2 3 4 2 4" xfId="9717"/>
    <cellStyle name="Comma 9 2 3 4 2 4 2" xfId="12996"/>
    <cellStyle name="Comma 9 2 3 4 2 4 2 2" xfId="19535"/>
    <cellStyle name="Comma 9 2 3 4 2 4 3" xfId="16683"/>
    <cellStyle name="Comma 9 2 3 4 2 5" xfId="3326"/>
    <cellStyle name="Comma 9 2 3 4 2 5 2" xfId="11283"/>
    <cellStyle name="Comma 9 2 3 4 2 5 2 2" xfId="17822"/>
    <cellStyle name="Comma 9 2 3 4 2 5 3" xfId="14970"/>
    <cellStyle name="Comma 9 2 3 4 2 6" xfId="2751"/>
    <cellStyle name="Comma 9 2 3 4 2 6 2" xfId="14399"/>
    <cellStyle name="Comma 9 2 3 4 2 7" xfId="10712"/>
    <cellStyle name="Comma 9 2 3 4 2 7 2" xfId="17251"/>
    <cellStyle name="Comma 9 2 3 4 2 8" xfId="13830"/>
    <cellStyle name="Comma 9 2 3 4 3" xfId="4038"/>
    <cellStyle name="Comma 9 2 3 4 3 2" xfId="11569"/>
    <cellStyle name="Comma 9 2 3 4 3 2 2" xfId="18108"/>
    <cellStyle name="Comma 9 2 3 4 3 3" xfId="15256"/>
    <cellStyle name="Comma 9 2 3 4 4" xfId="6310"/>
    <cellStyle name="Comma 9 2 3 4 4 2" xfId="12140"/>
    <cellStyle name="Comma 9 2 3 4 4 2 2" xfId="18679"/>
    <cellStyle name="Comma 9 2 3 4 4 3" xfId="15827"/>
    <cellStyle name="Comma 9 2 3 4 5" xfId="8582"/>
    <cellStyle name="Comma 9 2 3 4 5 2" xfId="12711"/>
    <cellStyle name="Comma 9 2 3 4 5 2 2" xfId="19250"/>
    <cellStyle name="Comma 9 2 3 4 5 3" xfId="16398"/>
    <cellStyle name="Comma 9 2 3 4 6" xfId="3041"/>
    <cellStyle name="Comma 9 2 3 4 6 2" xfId="10998"/>
    <cellStyle name="Comma 9 2 3 4 6 2 2" xfId="17537"/>
    <cellStyle name="Comma 9 2 3 4 6 3" xfId="14685"/>
    <cellStyle name="Comma 9 2 3 4 7" xfId="2471"/>
    <cellStyle name="Comma 9 2 3 4 7 2" xfId="14119"/>
    <cellStyle name="Comma 9 2 3 4 8" xfId="10432"/>
    <cellStyle name="Comma 9 2 3 4 8 2" xfId="16971"/>
    <cellStyle name="Comma 9 2 3 4 9" xfId="13545"/>
    <cellStyle name="Comma 9 2 3 5" xfId="1299"/>
    <cellStyle name="Comma 9 2 3 5 2" xfId="4719"/>
    <cellStyle name="Comma 9 2 3 5 2 2" xfId="11740"/>
    <cellStyle name="Comma 9 2 3 5 2 2 2" xfId="18279"/>
    <cellStyle name="Comma 9 2 3 5 2 3" xfId="15427"/>
    <cellStyle name="Comma 9 2 3 5 3" xfId="6991"/>
    <cellStyle name="Comma 9 2 3 5 3 2" xfId="12311"/>
    <cellStyle name="Comma 9 2 3 5 3 2 2" xfId="18850"/>
    <cellStyle name="Comma 9 2 3 5 3 3" xfId="15998"/>
    <cellStyle name="Comma 9 2 3 5 4" xfId="9263"/>
    <cellStyle name="Comma 9 2 3 5 4 2" xfId="12882"/>
    <cellStyle name="Comma 9 2 3 5 4 2 2" xfId="19421"/>
    <cellStyle name="Comma 9 2 3 5 4 3" xfId="16569"/>
    <cellStyle name="Comma 9 2 3 5 5" xfId="3212"/>
    <cellStyle name="Comma 9 2 3 5 5 2" xfId="11169"/>
    <cellStyle name="Comma 9 2 3 5 5 2 2" xfId="17708"/>
    <cellStyle name="Comma 9 2 3 5 5 3" xfId="14856"/>
    <cellStyle name="Comma 9 2 3 5 6" xfId="2639"/>
    <cellStyle name="Comma 9 2 3 5 6 2" xfId="14287"/>
    <cellStyle name="Comma 9 2 3 5 7" xfId="10600"/>
    <cellStyle name="Comma 9 2 3 5 7 2" xfId="17139"/>
    <cellStyle name="Comma 9 2 3 5 8" xfId="13716"/>
    <cellStyle name="Comma 9 2 3 6" xfId="3584"/>
    <cellStyle name="Comma 9 2 3 6 2" xfId="11455"/>
    <cellStyle name="Comma 9 2 3 6 2 2" xfId="17994"/>
    <cellStyle name="Comma 9 2 3 6 3" xfId="15142"/>
    <cellStyle name="Comma 9 2 3 7" xfId="5856"/>
    <cellStyle name="Comma 9 2 3 7 2" xfId="12026"/>
    <cellStyle name="Comma 9 2 3 7 2 2" xfId="18565"/>
    <cellStyle name="Comma 9 2 3 7 3" xfId="15713"/>
    <cellStyle name="Comma 9 2 3 8" xfId="8128"/>
    <cellStyle name="Comma 9 2 3 8 2" xfId="12597"/>
    <cellStyle name="Comma 9 2 3 8 2 2" xfId="19136"/>
    <cellStyle name="Comma 9 2 3 8 3" xfId="16284"/>
    <cellStyle name="Comma 9 2 3 9" xfId="2924"/>
    <cellStyle name="Comma 9 2 3 9 2" xfId="10883"/>
    <cellStyle name="Comma 9 2 3 9 2 2" xfId="17422"/>
    <cellStyle name="Comma 9 2 3 9 3" xfId="14570"/>
    <cellStyle name="Comma 9 2 4" xfId="279"/>
    <cellStyle name="Comma 9 2 4 10" xfId="2387"/>
    <cellStyle name="Comma 9 2 4 10 2" xfId="14035"/>
    <cellStyle name="Comma 9 2 4 11" xfId="10348"/>
    <cellStyle name="Comma 9 2 4 11 2" xfId="16887"/>
    <cellStyle name="Comma 9 2 4 12" xfId="13460"/>
    <cellStyle name="Comma 9 2 4 2" xfId="506"/>
    <cellStyle name="Comma 9 2 4 2 10" xfId="13517"/>
    <cellStyle name="Comma 9 2 4 2 2" xfId="960"/>
    <cellStyle name="Comma 9 2 4 2 2 2" xfId="2095"/>
    <cellStyle name="Comma 9 2 4 2 2 2 2" xfId="5515"/>
    <cellStyle name="Comma 9 2 4 2 2 2 2 2" xfId="11940"/>
    <cellStyle name="Comma 9 2 4 2 2 2 2 2 2" xfId="18479"/>
    <cellStyle name="Comma 9 2 4 2 2 2 2 3" xfId="15627"/>
    <cellStyle name="Comma 9 2 4 2 2 2 3" xfId="7787"/>
    <cellStyle name="Comma 9 2 4 2 2 2 3 2" xfId="12511"/>
    <cellStyle name="Comma 9 2 4 2 2 2 3 2 2" xfId="19050"/>
    <cellStyle name="Comma 9 2 4 2 2 2 3 3" xfId="16198"/>
    <cellStyle name="Comma 9 2 4 2 2 2 4" xfId="10059"/>
    <cellStyle name="Comma 9 2 4 2 2 2 4 2" xfId="13082"/>
    <cellStyle name="Comma 9 2 4 2 2 2 4 2 2" xfId="19621"/>
    <cellStyle name="Comma 9 2 4 2 2 2 4 3" xfId="16769"/>
    <cellStyle name="Comma 9 2 4 2 2 2 5" xfId="3412"/>
    <cellStyle name="Comma 9 2 4 2 2 2 5 2" xfId="11369"/>
    <cellStyle name="Comma 9 2 4 2 2 2 5 2 2" xfId="17908"/>
    <cellStyle name="Comma 9 2 4 2 2 2 5 3" xfId="15056"/>
    <cellStyle name="Comma 9 2 4 2 2 2 6" xfId="2835"/>
    <cellStyle name="Comma 9 2 4 2 2 2 6 2" xfId="14483"/>
    <cellStyle name="Comma 9 2 4 2 2 2 7" xfId="10796"/>
    <cellStyle name="Comma 9 2 4 2 2 2 7 2" xfId="17335"/>
    <cellStyle name="Comma 9 2 4 2 2 2 8" xfId="13916"/>
    <cellStyle name="Comma 9 2 4 2 2 3" xfId="4380"/>
    <cellStyle name="Comma 9 2 4 2 2 3 2" xfId="11655"/>
    <cellStyle name="Comma 9 2 4 2 2 3 2 2" xfId="18194"/>
    <cellStyle name="Comma 9 2 4 2 2 3 3" xfId="15342"/>
    <cellStyle name="Comma 9 2 4 2 2 4" xfId="6652"/>
    <cellStyle name="Comma 9 2 4 2 2 4 2" xfId="12226"/>
    <cellStyle name="Comma 9 2 4 2 2 4 2 2" xfId="18765"/>
    <cellStyle name="Comma 9 2 4 2 2 4 3" xfId="15913"/>
    <cellStyle name="Comma 9 2 4 2 2 5" xfId="8924"/>
    <cellStyle name="Comma 9 2 4 2 2 5 2" xfId="12797"/>
    <cellStyle name="Comma 9 2 4 2 2 5 2 2" xfId="19336"/>
    <cellStyle name="Comma 9 2 4 2 2 5 3" xfId="16484"/>
    <cellStyle name="Comma 9 2 4 2 2 6" xfId="3127"/>
    <cellStyle name="Comma 9 2 4 2 2 6 2" xfId="11084"/>
    <cellStyle name="Comma 9 2 4 2 2 6 2 2" xfId="17623"/>
    <cellStyle name="Comma 9 2 4 2 2 6 3" xfId="14771"/>
    <cellStyle name="Comma 9 2 4 2 2 7" xfId="2555"/>
    <cellStyle name="Comma 9 2 4 2 2 7 2" xfId="14203"/>
    <cellStyle name="Comma 9 2 4 2 2 8" xfId="10516"/>
    <cellStyle name="Comma 9 2 4 2 2 8 2" xfId="17055"/>
    <cellStyle name="Comma 9 2 4 2 2 9" xfId="13631"/>
    <cellStyle name="Comma 9 2 4 2 3" xfId="1641"/>
    <cellStyle name="Comma 9 2 4 2 3 2" xfId="5061"/>
    <cellStyle name="Comma 9 2 4 2 3 2 2" xfId="11826"/>
    <cellStyle name="Comma 9 2 4 2 3 2 2 2" xfId="18365"/>
    <cellStyle name="Comma 9 2 4 2 3 2 3" xfId="15513"/>
    <cellStyle name="Comma 9 2 4 2 3 3" xfId="7333"/>
    <cellStyle name="Comma 9 2 4 2 3 3 2" xfId="12397"/>
    <cellStyle name="Comma 9 2 4 2 3 3 2 2" xfId="18936"/>
    <cellStyle name="Comma 9 2 4 2 3 3 3" xfId="16084"/>
    <cellStyle name="Comma 9 2 4 2 3 4" xfId="9605"/>
    <cellStyle name="Comma 9 2 4 2 3 4 2" xfId="12968"/>
    <cellStyle name="Comma 9 2 4 2 3 4 2 2" xfId="19507"/>
    <cellStyle name="Comma 9 2 4 2 3 4 3" xfId="16655"/>
    <cellStyle name="Comma 9 2 4 2 3 5" xfId="3298"/>
    <cellStyle name="Comma 9 2 4 2 3 5 2" xfId="11255"/>
    <cellStyle name="Comma 9 2 4 2 3 5 2 2" xfId="17794"/>
    <cellStyle name="Comma 9 2 4 2 3 5 3" xfId="14942"/>
    <cellStyle name="Comma 9 2 4 2 3 6" xfId="2723"/>
    <cellStyle name="Comma 9 2 4 2 3 6 2" xfId="14371"/>
    <cellStyle name="Comma 9 2 4 2 3 7" xfId="10684"/>
    <cellStyle name="Comma 9 2 4 2 3 7 2" xfId="17223"/>
    <cellStyle name="Comma 9 2 4 2 3 8" xfId="13802"/>
    <cellStyle name="Comma 9 2 4 2 4" xfId="3926"/>
    <cellStyle name="Comma 9 2 4 2 4 2" xfId="11541"/>
    <cellStyle name="Comma 9 2 4 2 4 2 2" xfId="18080"/>
    <cellStyle name="Comma 9 2 4 2 4 3" xfId="15228"/>
    <cellStyle name="Comma 9 2 4 2 5" xfId="6198"/>
    <cellStyle name="Comma 9 2 4 2 5 2" xfId="12112"/>
    <cellStyle name="Comma 9 2 4 2 5 2 2" xfId="18651"/>
    <cellStyle name="Comma 9 2 4 2 5 3" xfId="15799"/>
    <cellStyle name="Comma 9 2 4 2 6" xfId="8470"/>
    <cellStyle name="Comma 9 2 4 2 6 2" xfId="12683"/>
    <cellStyle name="Comma 9 2 4 2 6 2 2" xfId="19222"/>
    <cellStyle name="Comma 9 2 4 2 6 3" xfId="16370"/>
    <cellStyle name="Comma 9 2 4 2 7" xfId="3013"/>
    <cellStyle name="Comma 9 2 4 2 7 2" xfId="10970"/>
    <cellStyle name="Comma 9 2 4 2 7 2 2" xfId="17509"/>
    <cellStyle name="Comma 9 2 4 2 7 3" xfId="14657"/>
    <cellStyle name="Comma 9 2 4 2 8" xfId="2443"/>
    <cellStyle name="Comma 9 2 4 2 8 2" xfId="14091"/>
    <cellStyle name="Comma 9 2 4 2 9" xfId="10404"/>
    <cellStyle name="Comma 9 2 4 2 9 2" xfId="16943"/>
    <cellStyle name="Comma 9 2 4 3" xfId="1187"/>
    <cellStyle name="Comma 9 2 4 3 2" xfId="2322"/>
    <cellStyle name="Comma 9 2 4 3 2 2" xfId="5742"/>
    <cellStyle name="Comma 9 2 4 3 2 2 2" xfId="11997"/>
    <cellStyle name="Comma 9 2 4 3 2 2 2 2" xfId="18536"/>
    <cellStyle name="Comma 9 2 4 3 2 2 3" xfId="15684"/>
    <cellStyle name="Comma 9 2 4 3 2 3" xfId="8014"/>
    <cellStyle name="Comma 9 2 4 3 2 3 2" xfId="12568"/>
    <cellStyle name="Comma 9 2 4 3 2 3 2 2" xfId="19107"/>
    <cellStyle name="Comma 9 2 4 3 2 3 3" xfId="16255"/>
    <cellStyle name="Comma 9 2 4 3 2 4" xfId="10286"/>
    <cellStyle name="Comma 9 2 4 3 2 4 2" xfId="13139"/>
    <cellStyle name="Comma 9 2 4 3 2 4 2 2" xfId="19678"/>
    <cellStyle name="Comma 9 2 4 3 2 4 3" xfId="16826"/>
    <cellStyle name="Comma 9 2 4 3 2 5" xfId="3469"/>
    <cellStyle name="Comma 9 2 4 3 2 5 2" xfId="11426"/>
    <cellStyle name="Comma 9 2 4 3 2 5 2 2" xfId="17965"/>
    <cellStyle name="Comma 9 2 4 3 2 5 3" xfId="15113"/>
    <cellStyle name="Comma 9 2 4 3 2 6" xfId="2891"/>
    <cellStyle name="Comma 9 2 4 3 2 6 2" xfId="14539"/>
    <cellStyle name="Comma 9 2 4 3 2 7" xfId="10852"/>
    <cellStyle name="Comma 9 2 4 3 2 7 2" xfId="17391"/>
    <cellStyle name="Comma 9 2 4 3 2 8" xfId="13973"/>
    <cellStyle name="Comma 9 2 4 3 3" xfId="4607"/>
    <cellStyle name="Comma 9 2 4 3 3 2" xfId="11712"/>
    <cellStyle name="Comma 9 2 4 3 3 2 2" xfId="18251"/>
    <cellStyle name="Comma 9 2 4 3 3 3" xfId="15399"/>
    <cellStyle name="Comma 9 2 4 3 4" xfId="6879"/>
    <cellStyle name="Comma 9 2 4 3 4 2" xfId="12283"/>
    <cellStyle name="Comma 9 2 4 3 4 2 2" xfId="18822"/>
    <cellStyle name="Comma 9 2 4 3 4 3" xfId="15970"/>
    <cellStyle name="Comma 9 2 4 3 5" xfId="9151"/>
    <cellStyle name="Comma 9 2 4 3 5 2" xfId="12854"/>
    <cellStyle name="Comma 9 2 4 3 5 2 2" xfId="19393"/>
    <cellStyle name="Comma 9 2 4 3 5 3" xfId="16541"/>
    <cellStyle name="Comma 9 2 4 3 6" xfId="3184"/>
    <cellStyle name="Comma 9 2 4 3 6 2" xfId="11141"/>
    <cellStyle name="Comma 9 2 4 3 6 2 2" xfId="17680"/>
    <cellStyle name="Comma 9 2 4 3 6 3" xfId="14828"/>
    <cellStyle name="Comma 9 2 4 3 7" xfId="2611"/>
    <cellStyle name="Comma 9 2 4 3 7 2" xfId="14259"/>
    <cellStyle name="Comma 9 2 4 3 8" xfId="10572"/>
    <cellStyle name="Comma 9 2 4 3 8 2" xfId="17111"/>
    <cellStyle name="Comma 9 2 4 3 9" xfId="13688"/>
    <cellStyle name="Comma 9 2 4 4" xfId="733"/>
    <cellStyle name="Comma 9 2 4 4 2" xfId="1868"/>
    <cellStyle name="Comma 9 2 4 4 2 2" xfId="5288"/>
    <cellStyle name="Comma 9 2 4 4 2 2 2" xfId="11883"/>
    <cellStyle name="Comma 9 2 4 4 2 2 2 2" xfId="18422"/>
    <cellStyle name="Comma 9 2 4 4 2 2 3" xfId="15570"/>
    <cellStyle name="Comma 9 2 4 4 2 3" xfId="7560"/>
    <cellStyle name="Comma 9 2 4 4 2 3 2" xfId="12454"/>
    <cellStyle name="Comma 9 2 4 4 2 3 2 2" xfId="18993"/>
    <cellStyle name="Comma 9 2 4 4 2 3 3" xfId="16141"/>
    <cellStyle name="Comma 9 2 4 4 2 4" xfId="9832"/>
    <cellStyle name="Comma 9 2 4 4 2 4 2" xfId="13025"/>
    <cellStyle name="Comma 9 2 4 4 2 4 2 2" xfId="19564"/>
    <cellStyle name="Comma 9 2 4 4 2 4 3" xfId="16712"/>
    <cellStyle name="Comma 9 2 4 4 2 5" xfId="3355"/>
    <cellStyle name="Comma 9 2 4 4 2 5 2" xfId="11312"/>
    <cellStyle name="Comma 9 2 4 4 2 5 2 2" xfId="17851"/>
    <cellStyle name="Comma 9 2 4 4 2 5 3" xfId="14999"/>
    <cellStyle name="Comma 9 2 4 4 2 6" xfId="2779"/>
    <cellStyle name="Comma 9 2 4 4 2 6 2" xfId="14427"/>
    <cellStyle name="Comma 9 2 4 4 2 7" xfId="10740"/>
    <cellStyle name="Comma 9 2 4 4 2 7 2" xfId="17279"/>
    <cellStyle name="Comma 9 2 4 4 2 8" xfId="13859"/>
    <cellStyle name="Comma 9 2 4 4 3" xfId="4153"/>
    <cellStyle name="Comma 9 2 4 4 3 2" xfId="11598"/>
    <cellStyle name="Comma 9 2 4 4 3 2 2" xfId="18137"/>
    <cellStyle name="Comma 9 2 4 4 3 3" xfId="15285"/>
    <cellStyle name="Comma 9 2 4 4 4" xfId="6425"/>
    <cellStyle name="Comma 9 2 4 4 4 2" xfId="12169"/>
    <cellStyle name="Comma 9 2 4 4 4 2 2" xfId="18708"/>
    <cellStyle name="Comma 9 2 4 4 4 3" xfId="15856"/>
    <cellStyle name="Comma 9 2 4 4 5" xfId="8697"/>
    <cellStyle name="Comma 9 2 4 4 5 2" xfId="12740"/>
    <cellStyle name="Comma 9 2 4 4 5 2 2" xfId="19279"/>
    <cellStyle name="Comma 9 2 4 4 5 3" xfId="16427"/>
    <cellStyle name="Comma 9 2 4 4 6" xfId="3070"/>
    <cellStyle name="Comma 9 2 4 4 6 2" xfId="11027"/>
    <cellStyle name="Comma 9 2 4 4 6 2 2" xfId="17566"/>
    <cellStyle name="Comma 9 2 4 4 6 3" xfId="14714"/>
    <cellStyle name="Comma 9 2 4 4 7" xfId="2499"/>
    <cellStyle name="Comma 9 2 4 4 7 2" xfId="14147"/>
    <cellStyle name="Comma 9 2 4 4 8" xfId="10460"/>
    <cellStyle name="Comma 9 2 4 4 8 2" xfId="16999"/>
    <cellStyle name="Comma 9 2 4 4 9" xfId="13574"/>
    <cellStyle name="Comma 9 2 4 5" xfId="1414"/>
    <cellStyle name="Comma 9 2 4 5 2" xfId="4834"/>
    <cellStyle name="Comma 9 2 4 5 2 2" xfId="11769"/>
    <cellStyle name="Comma 9 2 4 5 2 2 2" xfId="18308"/>
    <cellStyle name="Comma 9 2 4 5 2 3" xfId="15456"/>
    <cellStyle name="Comma 9 2 4 5 3" xfId="7106"/>
    <cellStyle name="Comma 9 2 4 5 3 2" xfId="12340"/>
    <cellStyle name="Comma 9 2 4 5 3 2 2" xfId="18879"/>
    <cellStyle name="Comma 9 2 4 5 3 3" xfId="16027"/>
    <cellStyle name="Comma 9 2 4 5 4" xfId="9378"/>
    <cellStyle name="Comma 9 2 4 5 4 2" xfId="12911"/>
    <cellStyle name="Comma 9 2 4 5 4 2 2" xfId="19450"/>
    <cellStyle name="Comma 9 2 4 5 4 3" xfId="16598"/>
    <cellStyle name="Comma 9 2 4 5 5" xfId="3241"/>
    <cellStyle name="Comma 9 2 4 5 5 2" xfId="11198"/>
    <cellStyle name="Comma 9 2 4 5 5 2 2" xfId="17737"/>
    <cellStyle name="Comma 9 2 4 5 5 3" xfId="14885"/>
    <cellStyle name="Comma 9 2 4 5 6" xfId="2667"/>
    <cellStyle name="Comma 9 2 4 5 6 2" xfId="14315"/>
    <cellStyle name="Comma 9 2 4 5 7" xfId="10628"/>
    <cellStyle name="Comma 9 2 4 5 7 2" xfId="17167"/>
    <cellStyle name="Comma 9 2 4 5 8" xfId="13745"/>
    <cellStyle name="Comma 9 2 4 6" xfId="3699"/>
    <cellStyle name="Comma 9 2 4 6 2" xfId="11484"/>
    <cellStyle name="Comma 9 2 4 6 2 2" xfId="18023"/>
    <cellStyle name="Comma 9 2 4 6 3" xfId="15171"/>
    <cellStyle name="Comma 9 2 4 7" xfId="5971"/>
    <cellStyle name="Comma 9 2 4 7 2" xfId="12055"/>
    <cellStyle name="Comma 9 2 4 7 2 2" xfId="18594"/>
    <cellStyle name="Comma 9 2 4 7 3" xfId="15742"/>
    <cellStyle name="Comma 9 2 4 8" xfId="8243"/>
    <cellStyle name="Comma 9 2 4 8 2" xfId="12626"/>
    <cellStyle name="Comma 9 2 4 8 2 2" xfId="19165"/>
    <cellStyle name="Comma 9 2 4 8 3" xfId="16313"/>
    <cellStyle name="Comma 9 2 4 9" xfId="2956"/>
    <cellStyle name="Comma 9 2 4 9 2" xfId="10913"/>
    <cellStyle name="Comma 9 2 4 9 2 2" xfId="17452"/>
    <cellStyle name="Comma 9 2 4 9 3" xfId="14600"/>
    <cellStyle name="Comma 9 2 5" xfId="335"/>
    <cellStyle name="Comma 9 2 5 10" xfId="13474"/>
    <cellStyle name="Comma 9 2 5 2" xfId="789"/>
    <cellStyle name="Comma 9 2 5 2 2" xfId="1924"/>
    <cellStyle name="Comma 9 2 5 2 2 2" xfId="5344"/>
    <cellStyle name="Comma 9 2 5 2 2 2 2" xfId="11897"/>
    <cellStyle name="Comma 9 2 5 2 2 2 2 2" xfId="18436"/>
    <cellStyle name="Comma 9 2 5 2 2 2 3" xfId="15584"/>
    <cellStyle name="Comma 9 2 5 2 2 3" xfId="7616"/>
    <cellStyle name="Comma 9 2 5 2 2 3 2" xfId="12468"/>
    <cellStyle name="Comma 9 2 5 2 2 3 2 2" xfId="19007"/>
    <cellStyle name="Comma 9 2 5 2 2 3 3" xfId="16155"/>
    <cellStyle name="Comma 9 2 5 2 2 4" xfId="9888"/>
    <cellStyle name="Comma 9 2 5 2 2 4 2" xfId="13039"/>
    <cellStyle name="Comma 9 2 5 2 2 4 2 2" xfId="19578"/>
    <cellStyle name="Comma 9 2 5 2 2 4 3" xfId="16726"/>
    <cellStyle name="Comma 9 2 5 2 2 5" xfId="3369"/>
    <cellStyle name="Comma 9 2 5 2 2 5 2" xfId="11326"/>
    <cellStyle name="Comma 9 2 5 2 2 5 2 2" xfId="17865"/>
    <cellStyle name="Comma 9 2 5 2 2 5 3" xfId="15013"/>
    <cellStyle name="Comma 9 2 5 2 2 6" xfId="2793"/>
    <cellStyle name="Comma 9 2 5 2 2 6 2" xfId="14441"/>
    <cellStyle name="Comma 9 2 5 2 2 7" xfId="10754"/>
    <cellStyle name="Comma 9 2 5 2 2 7 2" xfId="17293"/>
    <cellStyle name="Comma 9 2 5 2 2 8" xfId="13873"/>
    <cellStyle name="Comma 9 2 5 2 3" xfId="4209"/>
    <cellStyle name="Comma 9 2 5 2 3 2" xfId="11612"/>
    <cellStyle name="Comma 9 2 5 2 3 2 2" xfId="18151"/>
    <cellStyle name="Comma 9 2 5 2 3 3" xfId="15299"/>
    <cellStyle name="Comma 9 2 5 2 4" xfId="6481"/>
    <cellStyle name="Comma 9 2 5 2 4 2" xfId="12183"/>
    <cellStyle name="Comma 9 2 5 2 4 2 2" xfId="18722"/>
    <cellStyle name="Comma 9 2 5 2 4 3" xfId="15870"/>
    <cellStyle name="Comma 9 2 5 2 5" xfId="8753"/>
    <cellStyle name="Comma 9 2 5 2 5 2" xfId="12754"/>
    <cellStyle name="Comma 9 2 5 2 5 2 2" xfId="19293"/>
    <cellStyle name="Comma 9 2 5 2 5 3" xfId="16441"/>
    <cellStyle name="Comma 9 2 5 2 6" xfId="3084"/>
    <cellStyle name="Comma 9 2 5 2 6 2" xfId="11041"/>
    <cellStyle name="Comma 9 2 5 2 6 2 2" xfId="17580"/>
    <cellStyle name="Comma 9 2 5 2 6 3" xfId="14728"/>
    <cellStyle name="Comma 9 2 5 2 7" xfId="2513"/>
    <cellStyle name="Comma 9 2 5 2 7 2" xfId="14161"/>
    <cellStyle name="Comma 9 2 5 2 8" xfId="10474"/>
    <cellStyle name="Comma 9 2 5 2 8 2" xfId="17013"/>
    <cellStyle name="Comma 9 2 5 2 9" xfId="13588"/>
    <cellStyle name="Comma 9 2 5 3" xfId="1470"/>
    <cellStyle name="Comma 9 2 5 3 2" xfId="4890"/>
    <cellStyle name="Comma 9 2 5 3 2 2" xfId="11783"/>
    <cellStyle name="Comma 9 2 5 3 2 2 2" xfId="18322"/>
    <cellStyle name="Comma 9 2 5 3 2 3" xfId="15470"/>
    <cellStyle name="Comma 9 2 5 3 3" xfId="7162"/>
    <cellStyle name="Comma 9 2 5 3 3 2" xfId="12354"/>
    <cellStyle name="Comma 9 2 5 3 3 2 2" xfId="18893"/>
    <cellStyle name="Comma 9 2 5 3 3 3" xfId="16041"/>
    <cellStyle name="Comma 9 2 5 3 4" xfId="9434"/>
    <cellStyle name="Comma 9 2 5 3 4 2" xfId="12925"/>
    <cellStyle name="Comma 9 2 5 3 4 2 2" xfId="19464"/>
    <cellStyle name="Comma 9 2 5 3 4 3" xfId="16612"/>
    <cellStyle name="Comma 9 2 5 3 5" xfId="3255"/>
    <cellStyle name="Comma 9 2 5 3 5 2" xfId="11212"/>
    <cellStyle name="Comma 9 2 5 3 5 2 2" xfId="17751"/>
    <cellStyle name="Comma 9 2 5 3 5 3" xfId="14899"/>
    <cellStyle name="Comma 9 2 5 3 6" xfId="2681"/>
    <cellStyle name="Comma 9 2 5 3 6 2" xfId="14329"/>
    <cellStyle name="Comma 9 2 5 3 7" xfId="10642"/>
    <cellStyle name="Comma 9 2 5 3 7 2" xfId="17181"/>
    <cellStyle name="Comma 9 2 5 3 8" xfId="13759"/>
    <cellStyle name="Comma 9 2 5 4" xfId="3755"/>
    <cellStyle name="Comma 9 2 5 4 2" xfId="11498"/>
    <cellStyle name="Comma 9 2 5 4 2 2" xfId="18037"/>
    <cellStyle name="Comma 9 2 5 4 3" xfId="15185"/>
    <cellStyle name="Comma 9 2 5 5" xfId="6027"/>
    <cellStyle name="Comma 9 2 5 5 2" xfId="12069"/>
    <cellStyle name="Comma 9 2 5 5 2 2" xfId="18608"/>
    <cellStyle name="Comma 9 2 5 5 3" xfId="15756"/>
    <cellStyle name="Comma 9 2 5 6" xfId="8299"/>
    <cellStyle name="Comma 9 2 5 6 2" xfId="12640"/>
    <cellStyle name="Comma 9 2 5 6 2 2" xfId="19179"/>
    <cellStyle name="Comma 9 2 5 6 3" xfId="16327"/>
    <cellStyle name="Comma 9 2 5 7" xfId="2970"/>
    <cellStyle name="Comma 9 2 5 7 2" xfId="10927"/>
    <cellStyle name="Comma 9 2 5 7 2 2" xfId="17466"/>
    <cellStyle name="Comma 9 2 5 7 3" xfId="14614"/>
    <cellStyle name="Comma 9 2 5 8" xfId="2401"/>
    <cellStyle name="Comma 9 2 5 8 2" xfId="14049"/>
    <cellStyle name="Comma 9 2 5 9" xfId="10362"/>
    <cellStyle name="Comma 9 2 5 9 2" xfId="16901"/>
    <cellStyle name="Comma 9 2 6" xfId="1016"/>
    <cellStyle name="Comma 9 2 6 2" xfId="2151"/>
    <cellStyle name="Comma 9 2 6 2 2" xfId="5571"/>
    <cellStyle name="Comma 9 2 6 2 2 2" xfId="11954"/>
    <cellStyle name="Comma 9 2 6 2 2 2 2" xfId="18493"/>
    <cellStyle name="Comma 9 2 6 2 2 3" xfId="15641"/>
    <cellStyle name="Comma 9 2 6 2 3" xfId="7843"/>
    <cellStyle name="Comma 9 2 6 2 3 2" xfId="12525"/>
    <cellStyle name="Comma 9 2 6 2 3 2 2" xfId="19064"/>
    <cellStyle name="Comma 9 2 6 2 3 3" xfId="16212"/>
    <cellStyle name="Comma 9 2 6 2 4" xfId="10115"/>
    <cellStyle name="Comma 9 2 6 2 4 2" xfId="13096"/>
    <cellStyle name="Comma 9 2 6 2 4 2 2" xfId="19635"/>
    <cellStyle name="Comma 9 2 6 2 4 3" xfId="16783"/>
    <cellStyle name="Comma 9 2 6 2 5" xfId="3426"/>
    <cellStyle name="Comma 9 2 6 2 5 2" xfId="11383"/>
    <cellStyle name="Comma 9 2 6 2 5 2 2" xfId="17922"/>
    <cellStyle name="Comma 9 2 6 2 5 3" xfId="15070"/>
    <cellStyle name="Comma 9 2 6 2 6" xfId="2849"/>
    <cellStyle name="Comma 9 2 6 2 6 2" xfId="14497"/>
    <cellStyle name="Comma 9 2 6 2 7" xfId="10810"/>
    <cellStyle name="Comma 9 2 6 2 7 2" xfId="17349"/>
    <cellStyle name="Comma 9 2 6 2 8" xfId="13930"/>
    <cellStyle name="Comma 9 2 6 3" xfId="4436"/>
    <cellStyle name="Comma 9 2 6 3 2" xfId="11669"/>
    <cellStyle name="Comma 9 2 6 3 2 2" xfId="18208"/>
    <cellStyle name="Comma 9 2 6 3 3" xfId="15356"/>
    <cellStyle name="Comma 9 2 6 4" xfId="6708"/>
    <cellStyle name="Comma 9 2 6 4 2" xfId="12240"/>
    <cellStyle name="Comma 9 2 6 4 2 2" xfId="18779"/>
    <cellStyle name="Comma 9 2 6 4 3" xfId="15927"/>
    <cellStyle name="Comma 9 2 6 5" xfId="8980"/>
    <cellStyle name="Comma 9 2 6 5 2" xfId="12811"/>
    <cellStyle name="Comma 9 2 6 5 2 2" xfId="19350"/>
    <cellStyle name="Comma 9 2 6 5 3" xfId="16498"/>
    <cellStyle name="Comma 9 2 6 6" xfId="3141"/>
    <cellStyle name="Comma 9 2 6 6 2" xfId="11098"/>
    <cellStyle name="Comma 9 2 6 6 2 2" xfId="17637"/>
    <cellStyle name="Comma 9 2 6 6 3" xfId="14785"/>
    <cellStyle name="Comma 9 2 6 7" xfId="2569"/>
    <cellStyle name="Comma 9 2 6 7 2" xfId="14217"/>
    <cellStyle name="Comma 9 2 6 8" xfId="10530"/>
    <cellStyle name="Comma 9 2 6 8 2" xfId="17069"/>
    <cellStyle name="Comma 9 2 6 9" xfId="13645"/>
    <cellStyle name="Comma 9 2 7" xfId="562"/>
    <cellStyle name="Comma 9 2 7 2" xfId="1697"/>
    <cellStyle name="Comma 9 2 7 2 2" xfId="5117"/>
    <cellStyle name="Comma 9 2 7 2 2 2" xfId="11840"/>
    <cellStyle name="Comma 9 2 7 2 2 2 2" xfId="18379"/>
    <cellStyle name="Comma 9 2 7 2 2 3" xfId="15527"/>
    <cellStyle name="Comma 9 2 7 2 3" xfId="7389"/>
    <cellStyle name="Comma 9 2 7 2 3 2" xfId="12411"/>
    <cellStyle name="Comma 9 2 7 2 3 2 2" xfId="18950"/>
    <cellStyle name="Comma 9 2 7 2 3 3" xfId="16098"/>
    <cellStyle name="Comma 9 2 7 2 4" xfId="9661"/>
    <cellStyle name="Comma 9 2 7 2 4 2" xfId="12982"/>
    <cellStyle name="Comma 9 2 7 2 4 2 2" xfId="19521"/>
    <cellStyle name="Comma 9 2 7 2 4 3" xfId="16669"/>
    <cellStyle name="Comma 9 2 7 2 5" xfId="3312"/>
    <cellStyle name="Comma 9 2 7 2 5 2" xfId="11269"/>
    <cellStyle name="Comma 9 2 7 2 5 2 2" xfId="17808"/>
    <cellStyle name="Comma 9 2 7 2 5 3" xfId="14956"/>
    <cellStyle name="Comma 9 2 7 2 6" xfId="2737"/>
    <cellStyle name="Comma 9 2 7 2 6 2" xfId="14385"/>
    <cellStyle name="Comma 9 2 7 2 7" xfId="10698"/>
    <cellStyle name="Comma 9 2 7 2 7 2" xfId="17237"/>
    <cellStyle name="Comma 9 2 7 2 8" xfId="13816"/>
    <cellStyle name="Comma 9 2 7 3" xfId="3982"/>
    <cellStyle name="Comma 9 2 7 3 2" xfId="11555"/>
    <cellStyle name="Comma 9 2 7 3 2 2" xfId="18094"/>
    <cellStyle name="Comma 9 2 7 3 3" xfId="15242"/>
    <cellStyle name="Comma 9 2 7 4" xfId="6254"/>
    <cellStyle name="Comma 9 2 7 4 2" xfId="12126"/>
    <cellStyle name="Comma 9 2 7 4 2 2" xfId="18665"/>
    <cellStyle name="Comma 9 2 7 4 3" xfId="15813"/>
    <cellStyle name="Comma 9 2 7 5" xfId="8526"/>
    <cellStyle name="Comma 9 2 7 5 2" xfId="12697"/>
    <cellStyle name="Comma 9 2 7 5 2 2" xfId="19236"/>
    <cellStyle name="Comma 9 2 7 5 3" xfId="16384"/>
    <cellStyle name="Comma 9 2 7 6" xfId="3027"/>
    <cellStyle name="Comma 9 2 7 6 2" xfId="10984"/>
    <cellStyle name="Comma 9 2 7 6 2 2" xfId="17523"/>
    <cellStyle name="Comma 9 2 7 6 3" xfId="14671"/>
    <cellStyle name="Comma 9 2 7 7" xfId="2457"/>
    <cellStyle name="Comma 9 2 7 7 2" xfId="14105"/>
    <cellStyle name="Comma 9 2 7 8" xfId="10418"/>
    <cellStyle name="Comma 9 2 7 8 2" xfId="16957"/>
    <cellStyle name="Comma 9 2 7 9" xfId="13531"/>
    <cellStyle name="Comma 9 2 8" xfId="1243"/>
    <cellStyle name="Comma 9 2 8 2" xfId="4663"/>
    <cellStyle name="Comma 9 2 8 2 2" xfId="11726"/>
    <cellStyle name="Comma 9 2 8 2 2 2" xfId="18265"/>
    <cellStyle name="Comma 9 2 8 2 3" xfId="15413"/>
    <cellStyle name="Comma 9 2 8 3" xfId="6935"/>
    <cellStyle name="Comma 9 2 8 3 2" xfId="12297"/>
    <cellStyle name="Comma 9 2 8 3 2 2" xfId="18836"/>
    <cellStyle name="Comma 9 2 8 3 3" xfId="15984"/>
    <cellStyle name="Comma 9 2 8 4" xfId="9207"/>
    <cellStyle name="Comma 9 2 8 4 2" xfId="12868"/>
    <cellStyle name="Comma 9 2 8 4 2 2" xfId="19407"/>
    <cellStyle name="Comma 9 2 8 4 3" xfId="16555"/>
    <cellStyle name="Comma 9 2 8 5" xfId="3198"/>
    <cellStyle name="Comma 9 2 8 5 2" xfId="11155"/>
    <cellStyle name="Comma 9 2 8 5 2 2" xfId="17694"/>
    <cellStyle name="Comma 9 2 8 5 3" xfId="14842"/>
    <cellStyle name="Comma 9 2 8 6" xfId="2625"/>
    <cellStyle name="Comma 9 2 8 6 2" xfId="14273"/>
    <cellStyle name="Comma 9 2 8 7" xfId="10586"/>
    <cellStyle name="Comma 9 2 8 7 2" xfId="17125"/>
    <cellStyle name="Comma 9 2 8 8" xfId="13702"/>
    <cellStyle name="Comma 9 2 9" xfId="3528"/>
    <cellStyle name="Comma 9 2 9 2" xfId="11441"/>
    <cellStyle name="Comma 9 2 9 2 2" xfId="17980"/>
    <cellStyle name="Comma 9 2 9 3" xfId="15128"/>
    <cellStyle name="Comma 9 3" xfId="181"/>
    <cellStyle name="Comma 9 3 10" xfId="2365"/>
    <cellStyle name="Comma 9 3 10 2" xfId="14013"/>
    <cellStyle name="Comma 9 3 11" xfId="10326"/>
    <cellStyle name="Comma 9 3 11 2" xfId="16865"/>
    <cellStyle name="Comma 9 3 12" xfId="13437"/>
    <cellStyle name="Comma 9 3 2" xfId="419"/>
    <cellStyle name="Comma 9 3 2 10" xfId="13495"/>
    <cellStyle name="Comma 9 3 2 2" xfId="873"/>
    <cellStyle name="Comma 9 3 2 2 2" xfId="2008"/>
    <cellStyle name="Comma 9 3 2 2 2 2" xfId="5428"/>
    <cellStyle name="Comma 9 3 2 2 2 2 2" xfId="11918"/>
    <cellStyle name="Comma 9 3 2 2 2 2 2 2" xfId="18457"/>
    <cellStyle name="Comma 9 3 2 2 2 2 3" xfId="15605"/>
    <cellStyle name="Comma 9 3 2 2 2 3" xfId="7700"/>
    <cellStyle name="Comma 9 3 2 2 2 3 2" xfId="12489"/>
    <cellStyle name="Comma 9 3 2 2 2 3 2 2" xfId="19028"/>
    <cellStyle name="Comma 9 3 2 2 2 3 3" xfId="16176"/>
    <cellStyle name="Comma 9 3 2 2 2 4" xfId="9972"/>
    <cellStyle name="Comma 9 3 2 2 2 4 2" xfId="13060"/>
    <cellStyle name="Comma 9 3 2 2 2 4 2 2" xfId="19599"/>
    <cellStyle name="Comma 9 3 2 2 2 4 3" xfId="16747"/>
    <cellStyle name="Comma 9 3 2 2 2 5" xfId="3390"/>
    <cellStyle name="Comma 9 3 2 2 2 5 2" xfId="11347"/>
    <cellStyle name="Comma 9 3 2 2 2 5 2 2" xfId="17886"/>
    <cellStyle name="Comma 9 3 2 2 2 5 3" xfId="15034"/>
    <cellStyle name="Comma 9 3 2 2 2 6" xfId="2814"/>
    <cellStyle name="Comma 9 3 2 2 2 6 2" xfId="14462"/>
    <cellStyle name="Comma 9 3 2 2 2 7" xfId="10775"/>
    <cellStyle name="Comma 9 3 2 2 2 7 2" xfId="17314"/>
    <cellStyle name="Comma 9 3 2 2 2 8" xfId="13894"/>
    <cellStyle name="Comma 9 3 2 2 3" xfId="4293"/>
    <cellStyle name="Comma 9 3 2 2 3 2" xfId="11633"/>
    <cellStyle name="Comma 9 3 2 2 3 2 2" xfId="18172"/>
    <cellStyle name="Comma 9 3 2 2 3 3" xfId="15320"/>
    <cellStyle name="Comma 9 3 2 2 4" xfId="6565"/>
    <cellStyle name="Comma 9 3 2 2 4 2" xfId="12204"/>
    <cellStyle name="Comma 9 3 2 2 4 2 2" xfId="18743"/>
    <cellStyle name="Comma 9 3 2 2 4 3" xfId="15891"/>
    <cellStyle name="Comma 9 3 2 2 5" xfId="8837"/>
    <cellStyle name="Comma 9 3 2 2 5 2" xfId="12775"/>
    <cellStyle name="Comma 9 3 2 2 5 2 2" xfId="19314"/>
    <cellStyle name="Comma 9 3 2 2 5 3" xfId="16462"/>
    <cellStyle name="Comma 9 3 2 2 6" xfId="3105"/>
    <cellStyle name="Comma 9 3 2 2 6 2" xfId="11062"/>
    <cellStyle name="Comma 9 3 2 2 6 2 2" xfId="17601"/>
    <cellStyle name="Comma 9 3 2 2 6 3" xfId="14749"/>
    <cellStyle name="Comma 9 3 2 2 7" xfId="2534"/>
    <cellStyle name="Comma 9 3 2 2 7 2" xfId="14182"/>
    <cellStyle name="Comma 9 3 2 2 8" xfId="10495"/>
    <cellStyle name="Comma 9 3 2 2 8 2" xfId="17034"/>
    <cellStyle name="Comma 9 3 2 2 9" xfId="13609"/>
    <cellStyle name="Comma 9 3 2 3" xfId="1554"/>
    <cellStyle name="Comma 9 3 2 3 2" xfId="4974"/>
    <cellStyle name="Comma 9 3 2 3 2 2" xfId="11804"/>
    <cellStyle name="Comma 9 3 2 3 2 2 2" xfId="18343"/>
    <cellStyle name="Comma 9 3 2 3 2 3" xfId="15491"/>
    <cellStyle name="Comma 9 3 2 3 3" xfId="7246"/>
    <cellStyle name="Comma 9 3 2 3 3 2" xfId="12375"/>
    <cellStyle name="Comma 9 3 2 3 3 2 2" xfId="18914"/>
    <cellStyle name="Comma 9 3 2 3 3 3" xfId="16062"/>
    <cellStyle name="Comma 9 3 2 3 4" xfId="9518"/>
    <cellStyle name="Comma 9 3 2 3 4 2" xfId="12946"/>
    <cellStyle name="Comma 9 3 2 3 4 2 2" xfId="19485"/>
    <cellStyle name="Comma 9 3 2 3 4 3" xfId="16633"/>
    <cellStyle name="Comma 9 3 2 3 5" xfId="3276"/>
    <cellStyle name="Comma 9 3 2 3 5 2" xfId="11233"/>
    <cellStyle name="Comma 9 3 2 3 5 2 2" xfId="17772"/>
    <cellStyle name="Comma 9 3 2 3 5 3" xfId="14920"/>
    <cellStyle name="Comma 9 3 2 3 6" xfId="2702"/>
    <cellStyle name="Comma 9 3 2 3 6 2" xfId="14350"/>
    <cellStyle name="Comma 9 3 2 3 7" xfId="10663"/>
    <cellStyle name="Comma 9 3 2 3 7 2" xfId="17202"/>
    <cellStyle name="Comma 9 3 2 3 8" xfId="13780"/>
    <cellStyle name="Comma 9 3 2 4" xfId="3839"/>
    <cellStyle name="Comma 9 3 2 4 2" xfId="11519"/>
    <cellStyle name="Comma 9 3 2 4 2 2" xfId="18058"/>
    <cellStyle name="Comma 9 3 2 4 3" xfId="15206"/>
    <cellStyle name="Comma 9 3 2 5" xfId="6111"/>
    <cellStyle name="Comma 9 3 2 5 2" xfId="12090"/>
    <cellStyle name="Comma 9 3 2 5 2 2" xfId="18629"/>
    <cellStyle name="Comma 9 3 2 5 3" xfId="15777"/>
    <cellStyle name="Comma 9 3 2 6" xfId="8383"/>
    <cellStyle name="Comma 9 3 2 6 2" xfId="12661"/>
    <cellStyle name="Comma 9 3 2 6 2 2" xfId="19200"/>
    <cellStyle name="Comma 9 3 2 6 3" xfId="16348"/>
    <cellStyle name="Comma 9 3 2 7" xfId="2991"/>
    <cellStyle name="Comma 9 3 2 7 2" xfId="10948"/>
    <cellStyle name="Comma 9 3 2 7 2 2" xfId="17487"/>
    <cellStyle name="Comma 9 3 2 7 3" xfId="14635"/>
    <cellStyle name="Comma 9 3 2 8" xfId="2422"/>
    <cellStyle name="Comma 9 3 2 8 2" xfId="14070"/>
    <cellStyle name="Comma 9 3 2 9" xfId="10383"/>
    <cellStyle name="Comma 9 3 2 9 2" xfId="16922"/>
    <cellStyle name="Comma 9 3 3" xfId="1100"/>
    <cellStyle name="Comma 9 3 3 2" xfId="2235"/>
    <cellStyle name="Comma 9 3 3 2 2" xfId="5655"/>
    <cellStyle name="Comma 9 3 3 2 2 2" xfId="11975"/>
    <cellStyle name="Comma 9 3 3 2 2 2 2" xfId="18514"/>
    <cellStyle name="Comma 9 3 3 2 2 3" xfId="15662"/>
    <cellStyle name="Comma 9 3 3 2 3" xfId="7927"/>
    <cellStyle name="Comma 9 3 3 2 3 2" xfId="12546"/>
    <cellStyle name="Comma 9 3 3 2 3 2 2" xfId="19085"/>
    <cellStyle name="Comma 9 3 3 2 3 3" xfId="16233"/>
    <cellStyle name="Comma 9 3 3 2 4" xfId="10199"/>
    <cellStyle name="Comma 9 3 3 2 4 2" xfId="13117"/>
    <cellStyle name="Comma 9 3 3 2 4 2 2" xfId="19656"/>
    <cellStyle name="Comma 9 3 3 2 4 3" xfId="16804"/>
    <cellStyle name="Comma 9 3 3 2 5" xfId="3447"/>
    <cellStyle name="Comma 9 3 3 2 5 2" xfId="11404"/>
    <cellStyle name="Comma 9 3 3 2 5 2 2" xfId="17943"/>
    <cellStyle name="Comma 9 3 3 2 5 3" xfId="15091"/>
    <cellStyle name="Comma 9 3 3 2 6" xfId="2870"/>
    <cellStyle name="Comma 9 3 3 2 6 2" xfId="14518"/>
    <cellStyle name="Comma 9 3 3 2 7" xfId="10831"/>
    <cellStyle name="Comma 9 3 3 2 7 2" xfId="17370"/>
    <cellStyle name="Comma 9 3 3 2 8" xfId="13951"/>
    <cellStyle name="Comma 9 3 3 3" xfId="4520"/>
    <cellStyle name="Comma 9 3 3 3 2" xfId="11690"/>
    <cellStyle name="Comma 9 3 3 3 2 2" xfId="18229"/>
    <cellStyle name="Comma 9 3 3 3 3" xfId="15377"/>
    <cellStyle name="Comma 9 3 3 4" xfId="6792"/>
    <cellStyle name="Comma 9 3 3 4 2" xfId="12261"/>
    <cellStyle name="Comma 9 3 3 4 2 2" xfId="18800"/>
    <cellStyle name="Comma 9 3 3 4 3" xfId="15948"/>
    <cellStyle name="Comma 9 3 3 5" xfId="9064"/>
    <cellStyle name="Comma 9 3 3 5 2" xfId="12832"/>
    <cellStyle name="Comma 9 3 3 5 2 2" xfId="19371"/>
    <cellStyle name="Comma 9 3 3 5 3" xfId="16519"/>
    <cellStyle name="Comma 9 3 3 6" xfId="3162"/>
    <cellStyle name="Comma 9 3 3 6 2" xfId="11119"/>
    <cellStyle name="Comma 9 3 3 6 2 2" xfId="17658"/>
    <cellStyle name="Comma 9 3 3 6 3" xfId="14806"/>
    <cellStyle name="Comma 9 3 3 7" xfId="2590"/>
    <cellStyle name="Comma 9 3 3 7 2" xfId="14238"/>
    <cellStyle name="Comma 9 3 3 8" xfId="10551"/>
    <cellStyle name="Comma 9 3 3 8 2" xfId="17090"/>
    <cellStyle name="Comma 9 3 3 9" xfId="13666"/>
    <cellStyle name="Comma 9 3 4" xfId="646"/>
    <cellStyle name="Comma 9 3 4 2" xfId="1781"/>
    <cellStyle name="Comma 9 3 4 2 2" xfId="5201"/>
    <cellStyle name="Comma 9 3 4 2 2 2" xfId="11861"/>
    <cellStyle name="Comma 9 3 4 2 2 2 2" xfId="18400"/>
    <cellStyle name="Comma 9 3 4 2 2 3" xfId="15548"/>
    <cellStyle name="Comma 9 3 4 2 3" xfId="7473"/>
    <cellStyle name="Comma 9 3 4 2 3 2" xfId="12432"/>
    <cellStyle name="Comma 9 3 4 2 3 2 2" xfId="18971"/>
    <cellStyle name="Comma 9 3 4 2 3 3" xfId="16119"/>
    <cellStyle name="Comma 9 3 4 2 4" xfId="9745"/>
    <cellStyle name="Comma 9 3 4 2 4 2" xfId="13003"/>
    <cellStyle name="Comma 9 3 4 2 4 2 2" xfId="19542"/>
    <cellStyle name="Comma 9 3 4 2 4 3" xfId="16690"/>
    <cellStyle name="Comma 9 3 4 2 5" xfId="3333"/>
    <cellStyle name="Comma 9 3 4 2 5 2" xfId="11290"/>
    <cellStyle name="Comma 9 3 4 2 5 2 2" xfId="17829"/>
    <cellStyle name="Comma 9 3 4 2 5 3" xfId="14977"/>
    <cellStyle name="Comma 9 3 4 2 6" xfId="2758"/>
    <cellStyle name="Comma 9 3 4 2 6 2" xfId="14406"/>
    <cellStyle name="Comma 9 3 4 2 7" xfId="10719"/>
    <cellStyle name="Comma 9 3 4 2 7 2" xfId="17258"/>
    <cellStyle name="Comma 9 3 4 2 8" xfId="13837"/>
    <cellStyle name="Comma 9 3 4 3" xfId="4066"/>
    <cellStyle name="Comma 9 3 4 3 2" xfId="11576"/>
    <cellStyle name="Comma 9 3 4 3 2 2" xfId="18115"/>
    <cellStyle name="Comma 9 3 4 3 3" xfId="15263"/>
    <cellStyle name="Comma 9 3 4 4" xfId="6338"/>
    <cellStyle name="Comma 9 3 4 4 2" xfId="12147"/>
    <cellStyle name="Comma 9 3 4 4 2 2" xfId="18686"/>
    <cellStyle name="Comma 9 3 4 4 3" xfId="15834"/>
    <cellStyle name="Comma 9 3 4 5" xfId="8610"/>
    <cellStyle name="Comma 9 3 4 5 2" xfId="12718"/>
    <cellStyle name="Comma 9 3 4 5 2 2" xfId="19257"/>
    <cellStyle name="Comma 9 3 4 5 3" xfId="16405"/>
    <cellStyle name="Comma 9 3 4 6" xfId="3048"/>
    <cellStyle name="Comma 9 3 4 6 2" xfId="11005"/>
    <cellStyle name="Comma 9 3 4 6 2 2" xfId="17544"/>
    <cellStyle name="Comma 9 3 4 6 3" xfId="14692"/>
    <cellStyle name="Comma 9 3 4 7" xfId="2478"/>
    <cellStyle name="Comma 9 3 4 7 2" xfId="14126"/>
    <cellStyle name="Comma 9 3 4 8" xfId="10439"/>
    <cellStyle name="Comma 9 3 4 8 2" xfId="16978"/>
    <cellStyle name="Comma 9 3 4 9" xfId="13552"/>
    <cellStyle name="Comma 9 3 5" xfId="1327"/>
    <cellStyle name="Comma 9 3 5 2" xfId="4747"/>
    <cellStyle name="Comma 9 3 5 2 2" xfId="11747"/>
    <cellStyle name="Comma 9 3 5 2 2 2" xfId="18286"/>
    <cellStyle name="Comma 9 3 5 2 3" xfId="15434"/>
    <cellStyle name="Comma 9 3 5 3" xfId="7019"/>
    <cellStyle name="Comma 9 3 5 3 2" xfId="12318"/>
    <cellStyle name="Comma 9 3 5 3 2 2" xfId="18857"/>
    <cellStyle name="Comma 9 3 5 3 3" xfId="16005"/>
    <cellStyle name="Comma 9 3 5 4" xfId="9291"/>
    <cellStyle name="Comma 9 3 5 4 2" xfId="12889"/>
    <cellStyle name="Comma 9 3 5 4 2 2" xfId="19428"/>
    <cellStyle name="Comma 9 3 5 4 3" xfId="16576"/>
    <cellStyle name="Comma 9 3 5 5" xfId="3219"/>
    <cellStyle name="Comma 9 3 5 5 2" xfId="11176"/>
    <cellStyle name="Comma 9 3 5 5 2 2" xfId="17715"/>
    <cellStyle name="Comma 9 3 5 5 3" xfId="14863"/>
    <cellStyle name="Comma 9 3 5 6" xfId="2646"/>
    <cellStyle name="Comma 9 3 5 6 2" xfId="14294"/>
    <cellStyle name="Comma 9 3 5 7" xfId="10607"/>
    <cellStyle name="Comma 9 3 5 7 2" xfId="17146"/>
    <cellStyle name="Comma 9 3 5 8" xfId="13723"/>
    <cellStyle name="Comma 9 3 6" xfId="3612"/>
    <cellStyle name="Comma 9 3 6 2" xfId="11462"/>
    <cellStyle name="Comma 9 3 6 2 2" xfId="18001"/>
    <cellStyle name="Comma 9 3 6 3" xfId="15149"/>
    <cellStyle name="Comma 9 3 7" xfId="5884"/>
    <cellStyle name="Comma 9 3 7 2" xfId="12033"/>
    <cellStyle name="Comma 9 3 7 2 2" xfId="18572"/>
    <cellStyle name="Comma 9 3 7 3" xfId="15720"/>
    <cellStyle name="Comma 9 3 8" xfId="8156"/>
    <cellStyle name="Comma 9 3 8 2" xfId="12604"/>
    <cellStyle name="Comma 9 3 8 2 2" xfId="19143"/>
    <cellStyle name="Comma 9 3 8 3" xfId="16291"/>
    <cellStyle name="Comma 9 3 9" xfId="2931"/>
    <cellStyle name="Comma 9 3 9 2" xfId="10890"/>
    <cellStyle name="Comma 9 3 9 2 2" xfId="17429"/>
    <cellStyle name="Comma 9 3 9 3" xfId="14577"/>
    <cellStyle name="Comma 9 4" xfId="125"/>
    <cellStyle name="Comma 9 4 10" xfId="2351"/>
    <cellStyle name="Comma 9 4 10 2" xfId="13999"/>
    <cellStyle name="Comma 9 4 11" xfId="10312"/>
    <cellStyle name="Comma 9 4 11 2" xfId="16851"/>
    <cellStyle name="Comma 9 4 12" xfId="13423"/>
    <cellStyle name="Comma 9 4 2" xfId="363"/>
    <cellStyle name="Comma 9 4 2 10" xfId="13481"/>
    <cellStyle name="Comma 9 4 2 2" xfId="817"/>
    <cellStyle name="Comma 9 4 2 2 2" xfId="1952"/>
    <cellStyle name="Comma 9 4 2 2 2 2" xfId="5372"/>
    <cellStyle name="Comma 9 4 2 2 2 2 2" xfId="11904"/>
    <cellStyle name="Comma 9 4 2 2 2 2 2 2" xfId="18443"/>
    <cellStyle name="Comma 9 4 2 2 2 2 3" xfId="15591"/>
    <cellStyle name="Comma 9 4 2 2 2 3" xfId="7644"/>
    <cellStyle name="Comma 9 4 2 2 2 3 2" xfId="12475"/>
    <cellStyle name="Comma 9 4 2 2 2 3 2 2" xfId="19014"/>
    <cellStyle name="Comma 9 4 2 2 2 3 3" xfId="16162"/>
    <cellStyle name="Comma 9 4 2 2 2 4" xfId="9916"/>
    <cellStyle name="Comma 9 4 2 2 2 4 2" xfId="13046"/>
    <cellStyle name="Comma 9 4 2 2 2 4 2 2" xfId="19585"/>
    <cellStyle name="Comma 9 4 2 2 2 4 3" xfId="16733"/>
    <cellStyle name="Comma 9 4 2 2 2 5" xfId="3376"/>
    <cellStyle name="Comma 9 4 2 2 2 5 2" xfId="11333"/>
    <cellStyle name="Comma 9 4 2 2 2 5 2 2" xfId="17872"/>
    <cellStyle name="Comma 9 4 2 2 2 5 3" xfId="15020"/>
    <cellStyle name="Comma 9 4 2 2 2 6" xfId="2800"/>
    <cellStyle name="Comma 9 4 2 2 2 6 2" xfId="14448"/>
    <cellStyle name="Comma 9 4 2 2 2 7" xfId="10761"/>
    <cellStyle name="Comma 9 4 2 2 2 7 2" xfId="17300"/>
    <cellStyle name="Comma 9 4 2 2 2 8" xfId="13880"/>
    <cellStyle name="Comma 9 4 2 2 3" xfId="4237"/>
    <cellStyle name="Comma 9 4 2 2 3 2" xfId="11619"/>
    <cellStyle name="Comma 9 4 2 2 3 2 2" xfId="18158"/>
    <cellStyle name="Comma 9 4 2 2 3 3" xfId="15306"/>
    <cellStyle name="Comma 9 4 2 2 4" xfId="6509"/>
    <cellStyle name="Comma 9 4 2 2 4 2" xfId="12190"/>
    <cellStyle name="Comma 9 4 2 2 4 2 2" xfId="18729"/>
    <cellStyle name="Comma 9 4 2 2 4 3" xfId="15877"/>
    <cellStyle name="Comma 9 4 2 2 5" xfId="8781"/>
    <cellStyle name="Comma 9 4 2 2 5 2" xfId="12761"/>
    <cellStyle name="Comma 9 4 2 2 5 2 2" xfId="19300"/>
    <cellStyle name="Comma 9 4 2 2 5 3" xfId="16448"/>
    <cellStyle name="Comma 9 4 2 2 6" xfId="3091"/>
    <cellStyle name="Comma 9 4 2 2 6 2" xfId="11048"/>
    <cellStyle name="Comma 9 4 2 2 6 2 2" xfId="17587"/>
    <cellStyle name="Comma 9 4 2 2 6 3" xfId="14735"/>
    <cellStyle name="Comma 9 4 2 2 7" xfId="2520"/>
    <cellStyle name="Comma 9 4 2 2 7 2" xfId="14168"/>
    <cellStyle name="Comma 9 4 2 2 8" xfId="10481"/>
    <cellStyle name="Comma 9 4 2 2 8 2" xfId="17020"/>
    <cellStyle name="Comma 9 4 2 2 9" xfId="13595"/>
    <cellStyle name="Comma 9 4 2 3" xfId="1498"/>
    <cellStyle name="Comma 9 4 2 3 2" xfId="4918"/>
    <cellStyle name="Comma 9 4 2 3 2 2" xfId="11790"/>
    <cellStyle name="Comma 9 4 2 3 2 2 2" xfId="18329"/>
    <cellStyle name="Comma 9 4 2 3 2 3" xfId="15477"/>
    <cellStyle name="Comma 9 4 2 3 3" xfId="7190"/>
    <cellStyle name="Comma 9 4 2 3 3 2" xfId="12361"/>
    <cellStyle name="Comma 9 4 2 3 3 2 2" xfId="18900"/>
    <cellStyle name="Comma 9 4 2 3 3 3" xfId="16048"/>
    <cellStyle name="Comma 9 4 2 3 4" xfId="9462"/>
    <cellStyle name="Comma 9 4 2 3 4 2" xfId="12932"/>
    <cellStyle name="Comma 9 4 2 3 4 2 2" xfId="19471"/>
    <cellStyle name="Comma 9 4 2 3 4 3" xfId="16619"/>
    <cellStyle name="Comma 9 4 2 3 5" xfId="3262"/>
    <cellStyle name="Comma 9 4 2 3 5 2" xfId="11219"/>
    <cellStyle name="Comma 9 4 2 3 5 2 2" xfId="17758"/>
    <cellStyle name="Comma 9 4 2 3 5 3" xfId="14906"/>
    <cellStyle name="Comma 9 4 2 3 6" xfId="2688"/>
    <cellStyle name="Comma 9 4 2 3 6 2" xfId="14336"/>
    <cellStyle name="Comma 9 4 2 3 7" xfId="10649"/>
    <cellStyle name="Comma 9 4 2 3 7 2" xfId="17188"/>
    <cellStyle name="Comma 9 4 2 3 8" xfId="13766"/>
    <cellStyle name="Comma 9 4 2 4" xfId="3783"/>
    <cellStyle name="Comma 9 4 2 4 2" xfId="11505"/>
    <cellStyle name="Comma 9 4 2 4 2 2" xfId="18044"/>
    <cellStyle name="Comma 9 4 2 4 3" xfId="15192"/>
    <cellStyle name="Comma 9 4 2 5" xfId="6055"/>
    <cellStyle name="Comma 9 4 2 5 2" xfId="12076"/>
    <cellStyle name="Comma 9 4 2 5 2 2" xfId="18615"/>
    <cellStyle name="Comma 9 4 2 5 3" xfId="15763"/>
    <cellStyle name="Comma 9 4 2 6" xfId="8327"/>
    <cellStyle name="Comma 9 4 2 6 2" xfId="12647"/>
    <cellStyle name="Comma 9 4 2 6 2 2" xfId="19186"/>
    <cellStyle name="Comma 9 4 2 6 3" xfId="16334"/>
    <cellStyle name="Comma 9 4 2 7" xfId="2977"/>
    <cellStyle name="Comma 9 4 2 7 2" xfId="10934"/>
    <cellStyle name="Comma 9 4 2 7 2 2" xfId="17473"/>
    <cellStyle name="Comma 9 4 2 7 3" xfId="14621"/>
    <cellStyle name="Comma 9 4 2 8" xfId="2408"/>
    <cellStyle name="Comma 9 4 2 8 2" xfId="14056"/>
    <cellStyle name="Comma 9 4 2 9" xfId="10369"/>
    <cellStyle name="Comma 9 4 2 9 2" xfId="16908"/>
    <cellStyle name="Comma 9 4 3" xfId="1044"/>
    <cellStyle name="Comma 9 4 3 2" xfId="2179"/>
    <cellStyle name="Comma 9 4 3 2 2" xfId="5599"/>
    <cellStyle name="Comma 9 4 3 2 2 2" xfId="11961"/>
    <cellStyle name="Comma 9 4 3 2 2 2 2" xfId="18500"/>
    <cellStyle name="Comma 9 4 3 2 2 3" xfId="15648"/>
    <cellStyle name="Comma 9 4 3 2 3" xfId="7871"/>
    <cellStyle name="Comma 9 4 3 2 3 2" xfId="12532"/>
    <cellStyle name="Comma 9 4 3 2 3 2 2" xfId="19071"/>
    <cellStyle name="Comma 9 4 3 2 3 3" xfId="16219"/>
    <cellStyle name="Comma 9 4 3 2 4" xfId="10143"/>
    <cellStyle name="Comma 9 4 3 2 4 2" xfId="13103"/>
    <cellStyle name="Comma 9 4 3 2 4 2 2" xfId="19642"/>
    <cellStyle name="Comma 9 4 3 2 4 3" xfId="16790"/>
    <cellStyle name="Comma 9 4 3 2 5" xfId="3433"/>
    <cellStyle name="Comma 9 4 3 2 5 2" xfId="11390"/>
    <cellStyle name="Comma 9 4 3 2 5 2 2" xfId="17929"/>
    <cellStyle name="Comma 9 4 3 2 5 3" xfId="15077"/>
    <cellStyle name="Comma 9 4 3 2 6" xfId="2856"/>
    <cellStyle name="Comma 9 4 3 2 6 2" xfId="14504"/>
    <cellStyle name="Comma 9 4 3 2 7" xfId="10817"/>
    <cellStyle name="Comma 9 4 3 2 7 2" xfId="17356"/>
    <cellStyle name="Comma 9 4 3 2 8" xfId="13937"/>
    <cellStyle name="Comma 9 4 3 3" xfId="4464"/>
    <cellStyle name="Comma 9 4 3 3 2" xfId="11676"/>
    <cellStyle name="Comma 9 4 3 3 2 2" xfId="18215"/>
    <cellStyle name="Comma 9 4 3 3 3" xfId="15363"/>
    <cellStyle name="Comma 9 4 3 4" xfId="6736"/>
    <cellStyle name="Comma 9 4 3 4 2" xfId="12247"/>
    <cellStyle name="Comma 9 4 3 4 2 2" xfId="18786"/>
    <cellStyle name="Comma 9 4 3 4 3" xfId="15934"/>
    <cellStyle name="Comma 9 4 3 5" xfId="9008"/>
    <cellStyle name="Comma 9 4 3 5 2" xfId="12818"/>
    <cellStyle name="Comma 9 4 3 5 2 2" xfId="19357"/>
    <cellStyle name="Comma 9 4 3 5 3" xfId="16505"/>
    <cellStyle name="Comma 9 4 3 6" xfId="3148"/>
    <cellStyle name="Comma 9 4 3 6 2" xfId="11105"/>
    <cellStyle name="Comma 9 4 3 6 2 2" xfId="17644"/>
    <cellStyle name="Comma 9 4 3 6 3" xfId="14792"/>
    <cellStyle name="Comma 9 4 3 7" xfId="2576"/>
    <cellStyle name="Comma 9 4 3 7 2" xfId="14224"/>
    <cellStyle name="Comma 9 4 3 8" xfId="10537"/>
    <cellStyle name="Comma 9 4 3 8 2" xfId="17076"/>
    <cellStyle name="Comma 9 4 3 9" xfId="13652"/>
    <cellStyle name="Comma 9 4 4" xfId="590"/>
    <cellStyle name="Comma 9 4 4 2" xfId="1725"/>
    <cellStyle name="Comma 9 4 4 2 2" xfId="5145"/>
    <cellStyle name="Comma 9 4 4 2 2 2" xfId="11847"/>
    <cellStyle name="Comma 9 4 4 2 2 2 2" xfId="18386"/>
    <cellStyle name="Comma 9 4 4 2 2 3" xfId="15534"/>
    <cellStyle name="Comma 9 4 4 2 3" xfId="7417"/>
    <cellStyle name="Comma 9 4 4 2 3 2" xfId="12418"/>
    <cellStyle name="Comma 9 4 4 2 3 2 2" xfId="18957"/>
    <cellStyle name="Comma 9 4 4 2 3 3" xfId="16105"/>
    <cellStyle name="Comma 9 4 4 2 4" xfId="9689"/>
    <cellStyle name="Comma 9 4 4 2 4 2" xfId="12989"/>
    <cellStyle name="Comma 9 4 4 2 4 2 2" xfId="19528"/>
    <cellStyle name="Comma 9 4 4 2 4 3" xfId="16676"/>
    <cellStyle name="Comma 9 4 4 2 5" xfId="3319"/>
    <cellStyle name="Comma 9 4 4 2 5 2" xfId="11276"/>
    <cellStyle name="Comma 9 4 4 2 5 2 2" xfId="17815"/>
    <cellStyle name="Comma 9 4 4 2 5 3" xfId="14963"/>
    <cellStyle name="Comma 9 4 4 2 6" xfId="2744"/>
    <cellStyle name="Comma 9 4 4 2 6 2" xfId="14392"/>
    <cellStyle name="Comma 9 4 4 2 7" xfId="10705"/>
    <cellStyle name="Comma 9 4 4 2 7 2" xfId="17244"/>
    <cellStyle name="Comma 9 4 4 2 8" xfId="13823"/>
    <cellStyle name="Comma 9 4 4 3" xfId="4010"/>
    <cellStyle name="Comma 9 4 4 3 2" xfId="11562"/>
    <cellStyle name="Comma 9 4 4 3 2 2" xfId="18101"/>
    <cellStyle name="Comma 9 4 4 3 3" xfId="15249"/>
    <cellStyle name="Comma 9 4 4 4" xfId="6282"/>
    <cellStyle name="Comma 9 4 4 4 2" xfId="12133"/>
    <cellStyle name="Comma 9 4 4 4 2 2" xfId="18672"/>
    <cellStyle name="Comma 9 4 4 4 3" xfId="15820"/>
    <cellStyle name="Comma 9 4 4 5" xfId="8554"/>
    <cellStyle name="Comma 9 4 4 5 2" xfId="12704"/>
    <cellStyle name="Comma 9 4 4 5 2 2" xfId="19243"/>
    <cellStyle name="Comma 9 4 4 5 3" xfId="16391"/>
    <cellStyle name="Comma 9 4 4 6" xfId="3034"/>
    <cellStyle name="Comma 9 4 4 6 2" xfId="10991"/>
    <cellStyle name="Comma 9 4 4 6 2 2" xfId="17530"/>
    <cellStyle name="Comma 9 4 4 6 3" xfId="14678"/>
    <cellStyle name="Comma 9 4 4 7" xfId="2464"/>
    <cellStyle name="Comma 9 4 4 7 2" xfId="14112"/>
    <cellStyle name="Comma 9 4 4 8" xfId="10425"/>
    <cellStyle name="Comma 9 4 4 8 2" xfId="16964"/>
    <cellStyle name="Comma 9 4 4 9" xfId="13538"/>
    <cellStyle name="Comma 9 4 5" xfId="1271"/>
    <cellStyle name="Comma 9 4 5 2" xfId="4691"/>
    <cellStyle name="Comma 9 4 5 2 2" xfId="11733"/>
    <cellStyle name="Comma 9 4 5 2 2 2" xfId="18272"/>
    <cellStyle name="Comma 9 4 5 2 3" xfId="15420"/>
    <cellStyle name="Comma 9 4 5 3" xfId="6963"/>
    <cellStyle name="Comma 9 4 5 3 2" xfId="12304"/>
    <cellStyle name="Comma 9 4 5 3 2 2" xfId="18843"/>
    <cellStyle name="Comma 9 4 5 3 3" xfId="15991"/>
    <cellStyle name="Comma 9 4 5 4" xfId="9235"/>
    <cellStyle name="Comma 9 4 5 4 2" xfId="12875"/>
    <cellStyle name="Comma 9 4 5 4 2 2" xfId="19414"/>
    <cellStyle name="Comma 9 4 5 4 3" xfId="16562"/>
    <cellStyle name="Comma 9 4 5 5" xfId="3205"/>
    <cellStyle name="Comma 9 4 5 5 2" xfId="11162"/>
    <cellStyle name="Comma 9 4 5 5 2 2" xfId="17701"/>
    <cellStyle name="Comma 9 4 5 5 3" xfId="14849"/>
    <cellStyle name="Comma 9 4 5 6" xfId="2632"/>
    <cellStyle name="Comma 9 4 5 6 2" xfId="14280"/>
    <cellStyle name="Comma 9 4 5 7" xfId="10593"/>
    <cellStyle name="Comma 9 4 5 7 2" xfId="17132"/>
    <cellStyle name="Comma 9 4 5 8" xfId="13709"/>
    <cellStyle name="Comma 9 4 6" xfId="3556"/>
    <cellStyle name="Comma 9 4 6 2" xfId="11448"/>
    <cellStyle name="Comma 9 4 6 2 2" xfId="17987"/>
    <cellStyle name="Comma 9 4 6 3" xfId="15135"/>
    <cellStyle name="Comma 9 4 7" xfId="5828"/>
    <cellStyle name="Comma 9 4 7 2" xfId="12019"/>
    <cellStyle name="Comma 9 4 7 2 2" xfId="18558"/>
    <cellStyle name="Comma 9 4 7 3" xfId="15706"/>
    <cellStyle name="Comma 9 4 8" xfId="8100"/>
    <cellStyle name="Comma 9 4 8 2" xfId="12590"/>
    <cellStyle name="Comma 9 4 8 2 2" xfId="19129"/>
    <cellStyle name="Comma 9 4 8 3" xfId="16277"/>
    <cellStyle name="Comma 9 4 9" xfId="2917"/>
    <cellStyle name="Comma 9 4 9 2" xfId="10876"/>
    <cellStyle name="Comma 9 4 9 2 2" xfId="17415"/>
    <cellStyle name="Comma 9 4 9 3" xfId="14563"/>
    <cellStyle name="Comma 9 5" xfId="251"/>
    <cellStyle name="Comma 9 5 10" xfId="2380"/>
    <cellStyle name="Comma 9 5 10 2" xfId="14028"/>
    <cellStyle name="Comma 9 5 11" xfId="10341"/>
    <cellStyle name="Comma 9 5 11 2" xfId="16880"/>
    <cellStyle name="Comma 9 5 12" xfId="13453"/>
    <cellStyle name="Comma 9 5 2" xfId="478"/>
    <cellStyle name="Comma 9 5 2 10" xfId="13510"/>
    <cellStyle name="Comma 9 5 2 2" xfId="932"/>
    <cellStyle name="Comma 9 5 2 2 2" xfId="2067"/>
    <cellStyle name="Comma 9 5 2 2 2 2" xfId="5487"/>
    <cellStyle name="Comma 9 5 2 2 2 2 2" xfId="11933"/>
    <cellStyle name="Comma 9 5 2 2 2 2 2 2" xfId="18472"/>
    <cellStyle name="Comma 9 5 2 2 2 2 3" xfId="15620"/>
    <cellStyle name="Comma 9 5 2 2 2 3" xfId="7759"/>
    <cellStyle name="Comma 9 5 2 2 2 3 2" xfId="12504"/>
    <cellStyle name="Comma 9 5 2 2 2 3 2 2" xfId="19043"/>
    <cellStyle name="Comma 9 5 2 2 2 3 3" xfId="16191"/>
    <cellStyle name="Comma 9 5 2 2 2 4" xfId="10031"/>
    <cellStyle name="Comma 9 5 2 2 2 4 2" xfId="13075"/>
    <cellStyle name="Comma 9 5 2 2 2 4 2 2" xfId="19614"/>
    <cellStyle name="Comma 9 5 2 2 2 4 3" xfId="16762"/>
    <cellStyle name="Comma 9 5 2 2 2 5" xfId="3405"/>
    <cellStyle name="Comma 9 5 2 2 2 5 2" xfId="11362"/>
    <cellStyle name="Comma 9 5 2 2 2 5 2 2" xfId="17901"/>
    <cellStyle name="Comma 9 5 2 2 2 5 3" xfId="15049"/>
    <cellStyle name="Comma 9 5 2 2 2 6" xfId="2828"/>
    <cellStyle name="Comma 9 5 2 2 2 6 2" xfId="14476"/>
    <cellStyle name="Comma 9 5 2 2 2 7" xfId="10789"/>
    <cellStyle name="Comma 9 5 2 2 2 7 2" xfId="17328"/>
    <cellStyle name="Comma 9 5 2 2 2 8" xfId="13909"/>
    <cellStyle name="Comma 9 5 2 2 3" xfId="4352"/>
    <cellStyle name="Comma 9 5 2 2 3 2" xfId="11648"/>
    <cellStyle name="Comma 9 5 2 2 3 2 2" xfId="18187"/>
    <cellStyle name="Comma 9 5 2 2 3 3" xfId="15335"/>
    <cellStyle name="Comma 9 5 2 2 4" xfId="6624"/>
    <cellStyle name="Comma 9 5 2 2 4 2" xfId="12219"/>
    <cellStyle name="Comma 9 5 2 2 4 2 2" xfId="18758"/>
    <cellStyle name="Comma 9 5 2 2 4 3" xfId="15906"/>
    <cellStyle name="Comma 9 5 2 2 5" xfId="8896"/>
    <cellStyle name="Comma 9 5 2 2 5 2" xfId="12790"/>
    <cellStyle name="Comma 9 5 2 2 5 2 2" xfId="19329"/>
    <cellStyle name="Comma 9 5 2 2 5 3" xfId="16477"/>
    <cellStyle name="Comma 9 5 2 2 6" xfId="3120"/>
    <cellStyle name="Comma 9 5 2 2 6 2" xfId="11077"/>
    <cellStyle name="Comma 9 5 2 2 6 2 2" xfId="17616"/>
    <cellStyle name="Comma 9 5 2 2 6 3" xfId="14764"/>
    <cellStyle name="Comma 9 5 2 2 7" xfId="2548"/>
    <cellStyle name="Comma 9 5 2 2 7 2" xfId="14196"/>
    <cellStyle name="Comma 9 5 2 2 8" xfId="10509"/>
    <cellStyle name="Comma 9 5 2 2 8 2" xfId="17048"/>
    <cellStyle name="Comma 9 5 2 2 9" xfId="13624"/>
    <cellStyle name="Comma 9 5 2 3" xfId="1613"/>
    <cellStyle name="Comma 9 5 2 3 2" xfId="5033"/>
    <cellStyle name="Comma 9 5 2 3 2 2" xfId="11819"/>
    <cellStyle name="Comma 9 5 2 3 2 2 2" xfId="18358"/>
    <cellStyle name="Comma 9 5 2 3 2 3" xfId="15506"/>
    <cellStyle name="Comma 9 5 2 3 3" xfId="7305"/>
    <cellStyle name="Comma 9 5 2 3 3 2" xfId="12390"/>
    <cellStyle name="Comma 9 5 2 3 3 2 2" xfId="18929"/>
    <cellStyle name="Comma 9 5 2 3 3 3" xfId="16077"/>
    <cellStyle name="Comma 9 5 2 3 4" xfId="9577"/>
    <cellStyle name="Comma 9 5 2 3 4 2" xfId="12961"/>
    <cellStyle name="Comma 9 5 2 3 4 2 2" xfId="19500"/>
    <cellStyle name="Comma 9 5 2 3 4 3" xfId="16648"/>
    <cellStyle name="Comma 9 5 2 3 5" xfId="3291"/>
    <cellStyle name="Comma 9 5 2 3 5 2" xfId="11248"/>
    <cellStyle name="Comma 9 5 2 3 5 2 2" xfId="17787"/>
    <cellStyle name="Comma 9 5 2 3 5 3" xfId="14935"/>
    <cellStyle name="Comma 9 5 2 3 6" xfId="2716"/>
    <cellStyle name="Comma 9 5 2 3 6 2" xfId="14364"/>
    <cellStyle name="Comma 9 5 2 3 7" xfId="10677"/>
    <cellStyle name="Comma 9 5 2 3 7 2" xfId="17216"/>
    <cellStyle name="Comma 9 5 2 3 8" xfId="13795"/>
    <cellStyle name="Comma 9 5 2 4" xfId="3898"/>
    <cellStyle name="Comma 9 5 2 4 2" xfId="11534"/>
    <cellStyle name="Comma 9 5 2 4 2 2" xfId="18073"/>
    <cellStyle name="Comma 9 5 2 4 3" xfId="15221"/>
    <cellStyle name="Comma 9 5 2 5" xfId="6170"/>
    <cellStyle name="Comma 9 5 2 5 2" xfId="12105"/>
    <cellStyle name="Comma 9 5 2 5 2 2" xfId="18644"/>
    <cellStyle name="Comma 9 5 2 5 3" xfId="15792"/>
    <cellStyle name="Comma 9 5 2 6" xfId="8442"/>
    <cellStyle name="Comma 9 5 2 6 2" xfId="12676"/>
    <cellStyle name="Comma 9 5 2 6 2 2" xfId="19215"/>
    <cellStyle name="Comma 9 5 2 6 3" xfId="16363"/>
    <cellStyle name="Comma 9 5 2 7" xfId="3006"/>
    <cellStyle name="Comma 9 5 2 7 2" xfId="10963"/>
    <cellStyle name="Comma 9 5 2 7 2 2" xfId="17502"/>
    <cellStyle name="Comma 9 5 2 7 3" xfId="14650"/>
    <cellStyle name="Comma 9 5 2 8" xfId="2436"/>
    <cellStyle name="Comma 9 5 2 8 2" xfId="14084"/>
    <cellStyle name="Comma 9 5 2 9" xfId="10397"/>
    <cellStyle name="Comma 9 5 2 9 2" xfId="16936"/>
    <cellStyle name="Comma 9 5 3" xfId="1159"/>
    <cellStyle name="Comma 9 5 3 2" xfId="2294"/>
    <cellStyle name="Comma 9 5 3 2 2" xfId="5714"/>
    <cellStyle name="Comma 9 5 3 2 2 2" xfId="11990"/>
    <cellStyle name="Comma 9 5 3 2 2 2 2" xfId="18529"/>
    <cellStyle name="Comma 9 5 3 2 2 3" xfId="15677"/>
    <cellStyle name="Comma 9 5 3 2 3" xfId="7986"/>
    <cellStyle name="Comma 9 5 3 2 3 2" xfId="12561"/>
    <cellStyle name="Comma 9 5 3 2 3 2 2" xfId="19100"/>
    <cellStyle name="Comma 9 5 3 2 3 3" xfId="16248"/>
    <cellStyle name="Comma 9 5 3 2 4" xfId="10258"/>
    <cellStyle name="Comma 9 5 3 2 4 2" xfId="13132"/>
    <cellStyle name="Comma 9 5 3 2 4 2 2" xfId="19671"/>
    <cellStyle name="Comma 9 5 3 2 4 3" xfId="16819"/>
    <cellStyle name="Comma 9 5 3 2 5" xfId="3462"/>
    <cellStyle name="Comma 9 5 3 2 5 2" xfId="11419"/>
    <cellStyle name="Comma 9 5 3 2 5 2 2" xfId="17958"/>
    <cellStyle name="Comma 9 5 3 2 5 3" xfId="15106"/>
    <cellStyle name="Comma 9 5 3 2 6" xfId="2884"/>
    <cellStyle name="Comma 9 5 3 2 6 2" xfId="14532"/>
    <cellStyle name="Comma 9 5 3 2 7" xfId="10845"/>
    <cellStyle name="Comma 9 5 3 2 7 2" xfId="17384"/>
    <cellStyle name="Comma 9 5 3 2 8" xfId="13966"/>
    <cellStyle name="Comma 9 5 3 3" xfId="4579"/>
    <cellStyle name="Comma 9 5 3 3 2" xfId="11705"/>
    <cellStyle name="Comma 9 5 3 3 2 2" xfId="18244"/>
    <cellStyle name="Comma 9 5 3 3 3" xfId="15392"/>
    <cellStyle name="Comma 9 5 3 4" xfId="6851"/>
    <cellStyle name="Comma 9 5 3 4 2" xfId="12276"/>
    <cellStyle name="Comma 9 5 3 4 2 2" xfId="18815"/>
    <cellStyle name="Comma 9 5 3 4 3" xfId="15963"/>
    <cellStyle name="Comma 9 5 3 5" xfId="9123"/>
    <cellStyle name="Comma 9 5 3 5 2" xfId="12847"/>
    <cellStyle name="Comma 9 5 3 5 2 2" xfId="19386"/>
    <cellStyle name="Comma 9 5 3 5 3" xfId="16534"/>
    <cellStyle name="Comma 9 5 3 6" xfId="3177"/>
    <cellStyle name="Comma 9 5 3 6 2" xfId="11134"/>
    <cellStyle name="Comma 9 5 3 6 2 2" xfId="17673"/>
    <cellStyle name="Comma 9 5 3 6 3" xfId="14821"/>
    <cellStyle name="Comma 9 5 3 7" xfId="2604"/>
    <cellStyle name="Comma 9 5 3 7 2" xfId="14252"/>
    <cellStyle name="Comma 9 5 3 8" xfId="10565"/>
    <cellStyle name="Comma 9 5 3 8 2" xfId="17104"/>
    <cellStyle name="Comma 9 5 3 9" xfId="13681"/>
    <cellStyle name="Comma 9 5 4" xfId="705"/>
    <cellStyle name="Comma 9 5 4 2" xfId="1840"/>
    <cellStyle name="Comma 9 5 4 2 2" xfId="5260"/>
    <cellStyle name="Comma 9 5 4 2 2 2" xfId="11876"/>
    <cellStyle name="Comma 9 5 4 2 2 2 2" xfId="18415"/>
    <cellStyle name="Comma 9 5 4 2 2 3" xfId="15563"/>
    <cellStyle name="Comma 9 5 4 2 3" xfId="7532"/>
    <cellStyle name="Comma 9 5 4 2 3 2" xfId="12447"/>
    <cellStyle name="Comma 9 5 4 2 3 2 2" xfId="18986"/>
    <cellStyle name="Comma 9 5 4 2 3 3" xfId="16134"/>
    <cellStyle name="Comma 9 5 4 2 4" xfId="9804"/>
    <cellStyle name="Comma 9 5 4 2 4 2" xfId="13018"/>
    <cellStyle name="Comma 9 5 4 2 4 2 2" xfId="19557"/>
    <cellStyle name="Comma 9 5 4 2 4 3" xfId="16705"/>
    <cellStyle name="Comma 9 5 4 2 5" xfId="3348"/>
    <cellStyle name="Comma 9 5 4 2 5 2" xfId="11305"/>
    <cellStyle name="Comma 9 5 4 2 5 2 2" xfId="17844"/>
    <cellStyle name="Comma 9 5 4 2 5 3" xfId="14992"/>
    <cellStyle name="Comma 9 5 4 2 6" xfId="2772"/>
    <cellStyle name="Comma 9 5 4 2 6 2" xfId="14420"/>
    <cellStyle name="Comma 9 5 4 2 7" xfId="10733"/>
    <cellStyle name="Comma 9 5 4 2 7 2" xfId="17272"/>
    <cellStyle name="Comma 9 5 4 2 8" xfId="13852"/>
    <cellStyle name="Comma 9 5 4 3" xfId="4125"/>
    <cellStyle name="Comma 9 5 4 3 2" xfId="11591"/>
    <cellStyle name="Comma 9 5 4 3 2 2" xfId="18130"/>
    <cellStyle name="Comma 9 5 4 3 3" xfId="15278"/>
    <cellStyle name="Comma 9 5 4 4" xfId="6397"/>
    <cellStyle name="Comma 9 5 4 4 2" xfId="12162"/>
    <cellStyle name="Comma 9 5 4 4 2 2" xfId="18701"/>
    <cellStyle name="Comma 9 5 4 4 3" xfId="15849"/>
    <cellStyle name="Comma 9 5 4 5" xfId="8669"/>
    <cellStyle name="Comma 9 5 4 5 2" xfId="12733"/>
    <cellStyle name="Comma 9 5 4 5 2 2" xfId="19272"/>
    <cellStyle name="Comma 9 5 4 5 3" xfId="16420"/>
    <cellStyle name="Comma 9 5 4 6" xfId="3063"/>
    <cellStyle name="Comma 9 5 4 6 2" xfId="11020"/>
    <cellStyle name="Comma 9 5 4 6 2 2" xfId="17559"/>
    <cellStyle name="Comma 9 5 4 6 3" xfId="14707"/>
    <cellStyle name="Comma 9 5 4 7" xfId="2492"/>
    <cellStyle name="Comma 9 5 4 7 2" xfId="14140"/>
    <cellStyle name="Comma 9 5 4 8" xfId="10453"/>
    <cellStyle name="Comma 9 5 4 8 2" xfId="16992"/>
    <cellStyle name="Comma 9 5 4 9" xfId="13567"/>
    <cellStyle name="Comma 9 5 5" xfId="1386"/>
    <cellStyle name="Comma 9 5 5 2" xfId="4806"/>
    <cellStyle name="Comma 9 5 5 2 2" xfId="11762"/>
    <cellStyle name="Comma 9 5 5 2 2 2" xfId="18301"/>
    <cellStyle name="Comma 9 5 5 2 3" xfId="15449"/>
    <cellStyle name="Comma 9 5 5 3" xfId="7078"/>
    <cellStyle name="Comma 9 5 5 3 2" xfId="12333"/>
    <cellStyle name="Comma 9 5 5 3 2 2" xfId="18872"/>
    <cellStyle name="Comma 9 5 5 3 3" xfId="16020"/>
    <cellStyle name="Comma 9 5 5 4" xfId="9350"/>
    <cellStyle name="Comma 9 5 5 4 2" xfId="12904"/>
    <cellStyle name="Comma 9 5 5 4 2 2" xfId="19443"/>
    <cellStyle name="Comma 9 5 5 4 3" xfId="16591"/>
    <cellStyle name="Comma 9 5 5 5" xfId="3234"/>
    <cellStyle name="Comma 9 5 5 5 2" xfId="11191"/>
    <cellStyle name="Comma 9 5 5 5 2 2" xfId="17730"/>
    <cellStyle name="Comma 9 5 5 5 3" xfId="14878"/>
    <cellStyle name="Comma 9 5 5 6" xfId="2660"/>
    <cellStyle name="Comma 9 5 5 6 2" xfId="14308"/>
    <cellStyle name="Comma 9 5 5 7" xfId="10621"/>
    <cellStyle name="Comma 9 5 5 7 2" xfId="17160"/>
    <cellStyle name="Comma 9 5 5 8" xfId="13738"/>
    <cellStyle name="Comma 9 5 6" xfId="3671"/>
    <cellStyle name="Comma 9 5 6 2" xfId="11477"/>
    <cellStyle name="Comma 9 5 6 2 2" xfId="18016"/>
    <cellStyle name="Comma 9 5 6 3" xfId="15164"/>
    <cellStyle name="Comma 9 5 7" xfId="5943"/>
    <cellStyle name="Comma 9 5 7 2" xfId="12048"/>
    <cellStyle name="Comma 9 5 7 2 2" xfId="18587"/>
    <cellStyle name="Comma 9 5 7 3" xfId="15735"/>
    <cellStyle name="Comma 9 5 8" xfId="8215"/>
    <cellStyle name="Comma 9 5 8 2" xfId="12619"/>
    <cellStyle name="Comma 9 5 8 2 2" xfId="19158"/>
    <cellStyle name="Comma 9 5 8 3" xfId="16306"/>
    <cellStyle name="Comma 9 5 9" xfId="2949"/>
    <cellStyle name="Comma 9 5 9 2" xfId="10906"/>
    <cellStyle name="Comma 9 5 9 2 2" xfId="17445"/>
    <cellStyle name="Comma 9 5 9 3" xfId="14593"/>
    <cellStyle name="Comma 9 6" xfId="307"/>
    <cellStyle name="Comma 9 6 10" xfId="13467"/>
    <cellStyle name="Comma 9 6 2" xfId="761"/>
    <cellStyle name="Comma 9 6 2 2" xfId="1896"/>
    <cellStyle name="Comma 9 6 2 2 2" xfId="5316"/>
    <cellStyle name="Comma 9 6 2 2 2 2" xfId="11890"/>
    <cellStyle name="Comma 9 6 2 2 2 2 2" xfId="18429"/>
    <cellStyle name="Comma 9 6 2 2 2 3" xfId="15577"/>
    <cellStyle name="Comma 9 6 2 2 3" xfId="7588"/>
    <cellStyle name="Comma 9 6 2 2 3 2" xfId="12461"/>
    <cellStyle name="Comma 9 6 2 2 3 2 2" xfId="19000"/>
    <cellStyle name="Comma 9 6 2 2 3 3" xfId="16148"/>
    <cellStyle name="Comma 9 6 2 2 4" xfId="9860"/>
    <cellStyle name="Comma 9 6 2 2 4 2" xfId="13032"/>
    <cellStyle name="Comma 9 6 2 2 4 2 2" xfId="19571"/>
    <cellStyle name="Comma 9 6 2 2 4 3" xfId="16719"/>
    <cellStyle name="Comma 9 6 2 2 5" xfId="3362"/>
    <cellStyle name="Comma 9 6 2 2 5 2" xfId="11319"/>
    <cellStyle name="Comma 9 6 2 2 5 2 2" xfId="17858"/>
    <cellStyle name="Comma 9 6 2 2 5 3" xfId="15006"/>
    <cellStyle name="Comma 9 6 2 2 6" xfId="2786"/>
    <cellStyle name="Comma 9 6 2 2 6 2" xfId="14434"/>
    <cellStyle name="Comma 9 6 2 2 7" xfId="10747"/>
    <cellStyle name="Comma 9 6 2 2 7 2" xfId="17286"/>
    <cellStyle name="Comma 9 6 2 2 8" xfId="13866"/>
    <cellStyle name="Comma 9 6 2 3" xfId="4181"/>
    <cellStyle name="Comma 9 6 2 3 2" xfId="11605"/>
    <cellStyle name="Comma 9 6 2 3 2 2" xfId="18144"/>
    <cellStyle name="Comma 9 6 2 3 3" xfId="15292"/>
    <cellStyle name="Comma 9 6 2 4" xfId="6453"/>
    <cellStyle name="Comma 9 6 2 4 2" xfId="12176"/>
    <cellStyle name="Comma 9 6 2 4 2 2" xfId="18715"/>
    <cellStyle name="Comma 9 6 2 4 3" xfId="15863"/>
    <cellStyle name="Comma 9 6 2 5" xfId="8725"/>
    <cellStyle name="Comma 9 6 2 5 2" xfId="12747"/>
    <cellStyle name="Comma 9 6 2 5 2 2" xfId="19286"/>
    <cellStyle name="Comma 9 6 2 5 3" xfId="16434"/>
    <cellStyle name="Comma 9 6 2 6" xfId="3077"/>
    <cellStyle name="Comma 9 6 2 6 2" xfId="11034"/>
    <cellStyle name="Comma 9 6 2 6 2 2" xfId="17573"/>
    <cellStyle name="Comma 9 6 2 6 3" xfId="14721"/>
    <cellStyle name="Comma 9 6 2 7" xfId="2506"/>
    <cellStyle name="Comma 9 6 2 7 2" xfId="14154"/>
    <cellStyle name="Comma 9 6 2 8" xfId="10467"/>
    <cellStyle name="Comma 9 6 2 8 2" xfId="17006"/>
    <cellStyle name="Comma 9 6 2 9" xfId="13581"/>
    <cellStyle name="Comma 9 6 3" xfId="1442"/>
    <cellStyle name="Comma 9 6 3 2" xfId="4862"/>
    <cellStyle name="Comma 9 6 3 2 2" xfId="11776"/>
    <cellStyle name="Comma 9 6 3 2 2 2" xfId="18315"/>
    <cellStyle name="Comma 9 6 3 2 3" xfId="15463"/>
    <cellStyle name="Comma 9 6 3 3" xfId="7134"/>
    <cellStyle name="Comma 9 6 3 3 2" xfId="12347"/>
    <cellStyle name="Comma 9 6 3 3 2 2" xfId="18886"/>
    <cellStyle name="Comma 9 6 3 3 3" xfId="16034"/>
    <cellStyle name="Comma 9 6 3 4" xfId="9406"/>
    <cellStyle name="Comma 9 6 3 4 2" xfId="12918"/>
    <cellStyle name="Comma 9 6 3 4 2 2" xfId="19457"/>
    <cellStyle name="Comma 9 6 3 4 3" xfId="16605"/>
    <cellStyle name="Comma 9 6 3 5" xfId="3248"/>
    <cellStyle name="Comma 9 6 3 5 2" xfId="11205"/>
    <cellStyle name="Comma 9 6 3 5 2 2" xfId="17744"/>
    <cellStyle name="Comma 9 6 3 5 3" xfId="14892"/>
    <cellStyle name="Comma 9 6 3 6" xfId="2674"/>
    <cellStyle name="Comma 9 6 3 6 2" xfId="14322"/>
    <cellStyle name="Comma 9 6 3 7" xfId="10635"/>
    <cellStyle name="Comma 9 6 3 7 2" xfId="17174"/>
    <cellStyle name="Comma 9 6 3 8" xfId="13752"/>
    <cellStyle name="Comma 9 6 4" xfId="3727"/>
    <cellStyle name="Comma 9 6 4 2" xfId="11491"/>
    <cellStyle name="Comma 9 6 4 2 2" xfId="18030"/>
    <cellStyle name="Comma 9 6 4 3" xfId="15178"/>
    <cellStyle name="Comma 9 6 5" xfId="5999"/>
    <cellStyle name="Comma 9 6 5 2" xfId="12062"/>
    <cellStyle name="Comma 9 6 5 2 2" xfId="18601"/>
    <cellStyle name="Comma 9 6 5 3" xfId="15749"/>
    <cellStyle name="Comma 9 6 6" xfId="8271"/>
    <cellStyle name="Comma 9 6 6 2" xfId="12633"/>
    <cellStyle name="Comma 9 6 6 2 2" xfId="19172"/>
    <cellStyle name="Comma 9 6 6 3" xfId="16320"/>
    <cellStyle name="Comma 9 6 7" xfId="2963"/>
    <cellStyle name="Comma 9 6 7 2" xfId="10920"/>
    <cellStyle name="Comma 9 6 7 2 2" xfId="17459"/>
    <cellStyle name="Comma 9 6 7 3" xfId="14607"/>
    <cellStyle name="Comma 9 6 8" xfId="2394"/>
    <cellStyle name="Comma 9 6 8 2" xfId="14042"/>
    <cellStyle name="Comma 9 6 9" xfId="10355"/>
    <cellStyle name="Comma 9 6 9 2" xfId="16894"/>
    <cellStyle name="Comma 9 7" xfId="988"/>
    <cellStyle name="Comma 9 7 2" xfId="2123"/>
    <cellStyle name="Comma 9 7 2 2" xfId="5543"/>
    <cellStyle name="Comma 9 7 2 2 2" xfId="11947"/>
    <cellStyle name="Comma 9 7 2 2 2 2" xfId="18486"/>
    <cellStyle name="Comma 9 7 2 2 3" xfId="15634"/>
    <cellStyle name="Comma 9 7 2 3" xfId="7815"/>
    <cellStyle name="Comma 9 7 2 3 2" xfId="12518"/>
    <cellStyle name="Comma 9 7 2 3 2 2" xfId="19057"/>
    <cellStyle name="Comma 9 7 2 3 3" xfId="16205"/>
    <cellStyle name="Comma 9 7 2 4" xfId="10087"/>
    <cellStyle name="Comma 9 7 2 4 2" xfId="13089"/>
    <cellStyle name="Comma 9 7 2 4 2 2" xfId="19628"/>
    <cellStyle name="Comma 9 7 2 4 3" xfId="16776"/>
    <cellStyle name="Comma 9 7 2 5" xfId="3419"/>
    <cellStyle name="Comma 9 7 2 5 2" xfId="11376"/>
    <cellStyle name="Comma 9 7 2 5 2 2" xfId="17915"/>
    <cellStyle name="Comma 9 7 2 5 3" xfId="15063"/>
    <cellStyle name="Comma 9 7 2 6" xfId="2842"/>
    <cellStyle name="Comma 9 7 2 6 2" xfId="14490"/>
    <cellStyle name="Comma 9 7 2 7" xfId="10803"/>
    <cellStyle name="Comma 9 7 2 7 2" xfId="17342"/>
    <cellStyle name="Comma 9 7 2 8" xfId="13923"/>
    <cellStyle name="Comma 9 7 3" xfId="4408"/>
    <cellStyle name="Comma 9 7 3 2" xfId="11662"/>
    <cellStyle name="Comma 9 7 3 2 2" xfId="18201"/>
    <cellStyle name="Comma 9 7 3 3" xfId="15349"/>
    <cellStyle name="Comma 9 7 4" xfId="6680"/>
    <cellStyle name="Comma 9 7 4 2" xfId="12233"/>
    <cellStyle name="Comma 9 7 4 2 2" xfId="18772"/>
    <cellStyle name="Comma 9 7 4 3" xfId="15920"/>
    <cellStyle name="Comma 9 7 5" xfId="8952"/>
    <cellStyle name="Comma 9 7 5 2" xfId="12804"/>
    <cellStyle name="Comma 9 7 5 2 2" xfId="19343"/>
    <cellStyle name="Comma 9 7 5 3" xfId="16491"/>
    <cellStyle name="Comma 9 7 6" xfId="3134"/>
    <cellStyle name="Comma 9 7 6 2" xfId="11091"/>
    <cellStyle name="Comma 9 7 6 2 2" xfId="17630"/>
    <cellStyle name="Comma 9 7 6 3" xfId="14778"/>
    <cellStyle name="Comma 9 7 7" xfId="2562"/>
    <cellStyle name="Comma 9 7 7 2" xfId="14210"/>
    <cellStyle name="Comma 9 7 8" xfId="10523"/>
    <cellStyle name="Comma 9 7 8 2" xfId="17062"/>
    <cellStyle name="Comma 9 7 9" xfId="13638"/>
    <cellStyle name="Comma 9 8" xfId="534"/>
    <cellStyle name="Comma 9 8 2" xfId="1669"/>
    <cellStyle name="Comma 9 8 2 2" xfId="5089"/>
    <cellStyle name="Comma 9 8 2 2 2" xfId="11833"/>
    <cellStyle name="Comma 9 8 2 2 2 2" xfId="18372"/>
    <cellStyle name="Comma 9 8 2 2 3" xfId="15520"/>
    <cellStyle name="Comma 9 8 2 3" xfId="7361"/>
    <cellStyle name="Comma 9 8 2 3 2" xfId="12404"/>
    <cellStyle name="Comma 9 8 2 3 2 2" xfId="18943"/>
    <cellStyle name="Comma 9 8 2 3 3" xfId="16091"/>
    <cellStyle name="Comma 9 8 2 4" xfId="9633"/>
    <cellStyle name="Comma 9 8 2 4 2" xfId="12975"/>
    <cellStyle name="Comma 9 8 2 4 2 2" xfId="19514"/>
    <cellStyle name="Comma 9 8 2 4 3" xfId="16662"/>
    <cellStyle name="Comma 9 8 2 5" xfId="3305"/>
    <cellStyle name="Comma 9 8 2 5 2" xfId="11262"/>
    <cellStyle name="Comma 9 8 2 5 2 2" xfId="17801"/>
    <cellStyle name="Comma 9 8 2 5 3" xfId="14949"/>
    <cellStyle name="Comma 9 8 2 6" xfId="2730"/>
    <cellStyle name="Comma 9 8 2 6 2" xfId="14378"/>
    <cellStyle name="Comma 9 8 2 7" xfId="10691"/>
    <cellStyle name="Comma 9 8 2 7 2" xfId="17230"/>
    <cellStyle name="Comma 9 8 2 8" xfId="13809"/>
    <cellStyle name="Comma 9 8 3" xfId="3954"/>
    <cellStyle name="Comma 9 8 3 2" xfId="11548"/>
    <cellStyle name="Comma 9 8 3 2 2" xfId="18087"/>
    <cellStyle name="Comma 9 8 3 3" xfId="15235"/>
    <cellStyle name="Comma 9 8 4" xfId="6226"/>
    <cellStyle name="Comma 9 8 4 2" xfId="12119"/>
    <cellStyle name="Comma 9 8 4 2 2" xfId="18658"/>
    <cellStyle name="Comma 9 8 4 3" xfId="15806"/>
    <cellStyle name="Comma 9 8 5" xfId="8498"/>
    <cellStyle name="Comma 9 8 5 2" xfId="12690"/>
    <cellStyle name="Comma 9 8 5 2 2" xfId="19229"/>
    <cellStyle name="Comma 9 8 5 3" xfId="16377"/>
    <cellStyle name="Comma 9 8 6" xfId="3020"/>
    <cellStyle name="Comma 9 8 6 2" xfId="10977"/>
    <cellStyle name="Comma 9 8 6 2 2" xfId="17516"/>
    <cellStyle name="Comma 9 8 6 3" xfId="14664"/>
    <cellStyle name="Comma 9 8 7" xfId="2450"/>
    <cellStyle name="Comma 9 8 7 2" xfId="14098"/>
    <cellStyle name="Comma 9 8 8" xfId="10411"/>
    <cellStyle name="Comma 9 8 8 2" xfId="16950"/>
    <cellStyle name="Comma 9 8 9" xfId="13524"/>
    <cellStyle name="Comma 9 9" xfId="1215"/>
    <cellStyle name="Comma 9 9 2" xfId="4635"/>
    <cellStyle name="Comma 9 9 2 2" xfId="11719"/>
    <cellStyle name="Comma 9 9 2 2 2" xfId="18258"/>
    <cellStyle name="Comma 9 9 2 3" xfId="15406"/>
    <cellStyle name="Comma 9 9 3" xfId="6907"/>
    <cellStyle name="Comma 9 9 3 2" xfId="12290"/>
    <cellStyle name="Comma 9 9 3 2 2" xfId="18829"/>
    <cellStyle name="Comma 9 9 3 3" xfId="15977"/>
    <cellStyle name="Comma 9 9 4" xfId="9179"/>
    <cellStyle name="Comma 9 9 4 2" xfId="12861"/>
    <cellStyle name="Comma 9 9 4 2 2" xfId="19400"/>
    <cellStyle name="Comma 9 9 4 3" xfId="16548"/>
    <cellStyle name="Comma 9 9 5" xfId="3191"/>
    <cellStyle name="Comma 9 9 5 2" xfId="11148"/>
    <cellStyle name="Comma 9 9 5 2 2" xfId="17687"/>
    <cellStyle name="Comma 9 9 5 3" xfId="14835"/>
    <cellStyle name="Comma 9 9 6" xfId="2618"/>
    <cellStyle name="Comma 9 9 6 2" xfId="14266"/>
    <cellStyle name="Comma 9 9 7" xfId="10579"/>
    <cellStyle name="Comma 9 9 7 2" xfId="17118"/>
    <cellStyle name="Comma 9 9 8" xfId="13695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1 2 2" xfId="13268"/>
    <cellStyle name="Normal 11 3" xfId="13267"/>
    <cellStyle name="Normal 12" xfId="225"/>
    <cellStyle name="Normal 12 2" xfId="2940"/>
    <cellStyle name="Normal 12 2 2" xfId="13270"/>
    <cellStyle name="Normal 12 3" xfId="13269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15 3" xfId="13271"/>
    <cellStyle name="Normal 16" xfId="13272"/>
    <cellStyle name="Normal 17" xfId="13273"/>
    <cellStyle name="Normal 18" xfId="13274"/>
    <cellStyle name="Normal 19" xfId="13275"/>
    <cellStyle name="Normal 2" xfId="42"/>
    <cellStyle name="Normal 2 2" xfId="55"/>
    <cellStyle name="Normal 2 2 2" xfId="2325"/>
    <cellStyle name="Normal 2 2 3" xfId="13160"/>
    <cellStyle name="Normal 2 3" xfId="3472"/>
    <cellStyle name="Normal 20" xfId="13276"/>
    <cellStyle name="Normal 21" xfId="13277"/>
    <cellStyle name="Normal 22" xfId="13278"/>
    <cellStyle name="Normal 23" xfId="13279"/>
    <cellStyle name="Normal 24" xfId="13280"/>
    <cellStyle name="Normal 25" xfId="13281"/>
    <cellStyle name="Normal 26" xfId="13282"/>
    <cellStyle name="Normal 27" xfId="13283"/>
    <cellStyle name="Normal 27 2" xfId="13143"/>
    <cellStyle name="Normal 28" xfId="13284"/>
    <cellStyle name="Normal 29" xfId="13285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30" xfId="13286"/>
    <cellStyle name="Normal 31" xfId="13287"/>
    <cellStyle name="Normal 32" xfId="13288"/>
    <cellStyle name="Normal 33" xfId="13289"/>
    <cellStyle name="Normal 34" xfId="13290"/>
    <cellStyle name="Normal 35" xfId="13291"/>
    <cellStyle name="Normal 36" xfId="13292"/>
    <cellStyle name="Normal 37" xfId="13293"/>
    <cellStyle name="Normal 38" xfId="13294"/>
    <cellStyle name="Normal 39" xfId="13295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40" xfId="13296"/>
    <cellStyle name="Normal 41" xfId="13297"/>
    <cellStyle name="Normal 42" xfId="13298"/>
    <cellStyle name="Normal 43" xfId="13299"/>
    <cellStyle name="Normal 44" xfId="13300"/>
    <cellStyle name="Normal 44 10" xfId="13301"/>
    <cellStyle name="Normal 44 2" xfId="13302"/>
    <cellStyle name="Normal 44 3" xfId="13303"/>
    <cellStyle name="Normal 44 4" xfId="13304"/>
    <cellStyle name="Normal 44 5" xfId="13305"/>
    <cellStyle name="Normal 44 6" xfId="13306"/>
    <cellStyle name="Normal 44 7" xfId="13307"/>
    <cellStyle name="Normal 44 8" xfId="13308"/>
    <cellStyle name="Normal 44 9" xfId="13309"/>
    <cellStyle name="Normal 45" xfId="13310"/>
    <cellStyle name="Normal 46" xfId="13311"/>
    <cellStyle name="Normal 47" xfId="13312"/>
    <cellStyle name="Normal 48" xfId="13313"/>
    <cellStyle name="Normal 49" xfId="13314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50" xfId="13315"/>
    <cellStyle name="Normal 51" xfId="13316"/>
    <cellStyle name="Normal 52" xfId="13317"/>
    <cellStyle name="Normal 53" xfId="13318"/>
    <cellStyle name="Normal 54" xfId="13319"/>
    <cellStyle name="Normal 55" xfId="13320"/>
    <cellStyle name="Normal 56" xfId="13321"/>
    <cellStyle name="Normal 57" xfId="13322"/>
    <cellStyle name="Normal 58" xfId="13323"/>
    <cellStyle name="Normal 59" xfId="13324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60" xfId="13325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10" xfId="13326"/>
    <cellStyle name="Percent 10 2" xfId="13327"/>
    <cellStyle name="Percent 11" xfId="13328"/>
    <cellStyle name="Percent 11 2" xfId="13329"/>
    <cellStyle name="Percent 12" xfId="13330"/>
    <cellStyle name="Percent 12 2" xfId="13331"/>
    <cellStyle name="Percent 13" xfId="13332"/>
    <cellStyle name="Percent 14" xfId="13333"/>
    <cellStyle name="Percent 15" xfId="13334"/>
    <cellStyle name="Percent 16" xfId="13335"/>
    <cellStyle name="Percent 17" xfId="13336"/>
    <cellStyle name="Percent 18" xfId="13337"/>
    <cellStyle name="Percent 19" xfId="13338"/>
    <cellStyle name="Percent 2" xfId="227"/>
    <cellStyle name="Percent 2 2" xfId="2326"/>
    <cellStyle name="Percent 2 2 2" xfId="2942"/>
    <cellStyle name="Percent 20" xfId="13339"/>
    <cellStyle name="Percent 21" xfId="13340"/>
    <cellStyle name="Percent 22" xfId="13341"/>
    <cellStyle name="Percent 23" xfId="13342"/>
    <cellStyle name="Percent 24" xfId="13343"/>
    <cellStyle name="Percent 25" xfId="13344"/>
    <cellStyle name="Percent 26" xfId="13345"/>
    <cellStyle name="Percent 27" xfId="13346"/>
    <cellStyle name="Percent 28" xfId="13347"/>
    <cellStyle name="Percent 29" xfId="13348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30" xfId="13349"/>
    <cellStyle name="Percent 31" xfId="13350"/>
    <cellStyle name="Percent 32" xfId="13351"/>
    <cellStyle name="Percent 33" xfId="13352"/>
    <cellStyle name="Percent 34" xfId="13353"/>
    <cellStyle name="Percent 35" xfId="13354"/>
    <cellStyle name="Percent 36" xfId="13355"/>
    <cellStyle name="Percent 37" xfId="13356"/>
    <cellStyle name="Percent 38" xfId="13357"/>
    <cellStyle name="Percent 39" xfId="13358"/>
    <cellStyle name="Percent 4" xfId="40"/>
    <cellStyle name="Percent 4 2" xfId="13360"/>
    <cellStyle name="Percent 4 3" xfId="13187"/>
    <cellStyle name="Percent 4 4" xfId="13359"/>
    <cellStyle name="Percent 40" xfId="13361"/>
    <cellStyle name="Percent 41" xfId="13362"/>
    <cellStyle name="Percent 42" xfId="13363"/>
    <cellStyle name="Percent 42 10" xfId="13364"/>
    <cellStyle name="Percent 42 2" xfId="13365"/>
    <cellStyle name="Percent 42 3" xfId="13366"/>
    <cellStyle name="Percent 42 4" xfId="13367"/>
    <cellStyle name="Percent 42 5" xfId="13368"/>
    <cellStyle name="Percent 42 6" xfId="13369"/>
    <cellStyle name="Percent 42 7" xfId="13370"/>
    <cellStyle name="Percent 42 8" xfId="13371"/>
    <cellStyle name="Percent 42 9" xfId="13372"/>
    <cellStyle name="Percent 43" xfId="13373"/>
    <cellStyle name="Percent 44" xfId="13374"/>
    <cellStyle name="Percent 45" xfId="13375"/>
    <cellStyle name="Percent 46" xfId="13376"/>
    <cellStyle name="Percent 47" xfId="13377"/>
    <cellStyle name="Percent 48" xfId="13378"/>
    <cellStyle name="Percent 49" xfId="13379"/>
    <cellStyle name="Percent 5" xfId="2893"/>
    <cellStyle name="Percent 5 2" xfId="13381"/>
    <cellStyle name="Percent 5 3" xfId="13380"/>
    <cellStyle name="Percent 50" xfId="13382"/>
    <cellStyle name="Percent 51" xfId="13383"/>
    <cellStyle name="Percent 52" xfId="13384"/>
    <cellStyle name="Percent 53" xfId="13385"/>
    <cellStyle name="Percent 54" xfId="13386"/>
    <cellStyle name="Percent 55" xfId="13387"/>
    <cellStyle name="Percent 56" xfId="13388"/>
    <cellStyle name="Percent 57" xfId="13389"/>
    <cellStyle name="Percent 58" xfId="13185"/>
    <cellStyle name="Percent 6" xfId="13390"/>
    <cellStyle name="Percent 6 2" xfId="13391"/>
    <cellStyle name="Percent 7" xfId="13392"/>
    <cellStyle name="Percent 7 2" xfId="13393"/>
    <cellStyle name="Percent 8" xfId="13394"/>
    <cellStyle name="Percent 8 2" xfId="13395"/>
    <cellStyle name="Percent 9" xfId="13396"/>
    <cellStyle name="Percent 9 2" xfId="13397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10TH FEBRUARY, 2023</a:t>
            </a:r>
          </a:p>
        </c:rich>
      </c:tx>
      <c:layout>
        <c:manualLayout>
          <c:xMode val="edge"/>
          <c:yMode val="edge"/>
          <c:x val="0.17353997071728453"/>
          <c:y val="1.93293939637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17133825597.439997</c:v>
                </c:pt>
                <c:pt idx="1">
                  <c:v>708387215249.38928</c:v>
                </c:pt>
                <c:pt idx="2">
                  <c:v>346326319129.15698</c:v>
                </c:pt>
                <c:pt idx="3">
                  <c:v>315407028595.76306</c:v>
                </c:pt>
                <c:pt idx="4">
                  <c:v>46289004330.269997</c:v>
                </c:pt>
                <c:pt idx="5">
                  <c:v>31150543689.963333</c:v>
                </c:pt>
                <c:pt idx="6">
                  <c:v>3049787978.2799997</c:v>
                </c:pt>
                <c:pt idx="7">
                  <c:v>23178272501.200001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10, 2023)</a:t>
            </a:r>
          </a:p>
        </c:rich>
      </c:tx>
      <c:layout>
        <c:manualLayout>
          <c:xMode val="edge"/>
          <c:yMode val="edge"/>
          <c:x val="0.19868481654253184"/>
          <c:y val="1.58191351992491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45283</c:v>
                </c:pt>
                <c:pt idx="1">
                  <c:v>45290</c:v>
                </c:pt>
                <c:pt idx="2">
                  <c:v>44932</c:v>
                </c:pt>
                <c:pt idx="3">
                  <c:v>44939</c:v>
                </c:pt>
                <c:pt idx="4">
                  <c:v>44946</c:v>
                </c:pt>
                <c:pt idx="5">
                  <c:v>44953</c:v>
                </c:pt>
                <c:pt idx="6">
                  <c:v>44960</c:v>
                </c:pt>
                <c:pt idx="7">
                  <c:v>44967</c:v>
                </c:pt>
              </c:numCache>
            </c:numRef>
          </c:cat>
          <c:val>
            <c:numRef>
              <c:f>'NAV Trend'!$D$10:$K$10</c:f>
              <c:numCache>
                <c:formatCode>_(* #,##0.00_);_(* \(#,##0.00\);_(* "-"??_);_(@_)</c:formatCode>
                <c:ptCount val="8"/>
                <c:pt idx="0">
                  <c:v>1391199417421.4255</c:v>
                </c:pt>
                <c:pt idx="1">
                  <c:v>1411045006243.8809</c:v>
                </c:pt>
                <c:pt idx="2">
                  <c:v>1422950870882.5374</c:v>
                </c:pt>
                <c:pt idx="3">
                  <c:v>1437907234781.4109</c:v>
                </c:pt>
                <c:pt idx="4">
                  <c:v>1449213690676.6555</c:v>
                </c:pt>
                <c:pt idx="5">
                  <c:v>1469823604527.4382</c:v>
                </c:pt>
                <c:pt idx="6">
                  <c:v>1490921997071.4626</c:v>
                </c:pt>
                <c:pt idx="7">
                  <c:v>1512850065818.8408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10, 2023)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3608779671769"/>
          <c:y val="9.555078342479917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44911</c:v>
                </c:pt>
                <c:pt idx="1">
                  <c:v>45283</c:v>
                </c:pt>
                <c:pt idx="2">
                  <c:v>45290</c:v>
                </c:pt>
                <c:pt idx="3">
                  <c:v>44932</c:v>
                </c:pt>
                <c:pt idx="4">
                  <c:v>44939</c:v>
                </c:pt>
                <c:pt idx="5">
                  <c:v>44946</c:v>
                </c:pt>
                <c:pt idx="6">
                  <c:v>44953</c:v>
                </c:pt>
                <c:pt idx="7">
                  <c:v>44960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22933528265.999996</c:v>
                </c:pt>
                <c:pt idx="1">
                  <c:v>22759261173.869999</c:v>
                </c:pt>
                <c:pt idx="2">
                  <c:v>22836936554.239998</c:v>
                </c:pt>
                <c:pt idx="3" formatCode="#,##0.00">
                  <c:v>22955463973.109997</c:v>
                </c:pt>
                <c:pt idx="4" formatCode="#,##0.00">
                  <c:v>23622969337.439999</c:v>
                </c:pt>
                <c:pt idx="5" formatCode="#,##0.00">
                  <c:v>22775267421.450001</c:v>
                </c:pt>
                <c:pt idx="6" formatCode="#,##0.00">
                  <c:v>23218611718.279995</c:v>
                </c:pt>
                <c:pt idx="7" formatCode="#,##0.00">
                  <c:v>23178272501.200001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44911</c:v>
                </c:pt>
                <c:pt idx="1">
                  <c:v>45283</c:v>
                </c:pt>
                <c:pt idx="2">
                  <c:v>45290</c:v>
                </c:pt>
                <c:pt idx="3">
                  <c:v>44932</c:v>
                </c:pt>
                <c:pt idx="4">
                  <c:v>44939</c:v>
                </c:pt>
                <c:pt idx="5">
                  <c:v>44946</c:v>
                </c:pt>
                <c:pt idx="6">
                  <c:v>44953</c:v>
                </c:pt>
                <c:pt idx="7">
                  <c:v>44960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2873228056.0900002</c:v>
                </c:pt>
                <c:pt idx="1">
                  <c:v>2888057210.21</c:v>
                </c:pt>
                <c:pt idx="2">
                  <c:v>2949746784.8499999</c:v>
                </c:pt>
                <c:pt idx="3">
                  <c:v>2980827214.75</c:v>
                </c:pt>
                <c:pt idx="4">
                  <c:v>3032033408.75</c:v>
                </c:pt>
                <c:pt idx="5">
                  <c:v>3037541892</c:v>
                </c:pt>
                <c:pt idx="6">
                  <c:v>3046932460.8900003</c:v>
                </c:pt>
                <c:pt idx="7">
                  <c:v>3049787978.2799997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44911</c:v>
                </c:pt>
                <c:pt idx="1">
                  <c:v>45283</c:v>
                </c:pt>
                <c:pt idx="2">
                  <c:v>45290</c:v>
                </c:pt>
                <c:pt idx="3">
                  <c:v>44932</c:v>
                </c:pt>
                <c:pt idx="4">
                  <c:v>44939</c:v>
                </c:pt>
                <c:pt idx="5">
                  <c:v>44946</c:v>
                </c:pt>
                <c:pt idx="6">
                  <c:v>44953</c:v>
                </c:pt>
                <c:pt idx="7">
                  <c:v>44960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29870422741.332851</c:v>
                </c:pt>
                <c:pt idx="1">
                  <c:v>30095632697.342506</c:v>
                </c:pt>
                <c:pt idx="2">
                  <c:v>30126566651.346909</c:v>
                </c:pt>
                <c:pt idx="3">
                  <c:v>30336361937.028297</c:v>
                </c:pt>
                <c:pt idx="4">
                  <c:v>31041156130.042023</c:v>
                </c:pt>
                <c:pt idx="5">
                  <c:v>30761564463.892384</c:v>
                </c:pt>
                <c:pt idx="6">
                  <c:v>30652475117.892384</c:v>
                </c:pt>
                <c:pt idx="7">
                  <c:v>31150543689.963333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44911</c:v>
                </c:pt>
                <c:pt idx="1">
                  <c:v>45283</c:v>
                </c:pt>
                <c:pt idx="2">
                  <c:v>45290</c:v>
                </c:pt>
                <c:pt idx="3">
                  <c:v>44932</c:v>
                </c:pt>
                <c:pt idx="4">
                  <c:v>44939</c:v>
                </c:pt>
                <c:pt idx="5">
                  <c:v>44946</c:v>
                </c:pt>
                <c:pt idx="6">
                  <c:v>44953</c:v>
                </c:pt>
                <c:pt idx="7">
                  <c:v>44960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15526960302.890003</c:v>
                </c:pt>
                <c:pt idx="1">
                  <c:v>15749133335.319998</c:v>
                </c:pt>
                <c:pt idx="2">
                  <c:v>16107237306.709997</c:v>
                </c:pt>
                <c:pt idx="3">
                  <c:v>16254149306.32</c:v>
                </c:pt>
                <c:pt idx="4">
                  <c:v>16656064177.77</c:v>
                </c:pt>
                <c:pt idx="5">
                  <c:v>16651193594.34</c:v>
                </c:pt>
                <c:pt idx="6">
                  <c:v>16797381909.850002</c:v>
                </c:pt>
                <c:pt idx="7">
                  <c:v>17133825597.439997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44911</c:v>
                </c:pt>
                <c:pt idx="1">
                  <c:v>45283</c:v>
                </c:pt>
                <c:pt idx="2">
                  <c:v>45290</c:v>
                </c:pt>
                <c:pt idx="3">
                  <c:v>44932</c:v>
                </c:pt>
                <c:pt idx="4">
                  <c:v>44939</c:v>
                </c:pt>
                <c:pt idx="5">
                  <c:v>44946</c:v>
                </c:pt>
                <c:pt idx="6">
                  <c:v>44953</c:v>
                </c:pt>
                <c:pt idx="7">
                  <c:v>44960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45641120931.690002</c:v>
                </c:pt>
                <c:pt idx="1">
                  <c:v>45659418904.860001</c:v>
                </c:pt>
                <c:pt idx="2">
                  <c:v>45655500617.019997</c:v>
                </c:pt>
                <c:pt idx="3">
                  <c:v>46204685553.529999</c:v>
                </c:pt>
                <c:pt idx="4">
                  <c:v>46216946191.18</c:v>
                </c:pt>
                <c:pt idx="5">
                  <c:v>46235461396.509995</c:v>
                </c:pt>
                <c:pt idx="6">
                  <c:v>46212263995.169998</c:v>
                </c:pt>
                <c:pt idx="7">
                  <c:v>46289004330.269997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44911</c:v>
                </c:pt>
                <c:pt idx="1">
                  <c:v>45283</c:v>
                </c:pt>
                <c:pt idx="2">
                  <c:v>45290</c:v>
                </c:pt>
                <c:pt idx="3">
                  <c:v>44932</c:v>
                </c:pt>
                <c:pt idx="4">
                  <c:v>44939</c:v>
                </c:pt>
                <c:pt idx="5">
                  <c:v>44946</c:v>
                </c:pt>
                <c:pt idx="6">
                  <c:v>44953</c:v>
                </c:pt>
                <c:pt idx="7">
                  <c:v>44960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590991900611.65771</c:v>
                </c:pt>
                <c:pt idx="1">
                  <c:v>599441283293.77356</c:v>
                </c:pt>
                <c:pt idx="2">
                  <c:v>614697197461.63013</c:v>
                </c:pt>
                <c:pt idx="3">
                  <c:v>638005833111.39978</c:v>
                </c:pt>
                <c:pt idx="4">
                  <c:v>652456174435.47937</c:v>
                </c:pt>
                <c:pt idx="5">
                  <c:v>668991989528.35986</c:v>
                </c:pt>
                <c:pt idx="6">
                  <c:v>689393093044.69934</c:v>
                </c:pt>
                <c:pt idx="7">
                  <c:v>708387215249.38928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44911</c:v>
                </c:pt>
                <c:pt idx="1">
                  <c:v>45283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337768215375.69989</c:v>
                </c:pt>
                <c:pt idx="1">
                  <c:v>345947135557.62299</c:v>
                </c:pt>
                <c:pt idx="2">
                  <c:v>347146151227.32391</c:v>
                </c:pt>
                <c:pt idx="3">
                  <c:v>346020331729.3703</c:v>
                </c:pt>
                <c:pt idx="4">
                  <c:v>345947135557.62299</c:v>
                </c:pt>
                <c:pt idx="5">
                  <c:v>343126814140.64636</c:v>
                </c:pt>
                <c:pt idx="6">
                  <c:v>342048621360.02881</c:v>
                </c:pt>
                <c:pt idx="7">
                  <c:v>346326319129.15698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324899490879.42987</c:v>
                </c:pt>
                <c:pt idx="1">
                  <c:v>328659495248.42633</c:v>
                </c:pt>
                <c:pt idx="2">
                  <c:v>331525669640.7597</c:v>
                </c:pt>
                <c:pt idx="3">
                  <c:v>320193218057.02887</c:v>
                </c:pt>
                <c:pt idx="4">
                  <c:v>318934755543.12677</c:v>
                </c:pt>
                <c:pt idx="5">
                  <c:v>317633858239.45715</c:v>
                </c:pt>
                <c:pt idx="6">
                  <c:v>318454224920.62793</c:v>
                </c:pt>
                <c:pt idx="7">
                  <c:v>315407028595.76306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year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70</xdr:row>
      <xdr:rowOff>0</xdr:rowOff>
    </xdr:from>
    <xdr:to>
      <xdr:col>19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95</xdr:row>
      <xdr:rowOff>0</xdr:rowOff>
    </xdr:from>
    <xdr:to>
      <xdr:col>18</xdr:col>
      <xdr:colOff>304800</xdr:colOff>
      <xdr:row>96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0"/>
  <sheetViews>
    <sheetView tabSelected="1" view="pageBreakPreview" zoomScale="120" zoomScaleNormal="160" zoomScaleSheetLayoutView="12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38" customWidth="1"/>
    <col min="9" max="9" width="17.140625" style="234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9" style="4" customWidth="1"/>
    <col min="15" max="15" width="9.42578125" style="4" customWidth="1"/>
    <col min="16" max="16" width="8.42578125" style="116" customWidth="1"/>
    <col min="17" max="17" width="6.7109375" style="116" customWidth="1"/>
    <col min="18" max="18" width="21.140625" style="117" customWidth="1"/>
    <col min="19" max="19" width="18.42578125" style="116" customWidth="1"/>
    <col min="20" max="20" width="18.140625" style="116" customWidth="1"/>
    <col min="21" max="21" width="9.42578125" style="116" customWidth="1"/>
    <col min="22" max="22" width="18.42578125" style="116" customWidth="1"/>
    <col min="23" max="23" width="8.85546875" style="116" customWidth="1"/>
    <col min="24" max="24" width="25.140625" style="116" customWidth="1"/>
    <col min="25" max="30" width="8.85546875" style="116"/>
    <col min="31" max="31" width="9" style="116" bestFit="1" customWidth="1"/>
    <col min="32" max="40" width="8.85546875" style="116"/>
    <col min="41" max="41" width="9.28515625" style="116" bestFit="1" customWidth="1"/>
    <col min="42" max="49" width="8.85546875" style="116"/>
    <col min="50" max="50" width="8.85546875" style="116" customWidth="1"/>
    <col min="51" max="101" width="8.85546875" style="116"/>
    <col min="102" max="16384" width="8.85546875" style="4"/>
  </cols>
  <sheetData>
    <row r="1" spans="1:24" s="123" customFormat="1" ht="22.5" customHeight="1">
      <c r="A1" s="467" t="s">
        <v>291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9"/>
      <c r="Q1" s="121"/>
      <c r="R1" s="315"/>
      <c r="S1" s="124"/>
    </row>
    <row r="2" spans="1:24" s="123" customFormat="1" ht="25.5" customHeight="1">
      <c r="A2" s="263"/>
      <c r="B2" s="264"/>
      <c r="C2" s="264"/>
      <c r="D2" s="453" t="s">
        <v>281</v>
      </c>
      <c r="E2" s="453"/>
      <c r="F2" s="453"/>
      <c r="G2" s="453"/>
      <c r="H2" s="453"/>
      <c r="I2" s="453" t="s">
        <v>286</v>
      </c>
      <c r="J2" s="453"/>
      <c r="K2" s="453"/>
      <c r="L2" s="453"/>
      <c r="M2" s="453"/>
      <c r="N2" s="470" t="s">
        <v>67</v>
      </c>
      <c r="O2" s="471"/>
      <c r="P2" s="334" t="s">
        <v>236</v>
      </c>
      <c r="Q2" s="121"/>
      <c r="R2" s="315"/>
      <c r="S2" s="124"/>
    </row>
    <row r="3" spans="1:24" s="123" customFormat="1" ht="12.95" customHeight="1">
      <c r="A3" s="321" t="s">
        <v>1</v>
      </c>
      <c r="B3" s="322" t="s">
        <v>210</v>
      </c>
      <c r="C3" s="322" t="s">
        <v>2</v>
      </c>
      <c r="D3" s="323" t="s">
        <v>220</v>
      </c>
      <c r="E3" s="324" t="s">
        <v>66</v>
      </c>
      <c r="F3" s="324" t="s">
        <v>233</v>
      </c>
      <c r="G3" s="324" t="s">
        <v>234</v>
      </c>
      <c r="H3" s="325" t="s">
        <v>235</v>
      </c>
      <c r="I3" s="326" t="s">
        <v>220</v>
      </c>
      <c r="J3" s="324" t="s">
        <v>66</v>
      </c>
      <c r="K3" s="324" t="s">
        <v>233</v>
      </c>
      <c r="L3" s="324" t="s">
        <v>234</v>
      </c>
      <c r="M3" s="324" t="s">
        <v>235</v>
      </c>
      <c r="N3" s="327" t="s">
        <v>221</v>
      </c>
      <c r="O3" s="328" t="s">
        <v>127</v>
      </c>
      <c r="P3" s="329" t="s">
        <v>235</v>
      </c>
      <c r="Q3" s="121"/>
      <c r="R3" s="315"/>
      <c r="S3" s="124"/>
    </row>
    <row r="4" spans="1:24" s="123" customFormat="1" ht="5.25" customHeight="1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4"/>
      <c r="Q4" s="121"/>
      <c r="R4" s="315"/>
      <c r="S4" s="124"/>
    </row>
    <row r="5" spans="1:24" s="123" customFormat="1" ht="12.95" customHeight="1">
      <c r="A5" s="475" t="s">
        <v>0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7"/>
      <c r="Q5" s="121"/>
      <c r="R5" s="315"/>
      <c r="S5" s="124"/>
    </row>
    <row r="6" spans="1:24" s="123" customFormat="1" ht="12.95" customHeight="1">
      <c r="A6" s="430">
        <v>1</v>
      </c>
      <c r="B6" s="431" t="s">
        <v>5</v>
      </c>
      <c r="C6" s="432" t="s">
        <v>246</v>
      </c>
      <c r="D6" s="393">
        <v>7697512730.9799995</v>
      </c>
      <c r="E6" s="205">
        <f t="shared" ref="E6:E21" si="0">(D6/$D$22)</f>
        <v>0.44925826326434082</v>
      </c>
      <c r="F6" s="392">
        <v>13010.13</v>
      </c>
      <c r="G6" s="392">
        <v>13161.69</v>
      </c>
      <c r="H6" s="401">
        <v>6.3799999999999996E-2</v>
      </c>
      <c r="I6" s="393">
        <v>7655640660.04</v>
      </c>
      <c r="J6" s="205">
        <f t="shared" ref="J6:J19" si="1">(I6/$I$22)</f>
        <v>0.44759412273476989</v>
      </c>
      <c r="K6" s="392">
        <v>12933.52</v>
      </c>
      <c r="L6" s="392">
        <v>13090.97</v>
      </c>
      <c r="M6" s="401">
        <v>5.8099999999999999E-2</v>
      </c>
      <c r="N6" s="84">
        <f>((I6-D6)/D6)</f>
        <v>-5.4396884296765155E-3</v>
      </c>
      <c r="O6" s="396">
        <f t="shared" ref="O6:O21" si="2">((L6-G6)/G6)</f>
        <v>-5.3731701627983304E-3</v>
      </c>
      <c r="P6" s="242">
        <f>M6-H6</f>
        <v>-5.6999999999999967E-3</v>
      </c>
      <c r="Q6" s="121"/>
      <c r="S6" s="124"/>
    </row>
    <row r="7" spans="1:24" s="123" customFormat="1" ht="12.95" customHeight="1">
      <c r="A7" s="430">
        <v>2</v>
      </c>
      <c r="B7" s="431" t="s">
        <v>142</v>
      </c>
      <c r="C7" s="432" t="s">
        <v>49</v>
      </c>
      <c r="D7" s="393">
        <v>1039220961.4</v>
      </c>
      <c r="E7" s="205">
        <f t="shared" si="0"/>
        <v>6.0653177277307659E-2</v>
      </c>
      <c r="F7" s="392">
        <v>2.0699999999999998</v>
      </c>
      <c r="G7" s="392">
        <v>2.12</v>
      </c>
      <c r="H7" s="401">
        <v>4.9700000000000001E-2</v>
      </c>
      <c r="I7" s="393">
        <v>1043691566.0599999</v>
      </c>
      <c r="J7" s="205">
        <f t="shared" si="1"/>
        <v>6.1020394198316903E-2</v>
      </c>
      <c r="K7" s="392">
        <v>2.08</v>
      </c>
      <c r="L7" s="342">
        <v>2.13</v>
      </c>
      <c r="M7" s="401">
        <v>5.4199999999999998E-2</v>
      </c>
      <c r="N7" s="84">
        <f>((I7-D7)/D7)</f>
        <v>4.3018807607357471E-3</v>
      </c>
      <c r="O7" s="84">
        <f t="shared" si="2"/>
        <v>4.7169811320753709E-3</v>
      </c>
      <c r="P7" s="242">
        <f>M7-H7</f>
        <v>4.4999999999999971E-3</v>
      </c>
      <c r="Q7" s="121"/>
      <c r="R7" s="315"/>
      <c r="S7" s="124"/>
    </row>
    <row r="8" spans="1:24" s="123" customFormat="1" ht="12.95" customHeight="1">
      <c r="A8" s="430">
        <v>3</v>
      </c>
      <c r="B8" s="431" t="s">
        <v>61</v>
      </c>
      <c r="C8" s="432" t="s">
        <v>11</v>
      </c>
      <c r="D8" s="393">
        <v>262267538.56999999</v>
      </c>
      <c r="E8" s="205">
        <f t="shared" si="0"/>
        <v>1.5307004094239525E-2</v>
      </c>
      <c r="F8" s="392">
        <v>131.80000000000001</v>
      </c>
      <c r="G8" s="392">
        <v>134.13999999999999</v>
      </c>
      <c r="H8" s="401">
        <v>2.4199999999999999E-2</v>
      </c>
      <c r="I8" s="393">
        <v>256468055.13999999</v>
      </c>
      <c r="J8" s="205">
        <f t="shared" si="1"/>
        <v>1.4994642414326837E-2</v>
      </c>
      <c r="K8" s="392">
        <v>128.86000000000001</v>
      </c>
      <c r="L8" s="392">
        <v>134.71</v>
      </c>
      <c r="M8" s="401">
        <v>-2.23E-2</v>
      </c>
      <c r="N8" s="84">
        <f>((I8-D8)/D8)</f>
        <v>-2.2112852629880872E-2</v>
      </c>
      <c r="O8" s="84">
        <f t="shared" si="2"/>
        <v>4.2492917847027113E-3</v>
      </c>
      <c r="P8" s="242">
        <f>M8-H8</f>
        <v>-4.65E-2</v>
      </c>
      <c r="Q8" s="121"/>
      <c r="R8" s="315"/>
      <c r="S8" s="124"/>
      <c r="T8" s="157"/>
      <c r="U8" s="125"/>
      <c r="V8" s="125"/>
      <c r="W8" s="126"/>
    </row>
    <row r="9" spans="1:24" s="123" customFormat="1" ht="12.95" customHeight="1">
      <c r="A9" s="430">
        <v>4</v>
      </c>
      <c r="B9" s="431" t="s">
        <v>12</v>
      </c>
      <c r="C9" s="432" t="s">
        <v>13</v>
      </c>
      <c r="D9" s="393">
        <v>757132456.65999997</v>
      </c>
      <c r="E9" s="205">
        <f t="shared" si="0"/>
        <v>4.4189340690681762E-2</v>
      </c>
      <c r="F9" s="392">
        <v>18.53</v>
      </c>
      <c r="G9" s="392">
        <v>18.87</v>
      </c>
      <c r="H9" s="401">
        <v>6.9500000000000006E-2</v>
      </c>
      <c r="I9" s="340">
        <v>759488412.97000003</v>
      </c>
      <c r="J9" s="205">
        <f t="shared" si="1"/>
        <v>4.4404193590867107E-2</v>
      </c>
      <c r="K9" s="342">
        <v>18.53</v>
      </c>
      <c r="L9" s="342">
        <v>18.87</v>
      </c>
      <c r="M9" s="344">
        <v>7.2099999999999997E-2</v>
      </c>
      <c r="N9" s="84">
        <f>((I9-D9)/D9)</f>
        <v>3.1116831530285782E-3</v>
      </c>
      <c r="O9" s="84">
        <f t="shared" si="2"/>
        <v>0</v>
      </c>
      <c r="P9" s="242">
        <f>M9-H9</f>
        <v>2.5999999999999912E-3</v>
      </c>
      <c r="Q9" s="121"/>
      <c r="R9" s="315"/>
      <c r="S9" s="124"/>
      <c r="T9" s="157"/>
      <c r="U9" s="125"/>
      <c r="V9" s="125"/>
      <c r="W9" s="126"/>
    </row>
    <row r="10" spans="1:24" s="123" customFormat="1" ht="12.95" customHeight="1">
      <c r="A10" s="430">
        <v>5</v>
      </c>
      <c r="B10" s="431" t="s">
        <v>62</v>
      </c>
      <c r="C10" s="432" t="s">
        <v>17</v>
      </c>
      <c r="D10" s="393">
        <v>427697674.54000002</v>
      </c>
      <c r="E10" s="205">
        <f t="shared" si="0"/>
        <v>2.4962182094575732E-2</v>
      </c>
      <c r="F10" s="392">
        <v>199.8646</v>
      </c>
      <c r="G10" s="392">
        <v>202.28809999999999</v>
      </c>
      <c r="H10" s="401">
        <v>6.0199999999999997E-2</v>
      </c>
      <c r="I10" s="393">
        <v>427260800.79000002</v>
      </c>
      <c r="J10" s="205">
        <f t="shared" si="1"/>
        <v>2.4980198496876174E-2</v>
      </c>
      <c r="K10" s="392">
        <v>199.4736</v>
      </c>
      <c r="L10" s="392">
        <v>201.98869999999999</v>
      </c>
      <c r="M10" s="401">
        <v>5.8200000000000002E-2</v>
      </c>
      <c r="N10" s="120">
        <f>((I10-D10)/D10)</f>
        <v>-1.0214545834738734E-3</v>
      </c>
      <c r="O10" s="120">
        <f t="shared" si="2"/>
        <v>-1.4800672901668041E-3</v>
      </c>
      <c r="P10" s="242">
        <f t="shared" ref="P10:P22" si="3">M10-H10</f>
        <v>-1.9999999999999948E-3</v>
      </c>
      <c r="Q10" s="121"/>
      <c r="R10" s="315"/>
      <c r="S10" s="124"/>
      <c r="T10" s="157"/>
      <c r="U10" s="125"/>
      <c r="V10" s="125"/>
      <c r="W10" s="126"/>
    </row>
    <row r="11" spans="1:24" s="123" customFormat="1" ht="12.95" customHeight="1">
      <c r="A11" s="430">
        <v>6</v>
      </c>
      <c r="B11" s="431" t="s">
        <v>45</v>
      </c>
      <c r="C11" s="431" t="s">
        <v>81</v>
      </c>
      <c r="D11" s="392">
        <v>1976784489.8</v>
      </c>
      <c r="E11" s="205">
        <f t="shared" si="0"/>
        <v>0.11537321181180668</v>
      </c>
      <c r="F11" s="392">
        <v>1.0186999999999999</v>
      </c>
      <c r="G11" s="343">
        <v>1.0429999999999999</v>
      </c>
      <c r="H11" s="401">
        <v>6.9099999999999995E-2</v>
      </c>
      <c r="I11" s="392">
        <v>1978296792.0999999</v>
      </c>
      <c r="J11" s="205">
        <f t="shared" si="1"/>
        <v>0.11566295447889823</v>
      </c>
      <c r="K11" s="392">
        <v>1.0195000000000001</v>
      </c>
      <c r="L11" s="343">
        <v>1.0439000000000001</v>
      </c>
      <c r="M11" s="344">
        <v>6.9900000000000004E-2</v>
      </c>
      <c r="N11" s="84">
        <f t="shared" ref="N11:N22" si="4">((I11-D11)/D11)</f>
        <v>7.6503144768854325E-4</v>
      </c>
      <c r="O11" s="84">
        <f t="shared" si="2"/>
        <v>8.628954937680949E-4</v>
      </c>
      <c r="P11" s="242">
        <f t="shared" si="3"/>
        <v>8.0000000000000904E-4</v>
      </c>
      <c r="Q11" s="121"/>
      <c r="R11" s="315"/>
      <c r="S11" s="124"/>
      <c r="T11" s="159"/>
      <c r="U11" s="126"/>
      <c r="V11" s="126"/>
      <c r="W11" s="127"/>
      <c r="X11" s="128"/>
    </row>
    <row r="12" spans="1:24" s="123" customFormat="1" ht="12.95" customHeight="1">
      <c r="A12" s="430">
        <v>7</v>
      </c>
      <c r="B12" s="431" t="s">
        <v>7</v>
      </c>
      <c r="C12" s="432" t="s">
        <v>14</v>
      </c>
      <c r="D12" s="392">
        <v>2447565095.3200002</v>
      </c>
      <c r="E12" s="205">
        <f t="shared" si="0"/>
        <v>0.14284988961751172</v>
      </c>
      <c r="F12" s="392">
        <v>23.348199999999999</v>
      </c>
      <c r="G12" s="392">
        <v>24.052099999999999</v>
      </c>
      <c r="H12" s="377">
        <v>1.2629999999999999</v>
      </c>
      <c r="I12" s="392">
        <v>2460213036.2199998</v>
      </c>
      <c r="J12" s="205">
        <f t="shared" si="1"/>
        <v>0.14383863409829661</v>
      </c>
      <c r="K12" s="392">
        <v>23.4572</v>
      </c>
      <c r="L12" s="392">
        <v>24.1645</v>
      </c>
      <c r="M12" s="377">
        <v>0.2437</v>
      </c>
      <c r="N12" s="84">
        <f t="shared" si="4"/>
        <v>5.1675605785455108E-3</v>
      </c>
      <c r="O12" s="84">
        <f t="shared" si="2"/>
        <v>4.6731886197047641E-3</v>
      </c>
      <c r="P12" s="242">
        <f t="shared" si="3"/>
        <v>-1.0192999999999999</v>
      </c>
      <c r="Q12" s="121"/>
      <c r="R12" s="155"/>
      <c r="S12" s="124"/>
    </row>
    <row r="13" spans="1:24" s="123" customFormat="1" ht="12.95" customHeight="1">
      <c r="A13" s="430">
        <v>8</v>
      </c>
      <c r="B13" s="431" t="s">
        <v>201</v>
      </c>
      <c r="C13" s="432" t="s">
        <v>57</v>
      </c>
      <c r="D13" s="392">
        <v>390977059.31</v>
      </c>
      <c r="E13" s="205">
        <f t="shared" si="0"/>
        <v>2.2819017100793693E-2</v>
      </c>
      <c r="F13" s="392">
        <v>178.55</v>
      </c>
      <c r="G13" s="392">
        <v>181.19</v>
      </c>
      <c r="H13" s="401">
        <v>2.35E-2</v>
      </c>
      <c r="I13" s="392">
        <v>385648510.37</v>
      </c>
      <c r="J13" s="205">
        <f t="shared" si="1"/>
        <v>2.2547297391323624E-2</v>
      </c>
      <c r="K13" s="392">
        <v>177.27</v>
      </c>
      <c r="L13" s="392">
        <v>179.9</v>
      </c>
      <c r="M13" s="401">
        <v>-7.1000000000000004E-3</v>
      </c>
      <c r="N13" s="84">
        <f>((I13-D13)/D13)</f>
        <v>-1.362880203100374E-2</v>
      </c>
      <c r="O13" s="84">
        <f t="shared" si="2"/>
        <v>-7.119598211821801E-3</v>
      </c>
      <c r="P13" s="242">
        <f t="shared" si="3"/>
        <v>-3.0600000000000002E-2</v>
      </c>
      <c r="Q13" s="121"/>
      <c r="R13" s="155"/>
      <c r="S13" s="124"/>
    </row>
    <row r="14" spans="1:24" s="123" customFormat="1" ht="12.95" customHeight="1">
      <c r="A14" s="430">
        <v>9</v>
      </c>
      <c r="B14" s="431" t="s">
        <v>59</v>
      </c>
      <c r="C14" s="432" t="s">
        <v>58</v>
      </c>
      <c r="D14" s="392">
        <v>306310105.66000003</v>
      </c>
      <c r="E14" s="205">
        <f t="shared" si="0"/>
        <v>1.7877508085863001E-2</v>
      </c>
      <c r="F14" s="392">
        <v>13.0337</v>
      </c>
      <c r="G14" s="392">
        <v>13.0718</v>
      </c>
      <c r="H14" s="401">
        <v>5.7200000000000001E-2</v>
      </c>
      <c r="I14" s="339">
        <v>306310105.66000003</v>
      </c>
      <c r="J14" s="205">
        <f t="shared" si="1"/>
        <v>1.7908704067487676E-2</v>
      </c>
      <c r="K14" s="342">
        <v>13.0365</v>
      </c>
      <c r="L14" s="342">
        <v>13.078799999999999</v>
      </c>
      <c r="M14" s="344">
        <v>5.7599999999999998E-2</v>
      </c>
      <c r="N14" s="84">
        <f t="shared" si="4"/>
        <v>0</v>
      </c>
      <c r="O14" s="84">
        <f t="shared" si="2"/>
        <v>5.3550390917851199E-4</v>
      </c>
      <c r="P14" s="242">
        <f t="shared" si="3"/>
        <v>3.9999999999999758E-4</v>
      </c>
      <c r="Q14" s="121"/>
      <c r="R14" s="155"/>
      <c r="S14" s="160"/>
      <c r="T14" s="160"/>
    </row>
    <row r="15" spans="1:24" s="123" customFormat="1" ht="12.95" customHeight="1">
      <c r="A15" s="430">
        <v>10</v>
      </c>
      <c r="B15" s="431" t="s">
        <v>5</v>
      </c>
      <c r="C15" s="432" t="s">
        <v>72</v>
      </c>
      <c r="D15" s="393">
        <v>363128838.67000002</v>
      </c>
      <c r="E15" s="205">
        <f t="shared" si="0"/>
        <v>2.1193681271289226E-2</v>
      </c>
      <c r="F15" s="392">
        <v>3489.27</v>
      </c>
      <c r="G15" s="392">
        <v>3533.76</v>
      </c>
      <c r="H15" s="401">
        <v>7.9200000000000007E-2</v>
      </c>
      <c r="I15" s="393">
        <v>358114157.80000001</v>
      </c>
      <c r="J15" s="205">
        <f t="shared" si="1"/>
        <v>2.0937475962796097E-2</v>
      </c>
      <c r="K15" s="392">
        <v>3441.24</v>
      </c>
      <c r="L15" s="392">
        <v>3484.85</v>
      </c>
      <c r="M15" s="344">
        <v>6.4299999999999996E-2</v>
      </c>
      <c r="N15" s="84">
        <f t="shared" si="4"/>
        <v>-1.3809646428432493E-2</v>
      </c>
      <c r="O15" s="84">
        <f t="shared" si="2"/>
        <v>-1.3840781490537078E-2</v>
      </c>
      <c r="P15" s="242">
        <f t="shared" si="3"/>
        <v>-1.490000000000001E-2</v>
      </c>
      <c r="Q15" s="121"/>
      <c r="R15" s="155"/>
      <c r="S15" s="161"/>
      <c r="T15" s="161"/>
    </row>
    <row r="16" spans="1:24" s="123" customFormat="1" ht="12.95" customHeight="1">
      <c r="A16" s="430">
        <v>11</v>
      </c>
      <c r="B16" s="431" t="s">
        <v>86</v>
      </c>
      <c r="C16" s="432" t="s">
        <v>87</v>
      </c>
      <c r="D16" s="393">
        <v>277239452.17000002</v>
      </c>
      <c r="E16" s="205">
        <f t="shared" si="0"/>
        <v>1.6180826085414515E-2</v>
      </c>
      <c r="F16" s="392">
        <v>141.97999999999999</v>
      </c>
      <c r="G16" s="392">
        <v>142.97</v>
      </c>
      <c r="H16" s="401">
        <v>6.0499999999999998E-2</v>
      </c>
      <c r="I16" s="393">
        <v>282006437.12</v>
      </c>
      <c r="J16" s="205">
        <f t="shared" si="1"/>
        <v>1.6487767573409712E-2</v>
      </c>
      <c r="K16" s="392">
        <v>141.97999999999999</v>
      </c>
      <c r="L16" s="392">
        <v>142.97</v>
      </c>
      <c r="M16" s="344">
        <v>7.3400000000000007E-2</v>
      </c>
      <c r="N16" s="84">
        <f t="shared" si="4"/>
        <v>1.719446822120009E-2</v>
      </c>
      <c r="O16" s="84">
        <f t="shared" si="2"/>
        <v>0</v>
      </c>
      <c r="P16" s="242">
        <f t="shared" si="3"/>
        <v>1.2900000000000009E-2</v>
      </c>
      <c r="Q16" s="121"/>
      <c r="R16" s="155"/>
      <c r="S16" s="162"/>
      <c r="T16" s="162"/>
    </row>
    <row r="17" spans="1:23" s="123" customFormat="1" ht="12.95" customHeight="1">
      <c r="A17" s="430">
        <v>12</v>
      </c>
      <c r="B17" s="431" t="s">
        <v>265</v>
      </c>
      <c r="C17" s="432" t="s">
        <v>132</v>
      </c>
      <c r="D17" s="393">
        <v>347540583.73000002</v>
      </c>
      <c r="E17" s="205">
        <f t="shared" si="0"/>
        <v>2.0283887083683567E-2</v>
      </c>
      <c r="F17" s="392">
        <v>1.28</v>
      </c>
      <c r="G17" s="392">
        <v>1.32</v>
      </c>
      <c r="H17" s="401">
        <v>1.41E-2</v>
      </c>
      <c r="I17" s="393">
        <v>349368508.86000001</v>
      </c>
      <c r="J17" s="205">
        <f t="shared" si="1"/>
        <v>2.0426153496280915E-2</v>
      </c>
      <c r="K17" s="342">
        <v>1.32</v>
      </c>
      <c r="L17" s="342">
        <v>1.36</v>
      </c>
      <c r="M17" s="344">
        <v>3.0700000000000002E-2</v>
      </c>
      <c r="N17" s="84">
        <f t="shared" si="4"/>
        <v>5.259601944560488E-3</v>
      </c>
      <c r="O17" s="84">
        <f t="shared" si="2"/>
        <v>3.0303030303030328E-2</v>
      </c>
      <c r="P17" s="242">
        <f t="shared" si="3"/>
        <v>1.6600000000000004E-2</v>
      </c>
      <c r="Q17" s="121"/>
      <c r="R17" s="155"/>
      <c r="S17" s="161"/>
      <c r="T17" s="161"/>
    </row>
    <row r="18" spans="1:23" s="123" customFormat="1" ht="12.95" customHeight="1">
      <c r="A18" s="430">
        <v>13</v>
      </c>
      <c r="B18" s="431" t="s">
        <v>96</v>
      </c>
      <c r="C18" s="432" t="s">
        <v>135</v>
      </c>
      <c r="D18" s="392">
        <v>295718639.97000003</v>
      </c>
      <c r="E18" s="205">
        <f t="shared" si="0"/>
        <v>1.7259346915156182E-2</v>
      </c>
      <c r="F18" s="392">
        <v>1.503277</v>
      </c>
      <c r="G18" s="392">
        <v>1.530152</v>
      </c>
      <c r="H18" s="401">
        <v>3.9559191924386561E-2</v>
      </c>
      <c r="I18" s="392">
        <v>296691417.77999997</v>
      </c>
      <c r="J18" s="205">
        <f t="shared" si="1"/>
        <v>1.7346338570635098E-2</v>
      </c>
      <c r="K18" s="392">
        <v>1.508222</v>
      </c>
      <c r="L18" s="392">
        <v>1.5355380000000001</v>
      </c>
      <c r="M18" s="344">
        <v>3.9424921807238417E-2</v>
      </c>
      <c r="N18" s="84">
        <f t="shared" si="4"/>
        <v>3.2895383601744847E-3</v>
      </c>
      <c r="O18" s="84">
        <f t="shared" si="2"/>
        <v>3.5199117473297507E-3</v>
      </c>
      <c r="P18" s="242">
        <f t="shared" si="3"/>
        <v>-1.3427011714814419E-4</v>
      </c>
      <c r="Q18" s="121"/>
      <c r="R18" s="155"/>
      <c r="S18" s="163"/>
      <c r="T18" s="163"/>
    </row>
    <row r="19" spans="1:23" s="123" customFormat="1" ht="12.95" customHeight="1">
      <c r="A19" s="430">
        <v>14</v>
      </c>
      <c r="B19" s="431" t="s">
        <v>145</v>
      </c>
      <c r="C19" s="432" t="s">
        <v>146</v>
      </c>
      <c r="D19" s="392">
        <v>461533123.02999997</v>
      </c>
      <c r="E19" s="205">
        <f t="shared" si="0"/>
        <v>2.693695698052154E-2</v>
      </c>
      <c r="F19" s="392">
        <v>153.94710000000001</v>
      </c>
      <c r="G19" s="392">
        <v>155.60910000000001</v>
      </c>
      <c r="H19" s="401">
        <v>1.6286999999999999E-2</v>
      </c>
      <c r="I19" s="339">
        <v>461493096.73000002</v>
      </c>
      <c r="J19" s="205">
        <f t="shared" si="1"/>
        <v>2.6981621388945571E-2</v>
      </c>
      <c r="K19" s="342">
        <v>153.95930000000001</v>
      </c>
      <c r="L19" s="342">
        <v>155.60040000000001</v>
      </c>
      <c r="M19" s="344">
        <v>1.7E-5</v>
      </c>
      <c r="N19" s="84">
        <v>5.6480000000000002E-3</v>
      </c>
      <c r="O19" s="84">
        <f t="shared" si="2"/>
        <v>-5.590932663966691E-5</v>
      </c>
      <c r="P19" s="242">
        <f>M19-H19</f>
        <v>-1.627E-2</v>
      </c>
      <c r="Q19" s="121"/>
      <c r="R19" s="341"/>
      <c r="S19" s="341"/>
      <c r="T19" s="163"/>
    </row>
    <row r="20" spans="1:23" s="397" customFormat="1" ht="12.95" customHeight="1">
      <c r="A20" s="430">
        <v>15</v>
      </c>
      <c r="B20" s="431" t="s">
        <v>238</v>
      </c>
      <c r="C20" s="432" t="s">
        <v>237</v>
      </c>
      <c r="D20" s="78">
        <v>26283144.050000001</v>
      </c>
      <c r="E20" s="400">
        <f>(D20/$D$22)</f>
        <v>1.5339915712651484E-3</v>
      </c>
      <c r="F20" s="392">
        <v>102.49</v>
      </c>
      <c r="G20" s="392">
        <v>105.84</v>
      </c>
      <c r="H20" s="401">
        <v>1.52E-2</v>
      </c>
      <c r="I20" s="78">
        <v>26228019.760000002</v>
      </c>
      <c r="J20" s="400">
        <v>0.96619999999999995</v>
      </c>
      <c r="K20" s="392">
        <v>102.27</v>
      </c>
      <c r="L20" s="392">
        <v>105.62</v>
      </c>
      <c r="M20" s="401">
        <v>-2.2000000000000001E-3</v>
      </c>
      <c r="N20" s="396">
        <f>((I20-D20)/D20)</f>
        <v>-2.0973248061621876E-3</v>
      </c>
      <c r="O20" s="396">
        <f>((L20-G20)/G20)</f>
        <v>-2.0786092214663534E-3</v>
      </c>
      <c r="P20" s="403">
        <f>M20-H20</f>
        <v>-1.7399999999999999E-2</v>
      </c>
      <c r="Q20" s="121"/>
      <c r="R20" s="341"/>
      <c r="S20" s="341"/>
      <c r="T20" s="163"/>
    </row>
    <row r="21" spans="1:23" s="123" customFormat="1" ht="12.95" customHeight="1">
      <c r="A21" s="430">
        <v>16</v>
      </c>
      <c r="B21" s="431" t="s">
        <v>269</v>
      </c>
      <c r="C21" s="432" t="s">
        <v>268</v>
      </c>
      <c r="D21" s="78">
        <v>56913703.579999998</v>
      </c>
      <c r="E21" s="205">
        <f t="shared" si="0"/>
        <v>3.3217160555494159E-3</v>
      </c>
      <c r="F21" s="392">
        <v>108.5343</v>
      </c>
      <c r="G21" s="392">
        <v>108.9726</v>
      </c>
      <c r="H21" s="401">
        <v>3.3076000000000001E-2</v>
      </c>
      <c r="I21" s="78">
        <v>57059834.270000003</v>
      </c>
      <c r="J21" s="205">
        <v>0.96619999999999995</v>
      </c>
      <c r="K21" s="392">
        <v>108.8051</v>
      </c>
      <c r="L21" s="392">
        <v>109.2428</v>
      </c>
      <c r="M21" s="401">
        <v>5.5323999999999998E-2</v>
      </c>
      <c r="N21" s="84">
        <f t="shared" si="4"/>
        <v>2.5675835661370795E-3</v>
      </c>
      <c r="O21" s="84">
        <f t="shared" si="2"/>
        <v>2.4795223753494243E-3</v>
      </c>
      <c r="P21" s="242">
        <f t="shared" si="3"/>
        <v>2.2247999999999997E-2</v>
      </c>
      <c r="Q21" s="121"/>
      <c r="R21" s="156"/>
      <c r="S21" s="130"/>
      <c r="T21" s="130"/>
    </row>
    <row r="22" spans="1:23" s="123" customFormat="1" ht="12.95" customHeight="1">
      <c r="A22" s="229"/>
      <c r="B22" s="306"/>
      <c r="C22" s="266" t="s">
        <v>46</v>
      </c>
      <c r="D22" s="73">
        <f>SUM(D6:D21)</f>
        <v>17133825597.439997</v>
      </c>
      <c r="E22" s="285">
        <f>(D22/$D$166)</f>
        <v>1.1492100613643801E-2</v>
      </c>
      <c r="F22" s="287"/>
      <c r="G22" s="74"/>
      <c r="H22" s="307"/>
      <c r="I22" s="73">
        <f>SUM(I6:I21)</f>
        <v>17103979411.670002</v>
      </c>
      <c r="J22" s="285">
        <f>(I22/$I$166)</f>
        <v>1.1305799429907386E-2</v>
      </c>
      <c r="K22" s="287"/>
      <c r="L22" s="74"/>
      <c r="M22" s="307"/>
      <c r="N22" s="289">
        <f t="shared" si="4"/>
        <v>-1.7419452299347626E-3</v>
      </c>
      <c r="O22" s="289"/>
      <c r="P22" s="290">
        <f t="shared" si="3"/>
        <v>0</v>
      </c>
      <c r="Q22" s="121"/>
      <c r="R22" s="155"/>
      <c r="S22" s="164"/>
      <c r="V22" s="130"/>
      <c r="W22" s="130"/>
    </row>
    <row r="23" spans="1:23" s="123" customFormat="1" ht="5.25" customHeight="1">
      <c r="A23" s="447"/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449"/>
      <c r="Q23" s="121"/>
      <c r="R23" s="155"/>
      <c r="S23" s="164"/>
      <c r="V23" s="130"/>
      <c r="W23" s="130"/>
    </row>
    <row r="24" spans="1:23" s="123" customFormat="1" ht="12.95" customHeight="1">
      <c r="A24" s="441" t="s">
        <v>48</v>
      </c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3"/>
      <c r="Q24" s="121"/>
      <c r="R24" s="165"/>
      <c r="T24" s="166"/>
    </row>
    <row r="25" spans="1:23" s="123" customFormat="1" ht="12.95" customHeight="1">
      <c r="A25" s="430">
        <v>17</v>
      </c>
      <c r="B25" s="431" t="s">
        <v>5</v>
      </c>
      <c r="C25" s="432" t="s">
        <v>38</v>
      </c>
      <c r="D25" s="387">
        <v>301352962735.25</v>
      </c>
      <c r="E25" s="207">
        <v>3.6200000000000003E-2</v>
      </c>
      <c r="F25" s="343">
        <v>100</v>
      </c>
      <c r="G25" s="343">
        <v>100</v>
      </c>
      <c r="H25" s="401">
        <v>0.1124</v>
      </c>
      <c r="I25" s="387">
        <v>309565968511.10999</v>
      </c>
      <c r="J25" s="205">
        <f t="shared" ref="J25:J53" si="5">(I25/$I$54)</f>
        <v>0.42151987863064055</v>
      </c>
      <c r="K25" s="76">
        <v>100</v>
      </c>
      <c r="L25" s="76">
        <v>100</v>
      </c>
      <c r="M25" s="347">
        <v>0.109</v>
      </c>
      <c r="N25" s="84">
        <f>((I25-D25)/D25)</f>
        <v>2.7253774780623019E-2</v>
      </c>
      <c r="O25" s="84">
        <f t="shared" ref="O25:O52" si="6">((L25-G25)/G25)</f>
        <v>0</v>
      </c>
      <c r="P25" s="242">
        <f t="shared" ref="P25:P54" si="7">M25-H25</f>
        <v>-3.4000000000000002E-3</v>
      </c>
      <c r="Q25" s="121"/>
      <c r="R25" s="167"/>
      <c r="S25" s="122"/>
      <c r="T25" s="122"/>
    </row>
    <row r="26" spans="1:23" s="123" customFormat="1" ht="12.95" customHeight="1">
      <c r="A26" s="430">
        <v>18</v>
      </c>
      <c r="B26" s="431" t="s">
        <v>201</v>
      </c>
      <c r="C26" s="432" t="s">
        <v>18</v>
      </c>
      <c r="D26" s="387">
        <v>166542275515.17999</v>
      </c>
      <c r="E26" s="207">
        <v>6.2600000000000003E-2</v>
      </c>
      <c r="F26" s="343">
        <v>100</v>
      </c>
      <c r="G26" s="343">
        <v>100</v>
      </c>
      <c r="H26" s="401">
        <v>0.1366</v>
      </c>
      <c r="I26" s="387">
        <v>176094192756.67001</v>
      </c>
      <c r="J26" s="205">
        <f t="shared" si="5"/>
        <v>0.2397783035239813</v>
      </c>
      <c r="K26" s="76">
        <v>100</v>
      </c>
      <c r="L26" s="76">
        <v>100</v>
      </c>
      <c r="M26" s="347">
        <v>0.1326</v>
      </c>
      <c r="N26" s="84">
        <f t="shared" ref="N26:N54" si="8">((I26-D26)/D26)</f>
        <v>5.7354309660668609E-2</v>
      </c>
      <c r="O26" s="84">
        <f t="shared" si="6"/>
        <v>0</v>
      </c>
      <c r="P26" s="242">
        <f t="shared" si="7"/>
        <v>-4.0000000000000036E-3</v>
      </c>
      <c r="Q26" s="121"/>
      <c r="R26" s="168"/>
      <c r="S26" s="131"/>
      <c r="T26" s="166"/>
      <c r="U26" s="169"/>
    </row>
    <row r="27" spans="1:23" s="123" customFormat="1" ht="12.95" customHeight="1">
      <c r="A27" s="430">
        <v>19</v>
      </c>
      <c r="B27" s="431" t="s">
        <v>45</v>
      </c>
      <c r="C27" s="432" t="s">
        <v>82</v>
      </c>
      <c r="D27" s="387">
        <v>47873964795.900002</v>
      </c>
      <c r="E27" s="207">
        <v>5.2600000000000001E-2</v>
      </c>
      <c r="F27" s="343">
        <v>1</v>
      </c>
      <c r="G27" s="343">
        <v>1</v>
      </c>
      <c r="H27" s="401">
        <v>0.12870000000000001</v>
      </c>
      <c r="I27" s="387">
        <v>48650799152.230003</v>
      </c>
      <c r="J27" s="205">
        <f t="shared" si="5"/>
        <v>6.6245262851609865E-2</v>
      </c>
      <c r="K27" s="76">
        <v>1</v>
      </c>
      <c r="L27" s="76">
        <v>1</v>
      </c>
      <c r="M27" s="401">
        <v>0.12709999999999999</v>
      </c>
      <c r="N27" s="84">
        <f t="shared" si="8"/>
        <v>1.6226655963045098E-2</v>
      </c>
      <c r="O27" s="84">
        <f t="shared" si="6"/>
        <v>0</v>
      </c>
      <c r="P27" s="242">
        <f t="shared" si="7"/>
        <v>-1.6000000000000181E-3</v>
      </c>
      <c r="Q27" s="121"/>
      <c r="R27" s="155"/>
      <c r="S27" s="124"/>
    </row>
    <row r="28" spans="1:23" s="123" customFormat="1" ht="12.95" customHeight="1">
      <c r="A28" s="430">
        <v>20</v>
      </c>
      <c r="B28" s="431" t="s">
        <v>40</v>
      </c>
      <c r="C28" s="432" t="s">
        <v>41</v>
      </c>
      <c r="D28" s="387">
        <v>1700711484.52</v>
      </c>
      <c r="E28" s="207">
        <v>8.6400000000000005E-2</v>
      </c>
      <c r="F28" s="343">
        <v>100</v>
      </c>
      <c r="G28" s="343">
        <v>100</v>
      </c>
      <c r="H28" s="401">
        <v>0.13111999999999999</v>
      </c>
      <c r="I28" s="387">
        <v>1750621270.98</v>
      </c>
      <c r="J28" s="205">
        <f t="shared" si="5"/>
        <v>2.3837299339485507E-3</v>
      </c>
      <c r="K28" s="76">
        <v>100</v>
      </c>
      <c r="L28" s="76">
        <v>100</v>
      </c>
      <c r="M28" s="401">
        <v>0.134515</v>
      </c>
      <c r="N28" s="84">
        <f t="shared" si="8"/>
        <v>2.9346415846710366E-2</v>
      </c>
      <c r="O28" s="84">
        <f t="shared" si="6"/>
        <v>0</v>
      </c>
      <c r="P28" s="242">
        <f t="shared" si="7"/>
        <v>3.3950000000000091E-3</v>
      </c>
      <c r="Q28" s="121"/>
      <c r="R28" s="155"/>
      <c r="S28" s="131"/>
    </row>
    <row r="29" spans="1:23" s="123" customFormat="1" ht="12.95" customHeight="1">
      <c r="A29" s="430">
        <v>21</v>
      </c>
      <c r="B29" s="431" t="s">
        <v>7</v>
      </c>
      <c r="C29" s="432" t="s">
        <v>19</v>
      </c>
      <c r="D29" s="387">
        <v>73607417069.979996</v>
      </c>
      <c r="E29" s="207">
        <v>6.54E-2</v>
      </c>
      <c r="F29" s="343">
        <v>1</v>
      </c>
      <c r="G29" s="343">
        <v>1</v>
      </c>
      <c r="H29" s="401">
        <v>0.10680000000000001</v>
      </c>
      <c r="I29" s="387">
        <v>73481044105.070007</v>
      </c>
      <c r="J29" s="205">
        <f t="shared" si="5"/>
        <v>0.10005531596962423</v>
      </c>
      <c r="K29" s="76">
        <v>1</v>
      </c>
      <c r="L29" s="76">
        <v>1</v>
      </c>
      <c r="M29" s="347">
        <v>0.1052</v>
      </c>
      <c r="N29" s="84">
        <f t="shared" si="8"/>
        <v>-1.7168509634001039E-3</v>
      </c>
      <c r="O29" s="84">
        <f t="shared" si="6"/>
        <v>0</v>
      </c>
      <c r="P29" s="242">
        <f t="shared" si="7"/>
        <v>-1.6000000000000042E-3</v>
      </c>
      <c r="Q29" s="121"/>
      <c r="R29" s="165"/>
      <c r="S29" s="124"/>
    </row>
    <row r="30" spans="1:23" s="123" customFormat="1" ht="12.95" customHeight="1">
      <c r="A30" s="430">
        <v>22</v>
      </c>
      <c r="B30" s="431" t="s">
        <v>59</v>
      </c>
      <c r="C30" s="432" t="s">
        <v>60</v>
      </c>
      <c r="D30" s="378">
        <v>2065747472.3299999</v>
      </c>
      <c r="E30" s="207">
        <v>6.4500000000000002E-2</v>
      </c>
      <c r="F30" s="343">
        <v>10</v>
      </c>
      <c r="G30" s="343">
        <v>10</v>
      </c>
      <c r="H30" s="401">
        <v>0.1053</v>
      </c>
      <c r="I30" s="346">
        <v>2210926077.0599999</v>
      </c>
      <c r="J30" s="205">
        <f t="shared" si="5"/>
        <v>3.0105030476895033E-3</v>
      </c>
      <c r="K30" s="76">
        <v>10</v>
      </c>
      <c r="L30" s="76">
        <v>10</v>
      </c>
      <c r="M30" s="347">
        <v>0.1021</v>
      </c>
      <c r="N30" s="84">
        <f t="shared" si="8"/>
        <v>7.0278970045767511E-2</v>
      </c>
      <c r="O30" s="84">
        <f t="shared" si="6"/>
        <v>0</v>
      </c>
      <c r="P30" s="242">
        <f t="shared" si="7"/>
        <v>-3.2000000000000084E-3</v>
      </c>
      <c r="Q30" s="121"/>
      <c r="R30" s="155"/>
      <c r="S30" s="160"/>
      <c r="T30" s="463"/>
      <c r="U30" s="463"/>
    </row>
    <row r="31" spans="1:23" s="123" customFormat="1" ht="12.95" customHeight="1">
      <c r="A31" s="430">
        <v>23</v>
      </c>
      <c r="B31" s="431" t="s">
        <v>86</v>
      </c>
      <c r="C31" s="432" t="s">
        <v>88</v>
      </c>
      <c r="D31" s="387">
        <v>34986586178.199997</v>
      </c>
      <c r="E31" s="207">
        <v>6.9800000000000001E-2</v>
      </c>
      <c r="F31" s="343">
        <v>1</v>
      </c>
      <c r="G31" s="343">
        <v>1</v>
      </c>
      <c r="H31" s="401">
        <v>0.1177</v>
      </c>
      <c r="I31" s="387">
        <v>35530039124.43</v>
      </c>
      <c r="J31" s="205">
        <f t="shared" si="5"/>
        <v>4.8379406339473491E-2</v>
      </c>
      <c r="K31" s="76">
        <v>1</v>
      </c>
      <c r="L31" s="76">
        <v>1</v>
      </c>
      <c r="M31" s="347">
        <v>0.1153</v>
      </c>
      <c r="N31" s="84">
        <f t="shared" si="8"/>
        <v>1.5533180158303834E-2</v>
      </c>
      <c r="O31" s="84">
        <f t="shared" si="6"/>
        <v>0</v>
      </c>
      <c r="P31" s="242">
        <f t="shared" si="7"/>
        <v>-2.3999999999999994E-3</v>
      </c>
      <c r="Q31" s="121"/>
      <c r="R31" s="155"/>
      <c r="S31" s="124"/>
      <c r="T31" s="461"/>
      <c r="U31" s="461"/>
    </row>
    <row r="32" spans="1:23" s="123" customFormat="1" ht="12.95" customHeight="1">
      <c r="A32" s="430">
        <v>24</v>
      </c>
      <c r="B32" s="431" t="s">
        <v>93</v>
      </c>
      <c r="C32" s="432" t="s">
        <v>92</v>
      </c>
      <c r="D32" s="387">
        <v>1926409642.1700001</v>
      </c>
      <c r="E32" s="207">
        <v>4.2599999999999999E-2</v>
      </c>
      <c r="F32" s="343">
        <v>100</v>
      </c>
      <c r="G32" s="343">
        <v>100</v>
      </c>
      <c r="H32" s="401">
        <v>9.64E-2</v>
      </c>
      <c r="I32" s="345">
        <v>1970958099.5981114</v>
      </c>
      <c r="J32" s="205">
        <f t="shared" si="5"/>
        <v>2.6837511336419962E-3</v>
      </c>
      <c r="K32" s="76">
        <v>100</v>
      </c>
      <c r="L32" s="76">
        <v>100</v>
      </c>
      <c r="M32" s="347">
        <v>9.6100000000000005E-2</v>
      </c>
      <c r="N32" s="84">
        <f>((I32-D32)/D32)</f>
        <v>2.3125121704607853E-2</v>
      </c>
      <c r="O32" s="84">
        <f t="shared" si="6"/>
        <v>0</v>
      </c>
      <c r="P32" s="242">
        <f t="shared" si="7"/>
        <v>-2.9999999999999472E-4</v>
      </c>
      <c r="Q32" s="121"/>
      <c r="R32" s="155"/>
      <c r="S32" s="124"/>
      <c r="T32" s="462"/>
      <c r="U32" s="462"/>
    </row>
    <row r="33" spans="1:21" s="123" customFormat="1" ht="12.95" customHeight="1">
      <c r="A33" s="430">
        <v>25</v>
      </c>
      <c r="B33" s="431" t="s">
        <v>94</v>
      </c>
      <c r="C33" s="432" t="s">
        <v>95</v>
      </c>
      <c r="D33" s="387">
        <v>5276874127.3199997</v>
      </c>
      <c r="E33" s="207">
        <v>7.0599999999999996E-2</v>
      </c>
      <c r="F33" s="343">
        <v>100</v>
      </c>
      <c r="G33" s="343">
        <v>100</v>
      </c>
      <c r="H33" s="401">
        <v>0.1062</v>
      </c>
      <c r="I33" s="387">
        <v>5325109037.1199999</v>
      </c>
      <c r="J33" s="205">
        <f t="shared" si="5"/>
        <v>7.2509240140884281E-3</v>
      </c>
      <c r="K33" s="76">
        <v>100</v>
      </c>
      <c r="L33" s="76">
        <v>100</v>
      </c>
      <c r="M33" s="401">
        <v>0.10059999999999999</v>
      </c>
      <c r="N33" s="84">
        <f t="shared" si="8"/>
        <v>9.1408111386006418E-3</v>
      </c>
      <c r="O33" s="84">
        <f t="shared" si="6"/>
        <v>0</v>
      </c>
      <c r="P33" s="242">
        <f t="shared" si="7"/>
        <v>-5.6000000000000077E-3</v>
      </c>
      <c r="Q33" s="121"/>
      <c r="R33" s="155"/>
      <c r="S33" s="124"/>
    </row>
    <row r="34" spans="1:21" s="123" customFormat="1" ht="12.95" customHeight="1">
      <c r="A34" s="430">
        <v>26</v>
      </c>
      <c r="B34" s="431" t="s">
        <v>96</v>
      </c>
      <c r="C34" s="432" t="s">
        <v>101</v>
      </c>
      <c r="D34" s="378">
        <v>675469573</v>
      </c>
      <c r="E34" s="207">
        <v>6.6600000000000006E-2</v>
      </c>
      <c r="F34" s="343">
        <v>10</v>
      </c>
      <c r="G34" s="343">
        <v>10</v>
      </c>
      <c r="H34" s="401">
        <v>0</v>
      </c>
      <c r="I34" s="378">
        <v>677879695.49000001</v>
      </c>
      <c r="J34" s="205">
        <f t="shared" si="5"/>
        <v>9.2303352446464247E-4</v>
      </c>
      <c r="K34" s="76">
        <v>10</v>
      </c>
      <c r="L34" s="76">
        <v>10</v>
      </c>
      <c r="M34" s="347">
        <v>0.1053</v>
      </c>
      <c r="N34" s="84">
        <f t="shared" si="8"/>
        <v>3.5680696604819674E-3</v>
      </c>
      <c r="O34" s="84">
        <f t="shared" si="6"/>
        <v>0</v>
      </c>
      <c r="P34" s="242">
        <f t="shared" si="7"/>
        <v>0.1053</v>
      </c>
      <c r="Q34" s="121"/>
      <c r="R34" s="158"/>
      <c r="S34" s="170"/>
    </row>
    <row r="35" spans="1:21" s="123" customFormat="1" ht="12.95" customHeight="1">
      <c r="A35" s="430">
        <v>27</v>
      </c>
      <c r="B35" s="431" t="s">
        <v>12</v>
      </c>
      <c r="C35" s="432" t="s">
        <v>103</v>
      </c>
      <c r="D35" s="387">
        <v>4374181165.1400003</v>
      </c>
      <c r="E35" s="207">
        <v>5.3699999999999998E-2</v>
      </c>
      <c r="F35" s="343">
        <v>100</v>
      </c>
      <c r="G35" s="343">
        <v>100</v>
      </c>
      <c r="H35" s="401">
        <v>0.1056</v>
      </c>
      <c r="I35" s="387">
        <v>4874828076.6199999</v>
      </c>
      <c r="J35" s="205">
        <f t="shared" si="5"/>
        <v>6.6377998495282132E-3</v>
      </c>
      <c r="K35" s="76">
        <v>100</v>
      </c>
      <c r="L35" s="76">
        <v>100</v>
      </c>
      <c r="M35" s="347">
        <v>0.1074</v>
      </c>
      <c r="N35" s="84">
        <f t="shared" si="8"/>
        <v>0.11445500142287221</v>
      </c>
      <c r="O35" s="84">
        <f t="shared" si="6"/>
        <v>0</v>
      </c>
      <c r="P35" s="242">
        <f t="shared" si="7"/>
        <v>1.799999999999996E-3</v>
      </c>
      <c r="Q35" s="121"/>
      <c r="R35" s="171"/>
      <c r="S35" s="124"/>
      <c r="T35" s="463"/>
      <c r="U35" s="463"/>
    </row>
    <row r="36" spans="1:21" s="123" customFormat="1" ht="12.95" customHeight="1">
      <c r="A36" s="430">
        <v>28</v>
      </c>
      <c r="B36" s="431" t="s">
        <v>265</v>
      </c>
      <c r="C36" s="432" t="s">
        <v>104</v>
      </c>
      <c r="D36" s="387">
        <v>12504464911.290001</v>
      </c>
      <c r="E36" s="207">
        <v>4.7199999999999999E-2</v>
      </c>
      <c r="F36" s="343">
        <v>100</v>
      </c>
      <c r="G36" s="343">
        <v>100</v>
      </c>
      <c r="H36" s="401">
        <v>9.6799999999999997E-2</v>
      </c>
      <c r="I36" s="387">
        <v>18333138416.959999</v>
      </c>
      <c r="J36" s="205">
        <f t="shared" si="5"/>
        <v>2.4963281066078719E-2</v>
      </c>
      <c r="K36" s="76">
        <v>100</v>
      </c>
      <c r="L36" s="76">
        <v>100</v>
      </c>
      <c r="M36" s="347">
        <v>7.5899999999999995E-2</v>
      </c>
      <c r="N36" s="84">
        <f t="shared" si="8"/>
        <v>0.46612738306038348</v>
      </c>
      <c r="O36" s="84">
        <f t="shared" si="6"/>
        <v>0</v>
      </c>
      <c r="P36" s="242">
        <f t="shared" si="7"/>
        <v>-2.0900000000000002E-2</v>
      </c>
      <c r="Q36" s="121"/>
      <c r="R36" s="155"/>
      <c r="S36" s="133"/>
    </row>
    <row r="37" spans="1:21" s="123" customFormat="1" ht="12.95" customHeight="1">
      <c r="A37" s="430">
        <v>29</v>
      </c>
      <c r="B37" s="431" t="s">
        <v>105</v>
      </c>
      <c r="C37" s="432" t="s">
        <v>107</v>
      </c>
      <c r="D37" s="387">
        <v>11015445726.200001</v>
      </c>
      <c r="E37" s="207">
        <v>4.5100000000000001E-2</v>
      </c>
      <c r="F37" s="72">
        <v>100</v>
      </c>
      <c r="G37" s="72">
        <v>100</v>
      </c>
      <c r="H37" s="401">
        <v>0.106</v>
      </c>
      <c r="I37" s="387">
        <v>11286240521.299999</v>
      </c>
      <c r="J37" s="205">
        <f t="shared" si="5"/>
        <v>1.5367886714472158E-2</v>
      </c>
      <c r="K37" s="72">
        <v>100</v>
      </c>
      <c r="L37" s="72">
        <v>100</v>
      </c>
      <c r="M37" s="401">
        <v>0.1008</v>
      </c>
      <c r="N37" s="84">
        <f t="shared" si="8"/>
        <v>2.4583189988936979E-2</v>
      </c>
      <c r="O37" s="84">
        <f t="shared" si="6"/>
        <v>0</v>
      </c>
      <c r="P37" s="242">
        <f t="shared" si="7"/>
        <v>-5.1999999999999963E-3</v>
      </c>
      <c r="Q37" s="121"/>
      <c r="R37" s="155"/>
      <c r="S37" s="134"/>
    </row>
    <row r="38" spans="1:21" s="123" customFormat="1" ht="12.95" customHeight="1">
      <c r="A38" s="430">
        <v>30</v>
      </c>
      <c r="B38" s="431" t="s">
        <v>105</v>
      </c>
      <c r="C38" s="432" t="s">
        <v>106</v>
      </c>
      <c r="D38" s="387">
        <v>565070760.17999995</v>
      </c>
      <c r="E38" s="207">
        <v>5.2900000000000003E-2</v>
      </c>
      <c r="F38" s="72">
        <v>1000000</v>
      </c>
      <c r="G38" s="72">
        <v>1000000</v>
      </c>
      <c r="H38" s="401">
        <v>7.6200000000000004E-2</v>
      </c>
      <c r="I38" s="387">
        <v>429441740.11000001</v>
      </c>
      <c r="J38" s="205">
        <f t="shared" si="5"/>
        <v>5.8474848201410664E-4</v>
      </c>
      <c r="K38" s="72">
        <v>1000000</v>
      </c>
      <c r="L38" s="72">
        <v>1000000</v>
      </c>
      <c r="M38" s="401">
        <v>0.1142</v>
      </c>
      <c r="N38" s="84">
        <f t="shared" si="8"/>
        <v>-0.24002130286620407</v>
      </c>
      <c r="O38" s="84">
        <f t="shared" si="6"/>
        <v>0</v>
      </c>
      <c r="P38" s="242">
        <f t="shared" si="7"/>
        <v>3.7999999999999992E-2</v>
      </c>
      <c r="Q38" s="121"/>
      <c r="R38" s="155"/>
      <c r="S38" s="133"/>
    </row>
    <row r="39" spans="1:21" s="123" customFormat="1" ht="12.95" customHeight="1">
      <c r="A39" s="430">
        <v>31</v>
      </c>
      <c r="B39" s="431" t="s">
        <v>114</v>
      </c>
      <c r="C39" s="432" t="s">
        <v>115</v>
      </c>
      <c r="D39" s="387">
        <v>4054538294.4499998</v>
      </c>
      <c r="E39" s="207">
        <v>6.3E-2</v>
      </c>
      <c r="F39" s="343">
        <v>1</v>
      </c>
      <c r="G39" s="343">
        <v>1</v>
      </c>
      <c r="H39" s="401">
        <v>0.1202</v>
      </c>
      <c r="I39" s="345">
        <v>4141051273.54</v>
      </c>
      <c r="J39" s="205">
        <f t="shared" si="5"/>
        <v>5.6386541408966111E-3</v>
      </c>
      <c r="K39" s="76">
        <v>1</v>
      </c>
      <c r="L39" s="76">
        <v>1</v>
      </c>
      <c r="M39" s="347">
        <v>0.1176</v>
      </c>
      <c r="N39" s="84">
        <f t="shared" si="8"/>
        <v>2.1337319518827159E-2</v>
      </c>
      <c r="O39" s="84">
        <f t="shared" si="6"/>
        <v>0</v>
      </c>
      <c r="P39" s="242">
        <f t="shared" si="7"/>
        <v>-2.6000000000000051E-3</v>
      </c>
      <c r="Q39" s="121"/>
      <c r="R39" s="155"/>
      <c r="S39" s="133"/>
      <c r="T39" s="135"/>
    </row>
    <row r="40" spans="1:21" s="123" customFormat="1" ht="12.95" customHeight="1">
      <c r="A40" s="430">
        <v>32</v>
      </c>
      <c r="B40" s="431" t="s">
        <v>15</v>
      </c>
      <c r="C40" s="432" t="s">
        <v>120</v>
      </c>
      <c r="D40" s="387">
        <v>19639567240.580002</v>
      </c>
      <c r="E40" s="207">
        <v>5.9200000000000003E-2</v>
      </c>
      <c r="F40" s="343">
        <v>1</v>
      </c>
      <c r="G40" s="343">
        <v>1</v>
      </c>
      <c r="H40" s="401">
        <v>0.10340000000000001</v>
      </c>
      <c r="I40" s="387">
        <v>19141466809.049999</v>
      </c>
      <c r="J40" s="205">
        <f t="shared" si="5"/>
        <v>2.6063939795997377E-2</v>
      </c>
      <c r="K40" s="76">
        <v>1</v>
      </c>
      <c r="L40" s="76">
        <v>1</v>
      </c>
      <c r="M40" s="347">
        <v>0.1094</v>
      </c>
      <c r="N40" s="84">
        <f t="shared" si="8"/>
        <v>-2.5362087943608502E-2</v>
      </c>
      <c r="O40" s="84">
        <f t="shared" si="6"/>
        <v>0</v>
      </c>
      <c r="P40" s="242">
        <f t="shared" si="7"/>
        <v>5.9999999999999915E-3</v>
      </c>
      <c r="Q40" s="121"/>
      <c r="R40" s="165"/>
      <c r="S40" s="464"/>
      <c r="T40" s="198"/>
    </row>
    <row r="41" spans="1:21" s="123" customFormat="1" ht="12.95" customHeight="1">
      <c r="A41" s="430">
        <v>33</v>
      </c>
      <c r="B41" s="431" t="s">
        <v>62</v>
      </c>
      <c r="C41" s="432" t="s">
        <v>123</v>
      </c>
      <c r="D41" s="387">
        <v>685907164.41999996</v>
      </c>
      <c r="E41" s="207">
        <v>7.9600000000000004E-2</v>
      </c>
      <c r="F41" s="343">
        <v>100</v>
      </c>
      <c r="G41" s="343">
        <v>100</v>
      </c>
      <c r="H41" s="401">
        <v>0.13400000000000001</v>
      </c>
      <c r="I41" s="387">
        <v>685280097.52999997</v>
      </c>
      <c r="J41" s="205">
        <f t="shared" si="5"/>
        <v>9.3311026702365787E-4</v>
      </c>
      <c r="K41" s="76">
        <v>100</v>
      </c>
      <c r="L41" s="76">
        <v>100</v>
      </c>
      <c r="M41" s="347">
        <v>0.13400000000000001</v>
      </c>
      <c r="N41" s="120">
        <f t="shared" si="8"/>
        <v>-9.1421539608823102E-4</v>
      </c>
      <c r="O41" s="120">
        <f t="shared" si="6"/>
        <v>0</v>
      </c>
      <c r="P41" s="242">
        <f t="shared" si="7"/>
        <v>0</v>
      </c>
      <c r="Q41" s="121"/>
      <c r="R41" s="167"/>
      <c r="S41" s="464"/>
      <c r="T41" s="198"/>
    </row>
    <row r="42" spans="1:21" s="123" customFormat="1" ht="12.95" customHeight="1">
      <c r="A42" s="430">
        <v>34</v>
      </c>
      <c r="B42" s="431" t="s">
        <v>142</v>
      </c>
      <c r="C42" s="432" t="s">
        <v>130</v>
      </c>
      <c r="D42" s="409">
        <v>3405676489.3499999</v>
      </c>
      <c r="E42" s="207">
        <v>4.8399999999999999E-2</v>
      </c>
      <c r="F42" s="343">
        <v>1</v>
      </c>
      <c r="G42" s="343">
        <v>1</v>
      </c>
      <c r="H42" s="401">
        <v>9.2499999999999999E-2</v>
      </c>
      <c r="I42" s="409">
        <v>3381518075.29</v>
      </c>
      <c r="J42" s="205">
        <f t="shared" si="5"/>
        <v>4.6044372885658547E-3</v>
      </c>
      <c r="K42" s="76">
        <v>1</v>
      </c>
      <c r="L42" s="76">
        <v>1</v>
      </c>
      <c r="M42" s="401">
        <v>8.9599999999999999E-2</v>
      </c>
      <c r="N42" s="120">
        <f t="shared" si="8"/>
        <v>-7.0935727851857023E-3</v>
      </c>
      <c r="O42" s="120">
        <f t="shared" si="6"/>
        <v>0</v>
      </c>
      <c r="P42" s="242">
        <f t="shared" si="7"/>
        <v>-2.8999999999999998E-3</v>
      </c>
      <c r="Q42" s="121"/>
      <c r="R42" s="158"/>
      <c r="S42" s="133"/>
    </row>
    <row r="43" spans="1:21" s="123" customFormat="1" ht="12.95" customHeight="1">
      <c r="A43" s="430">
        <v>35</v>
      </c>
      <c r="B43" s="431" t="s">
        <v>191</v>
      </c>
      <c r="C43" s="432" t="s">
        <v>131</v>
      </c>
      <c r="D43" s="387">
        <v>545763593.88999999</v>
      </c>
      <c r="E43" s="207">
        <v>4.9799999999999997E-2</v>
      </c>
      <c r="F43" s="343">
        <v>10</v>
      </c>
      <c r="G43" s="343">
        <v>10</v>
      </c>
      <c r="H43" s="401">
        <v>7.8700000000000006E-2</v>
      </c>
      <c r="I43" s="387">
        <v>549338285.57000005</v>
      </c>
      <c r="J43" s="205">
        <f t="shared" si="5"/>
        <v>7.4800537208378657E-4</v>
      </c>
      <c r="K43" s="76">
        <v>10</v>
      </c>
      <c r="L43" s="76">
        <v>10</v>
      </c>
      <c r="M43" s="347">
        <v>8.2600000000000007E-2</v>
      </c>
      <c r="N43" s="120">
        <f t="shared" si="8"/>
        <v>6.5498903188484841E-3</v>
      </c>
      <c r="O43" s="84">
        <f t="shared" si="6"/>
        <v>0</v>
      </c>
      <c r="P43" s="242">
        <f t="shared" si="7"/>
        <v>3.9000000000000007E-3</v>
      </c>
      <c r="Q43" s="121"/>
      <c r="R43" s="155"/>
      <c r="S43" s="172"/>
      <c r="T43" s="198"/>
    </row>
    <row r="44" spans="1:21" s="123" customFormat="1" ht="12.95" customHeight="1">
      <c r="A44" s="430">
        <v>36</v>
      </c>
      <c r="B44" s="431" t="s">
        <v>42</v>
      </c>
      <c r="C44" s="432" t="s">
        <v>141</v>
      </c>
      <c r="D44" s="387">
        <v>649009247.21000004</v>
      </c>
      <c r="E44" s="207">
        <v>2.2200000000000001E-2</v>
      </c>
      <c r="F44" s="343">
        <v>1</v>
      </c>
      <c r="G44" s="343">
        <v>1</v>
      </c>
      <c r="H44" s="401">
        <v>9.7299999999999998E-2</v>
      </c>
      <c r="I44" s="387">
        <v>702862185.64999998</v>
      </c>
      <c r="J44" s="205">
        <f t="shared" si="5"/>
        <v>9.5705088196289224E-4</v>
      </c>
      <c r="K44" s="76">
        <v>1</v>
      </c>
      <c r="L44" s="76">
        <v>1</v>
      </c>
      <c r="M44" s="347">
        <v>0.11119999999999999</v>
      </c>
      <c r="N44" s="84">
        <f t="shared" si="8"/>
        <v>8.2977151206251973E-2</v>
      </c>
      <c r="O44" s="84">
        <f t="shared" si="6"/>
        <v>0</v>
      </c>
      <c r="P44" s="242">
        <f t="shared" si="7"/>
        <v>1.3899999999999996E-2</v>
      </c>
      <c r="Q44" s="121"/>
      <c r="R44" s="155"/>
      <c r="S44" s="172"/>
      <c r="T44" s="198"/>
    </row>
    <row r="45" spans="1:21" s="123" customFormat="1" ht="12.95" customHeight="1">
      <c r="A45" s="430">
        <v>37</v>
      </c>
      <c r="B45" s="431" t="s">
        <v>9</v>
      </c>
      <c r="C45" s="432" t="s">
        <v>251</v>
      </c>
      <c r="D45" s="387">
        <v>8419801649.0600004</v>
      </c>
      <c r="E45" s="207">
        <v>6.1269999999999998E-2</v>
      </c>
      <c r="F45" s="343">
        <v>100</v>
      </c>
      <c r="G45" s="343">
        <v>100</v>
      </c>
      <c r="H45" s="401">
        <v>0.1386</v>
      </c>
      <c r="I45" s="345">
        <v>9009234563.539999</v>
      </c>
      <c r="J45" s="205">
        <f t="shared" si="5"/>
        <v>1.2267406130083262E-2</v>
      </c>
      <c r="K45" s="76">
        <v>100</v>
      </c>
      <c r="L45" s="76">
        <v>100</v>
      </c>
      <c r="M45" s="347">
        <v>0.1202</v>
      </c>
      <c r="N45" s="84">
        <f t="shared" si="8"/>
        <v>7.0005558212384231E-2</v>
      </c>
      <c r="O45" s="84">
        <f t="shared" si="6"/>
        <v>0</v>
      </c>
      <c r="P45" s="242">
        <f t="shared" si="7"/>
        <v>-1.84E-2</v>
      </c>
      <c r="Q45" s="121"/>
      <c r="R45" s="155"/>
      <c r="S45" s="133"/>
    </row>
    <row r="46" spans="1:21" s="123" customFormat="1" ht="12.95" customHeight="1">
      <c r="A46" s="430">
        <v>38</v>
      </c>
      <c r="B46" s="431" t="s">
        <v>143</v>
      </c>
      <c r="C46" s="432" t="s">
        <v>144</v>
      </c>
      <c r="D46" s="387">
        <v>273120839.00999999</v>
      </c>
      <c r="E46" s="205">
        <f>(D46/$I$54)</f>
        <v>3.7189444131957989E-4</v>
      </c>
      <c r="F46" s="343">
        <v>1</v>
      </c>
      <c r="G46" s="343">
        <v>1</v>
      </c>
      <c r="H46" s="384">
        <v>6.2899999999999998E-2</v>
      </c>
      <c r="I46" s="387">
        <v>273453910.26999998</v>
      </c>
      <c r="J46" s="205">
        <f t="shared" si="5"/>
        <v>3.7234796713110825E-4</v>
      </c>
      <c r="K46" s="76">
        <v>1</v>
      </c>
      <c r="L46" s="76">
        <v>1</v>
      </c>
      <c r="M46" s="348">
        <v>6.2899999999999998E-2</v>
      </c>
      <c r="N46" s="84">
        <f t="shared" si="8"/>
        <v>1.2195014529367181E-3</v>
      </c>
      <c r="O46" s="84">
        <f t="shared" si="6"/>
        <v>0</v>
      </c>
      <c r="P46" s="242">
        <f t="shared" si="7"/>
        <v>0</v>
      </c>
      <c r="Q46" s="121"/>
      <c r="R46" s="155"/>
      <c r="S46" s="133"/>
    </row>
    <row r="47" spans="1:21" s="123" customFormat="1" ht="12.95" customHeight="1">
      <c r="A47" s="430">
        <v>39</v>
      </c>
      <c r="B47" s="431" t="s">
        <v>145</v>
      </c>
      <c r="C47" s="432" t="s">
        <v>147</v>
      </c>
      <c r="D47" s="387">
        <v>434932968.81999999</v>
      </c>
      <c r="E47" s="207">
        <v>2.0000000000000001E-4</v>
      </c>
      <c r="F47" s="343">
        <v>100</v>
      </c>
      <c r="G47" s="343">
        <v>100</v>
      </c>
      <c r="H47" s="401">
        <v>9.3899999999999995E-4</v>
      </c>
      <c r="I47" s="345">
        <v>442217360.69999999</v>
      </c>
      <c r="J47" s="205">
        <f t="shared" si="5"/>
        <v>6.0214438010467667E-4</v>
      </c>
      <c r="K47" s="76">
        <v>100</v>
      </c>
      <c r="L47" s="76">
        <v>100</v>
      </c>
      <c r="M47" s="401">
        <v>1.158E-3</v>
      </c>
      <c r="N47" s="84">
        <f t="shared" si="8"/>
        <v>1.6748309284906591E-2</v>
      </c>
      <c r="O47" s="84">
        <f t="shared" si="6"/>
        <v>0</v>
      </c>
      <c r="P47" s="242">
        <f t="shared" si="7"/>
        <v>2.1900000000000001E-4</v>
      </c>
      <c r="Q47" s="121"/>
      <c r="R47" s="165"/>
      <c r="S47" s="133"/>
    </row>
    <row r="48" spans="1:21" s="123" customFormat="1" ht="12.95" customHeight="1">
      <c r="A48" s="430">
        <v>40</v>
      </c>
      <c r="B48" s="431" t="s">
        <v>159</v>
      </c>
      <c r="C48" s="432" t="s">
        <v>160</v>
      </c>
      <c r="D48" s="387">
        <v>677833734.87</v>
      </c>
      <c r="E48" s="207">
        <v>5.3145060299999998E-2</v>
      </c>
      <c r="F48" s="343">
        <v>1</v>
      </c>
      <c r="G48" s="343">
        <v>1</v>
      </c>
      <c r="H48" s="401">
        <v>0.13343986227960755</v>
      </c>
      <c r="I48" s="387">
        <v>695101758.38</v>
      </c>
      <c r="J48" s="205">
        <f t="shared" si="5"/>
        <v>9.4648391177328981E-4</v>
      </c>
      <c r="K48" s="76">
        <v>1</v>
      </c>
      <c r="L48" s="76">
        <v>1</v>
      </c>
      <c r="M48" s="401">
        <v>0.13490828102426114</v>
      </c>
      <c r="N48" s="84">
        <f t="shared" si="8"/>
        <v>2.5475308503658024E-2</v>
      </c>
      <c r="O48" s="84">
        <f t="shared" si="6"/>
        <v>0</v>
      </c>
      <c r="P48" s="242">
        <f t="shared" si="7"/>
        <v>1.4684187446535879E-3</v>
      </c>
      <c r="Q48" s="121"/>
      <c r="R48" s="165"/>
      <c r="S48" s="133"/>
    </row>
    <row r="49" spans="1:21" s="123" customFormat="1" ht="12.95" customHeight="1">
      <c r="A49" s="430">
        <v>41</v>
      </c>
      <c r="B49" s="431" t="s">
        <v>113</v>
      </c>
      <c r="C49" s="432" t="s">
        <v>169</v>
      </c>
      <c r="D49" s="387">
        <v>941319300.09000003</v>
      </c>
      <c r="E49" s="207">
        <v>6.4199999999999993E-2</v>
      </c>
      <c r="F49" s="343">
        <v>1</v>
      </c>
      <c r="G49" s="343">
        <v>1</v>
      </c>
      <c r="H49" s="401">
        <v>0.109</v>
      </c>
      <c r="I49" s="387">
        <v>942664777.26999998</v>
      </c>
      <c r="J49" s="205">
        <f t="shared" si="5"/>
        <v>1.2835775987113057E-3</v>
      </c>
      <c r="K49" s="76">
        <v>1</v>
      </c>
      <c r="L49" s="76">
        <v>1</v>
      </c>
      <c r="M49" s="347">
        <v>0.1123</v>
      </c>
      <c r="N49" s="84">
        <f t="shared" si="8"/>
        <v>1.4293525904242117E-3</v>
      </c>
      <c r="O49" s="84">
        <f t="shared" si="6"/>
        <v>0</v>
      </c>
      <c r="P49" s="242">
        <f t="shared" si="7"/>
        <v>3.2999999999999974E-3</v>
      </c>
      <c r="Q49" s="121"/>
      <c r="R49" s="155"/>
      <c r="S49" s="133"/>
    </row>
    <row r="50" spans="1:21" s="123" customFormat="1" ht="12.95" customHeight="1">
      <c r="A50" s="430">
        <v>42</v>
      </c>
      <c r="B50" s="431" t="s">
        <v>171</v>
      </c>
      <c r="C50" s="432" t="s">
        <v>174</v>
      </c>
      <c r="D50" s="387">
        <v>137522920.72999999</v>
      </c>
      <c r="E50" s="207">
        <v>2.9985000000000001E-2</v>
      </c>
      <c r="F50" s="343">
        <v>1</v>
      </c>
      <c r="G50" s="343">
        <v>1</v>
      </c>
      <c r="H50" s="401">
        <v>5.8200000000000002E-2</v>
      </c>
      <c r="I50" s="387">
        <v>137411921.59</v>
      </c>
      <c r="J50" s="205">
        <f t="shared" si="5"/>
        <v>1.871066667618574E-4</v>
      </c>
      <c r="K50" s="76">
        <v>1</v>
      </c>
      <c r="L50" s="76">
        <v>1</v>
      </c>
      <c r="M50" s="401">
        <v>3.6499999999999998E-2</v>
      </c>
      <c r="N50" s="84">
        <f t="shared" si="8"/>
        <v>-8.0713192688738281E-4</v>
      </c>
      <c r="O50" s="84">
        <f t="shared" si="6"/>
        <v>0</v>
      </c>
      <c r="P50" s="242">
        <f t="shared" si="7"/>
        <v>-2.1700000000000004E-2</v>
      </c>
      <c r="Q50" s="121"/>
      <c r="R50" s="155"/>
      <c r="S50" s="133"/>
    </row>
    <row r="51" spans="1:21" s="123" customFormat="1" ht="12.95" customHeight="1">
      <c r="A51" s="430">
        <v>43</v>
      </c>
      <c r="B51" s="431" t="s">
        <v>184</v>
      </c>
      <c r="C51" s="432" t="s">
        <v>185</v>
      </c>
      <c r="D51" s="387">
        <v>1037042805.53</v>
      </c>
      <c r="E51" s="207">
        <v>9.0300000000000005E-2</v>
      </c>
      <c r="F51" s="343">
        <v>1</v>
      </c>
      <c r="G51" s="343">
        <v>1</v>
      </c>
      <c r="H51" s="401">
        <v>0.126</v>
      </c>
      <c r="I51" s="387">
        <v>1084925020.8199999</v>
      </c>
      <c r="J51" s="205">
        <f t="shared" si="5"/>
        <v>1.477285973322287E-3</v>
      </c>
      <c r="K51" s="76">
        <v>1</v>
      </c>
      <c r="L51" s="76">
        <v>1</v>
      </c>
      <c r="M51" s="347">
        <v>0.1331</v>
      </c>
      <c r="N51" s="84">
        <f t="shared" si="8"/>
        <v>4.6171879342558932E-2</v>
      </c>
      <c r="O51" s="84">
        <f t="shared" si="6"/>
        <v>0</v>
      </c>
      <c r="P51" s="242">
        <f t="shared" si="7"/>
        <v>7.0999999999999952E-3</v>
      </c>
      <c r="Q51" s="121"/>
      <c r="R51" s="97"/>
      <c r="S51" s="133"/>
    </row>
    <row r="52" spans="1:21" s="123" customFormat="1" ht="12.95" customHeight="1">
      <c r="A52" s="430">
        <v>44</v>
      </c>
      <c r="B52" s="431" t="s">
        <v>194</v>
      </c>
      <c r="C52" s="432" t="s">
        <v>195</v>
      </c>
      <c r="D52" s="387">
        <v>38546362.039286934</v>
      </c>
      <c r="E52" s="207">
        <v>3.7000000000000002E-3</v>
      </c>
      <c r="F52" s="343">
        <v>100</v>
      </c>
      <c r="G52" s="343">
        <v>100</v>
      </c>
      <c r="H52" s="401">
        <v>9.589232417657928E-2</v>
      </c>
      <c r="I52" s="345">
        <v>36923152.729999997</v>
      </c>
      <c r="J52" s="205">
        <f t="shared" si="5"/>
        <v>5.0276336679597373E-5</v>
      </c>
      <c r="K52" s="76">
        <v>100</v>
      </c>
      <c r="L52" s="76">
        <v>100</v>
      </c>
      <c r="M52" s="347">
        <v>9.2200000000000004E-2</v>
      </c>
      <c r="N52" s="84">
        <f t="shared" si="8"/>
        <v>-4.2110570840188287E-2</v>
      </c>
      <c r="O52" s="84">
        <f t="shared" si="6"/>
        <v>0</v>
      </c>
      <c r="P52" s="242">
        <f t="shared" si="7"/>
        <v>-3.6923241765792758E-3</v>
      </c>
      <c r="Q52" s="121"/>
      <c r="S52" s="133"/>
    </row>
    <row r="53" spans="1:21" s="123" customFormat="1" ht="12.95" customHeight="1">
      <c r="A53" s="430">
        <v>45</v>
      </c>
      <c r="B53" s="431" t="s">
        <v>188</v>
      </c>
      <c r="C53" s="432" t="s">
        <v>204</v>
      </c>
      <c r="D53" s="387">
        <v>2979051482.6799998</v>
      </c>
      <c r="E53" s="207">
        <v>7.8700000000000006E-2</v>
      </c>
      <c r="F53" s="343">
        <v>100</v>
      </c>
      <c r="G53" s="343">
        <v>100</v>
      </c>
      <c r="H53" s="401">
        <v>0.1106</v>
      </c>
      <c r="I53" s="387">
        <v>2999562470.8000002</v>
      </c>
      <c r="J53" s="205">
        <f t="shared" si="5"/>
        <v>4.0843482076462915E-3</v>
      </c>
      <c r="K53" s="76">
        <v>100</v>
      </c>
      <c r="L53" s="76">
        <v>100</v>
      </c>
      <c r="M53" s="347">
        <v>0.1138</v>
      </c>
      <c r="N53" s="84">
        <f>((I53-D53)/D53)</f>
        <v>6.8850733997884344E-3</v>
      </c>
      <c r="O53" s="84">
        <f>((L53-G53)/G53)</f>
        <v>0</v>
      </c>
      <c r="P53" s="242">
        <f t="shared" si="7"/>
        <v>3.1999999999999945E-3</v>
      </c>
      <c r="Q53" s="121"/>
      <c r="R53" s="173"/>
      <c r="S53" s="133"/>
    </row>
    <row r="54" spans="1:21" s="123" customFormat="1" ht="12.95" customHeight="1">
      <c r="A54" s="229"/>
      <c r="B54" s="118"/>
      <c r="C54" s="266" t="s">
        <v>46</v>
      </c>
      <c r="D54" s="82">
        <f>SUM(D25:D53)</f>
        <v>708387215249.38928</v>
      </c>
      <c r="E54" s="285">
        <f>(D54/$D$166)</f>
        <v>0.47513365329697727</v>
      </c>
      <c r="F54" s="287"/>
      <c r="G54" s="77"/>
      <c r="H54" s="305"/>
      <c r="I54" s="82">
        <f>SUM(I25:I53)</f>
        <v>734404198247.47839</v>
      </c>
      <c r="J54" s="285">
        <f>(I54/$I$166)</f>
        <v>0.48544413940318465</v>
      </c>
      <c r="K54" s="287"/>
      <c r="L54" s="77"/>
      <c r="M54" s="305"/>
      <c r="N54" s="289">
        <f t="shared" si="8"/>
        <v>3.6727064574322919E-2</v>
      </c>
      <c r="O54" s="289"/>
      <c r="P54" s="290">
        <f t="shared" si="7"/>
        <v>0</v>
      </c>
      <c r="Q54" s="121"/>
    </row>
    <row r="55" spans="1:21" s="123" customFormat="1" ht="4.5" customHeight="1">
      <c r="A55" s="447"/>
      <c r="B55" s="448"/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9"/>
      <c r="Q55" s="121"/>
    </row>
    <row r="56" spans="1:21" s="123" customFormat="1" ht="12.95" customHeight="1">
      <c r="A56" s="441" t="s">
        <v>209</v>
      </c>
      <c r="B56" s="442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3"/>
      <c r="Q56" s="121"/>
      <c r="T56" s="135"/>
      <c r="U56" s="136"/>
    </row>
    <row r="57" spans="1:21" s="123" customFormat="1" ht="12.95" customHeight="1">
      <c r="A57" s="430">
        <v>46</v>
      </c>
      <c r="B57" s="431" t="s">
        <v>5</v>
      </c>
      <c r="C57" s="432" t="s">
        <v>20</v>
      </c>
      <c r="D57" s="393">
        <v>45134879962.370003</v>
      </c>
      <c r="E57" s="205">
        <f t="shared" ref="E57:E80" si="9">(D57/$D$87)</f>
        <v>0.13032471824798755</v>
      </c>
      <c r="F57" s="394">
        <v>245.96</v>
      </c>
      <c r="G57" s="394">
        <v>245.96</v>
      </c>
      <c r="H57" s="401">
        <v>3.5999999999999999E-3</v>
      </c>
      <c r="I57" s="393">
        <v>44924763261.139999</v>
      </c>
      <c r="J57" s="205">
        <f t="shared" ref="J57:J66" si="10">(I57/$I$87)</f>
        <v>0.13277613927937357</v>
      </c>
      <c r="K57" s="394">
        <v>246.1</v>
      </c>
      <c r="L57" s="394">
        <v>246.1</v>
      </c>
      <c r="M57" s="352">
        <v>4.1999999999999997E-3</v>
      </c>
      <c r="N57" s="84">
        <f>((I57-D57)/D57)</f>
        <v>-4.6553065257996153E-3</v>
      </c>
      <c r="O57" s="84">
        <f>((L57-G57)/G57)</f>
        <v>5.6919824361679279E-4</v>
      </c>
      <c r="P57" s="242">
        <f t="shared" ref="P57:P87" si="11">M57-H57</f>
        <v>5.9999999999999984E-4</v>
      </c>
      <c r="Q57" s="121"/>
      <c r="R57" s="155"/>
    </row>
    <row r="58" spans="1:21" s="123" customFormat="1" ht="12.95" customHeight="1">
      <c r="A58" s="430">
        <v>47</v>
      </c>
      <c r="B58" s="431" t="s">
        <v>62</v>
      </c>
      <c r="C58" s="432" t="s">
        <v>21</v>
      </c>
      <c r="D58" s="393">
        <v>1448176779.3299999</v>
      </c>
      <c r="E58" s="205">
        <f t="shared" si="9"/>
        <v>4.1815383334753865E-3</v>
      </c>
      <c r="F58" s="394">
        <v>312.77179999999998</v>
      </c>
      <c r="G58" s="394">
        <v>312.77179999999998</v>
      </c>
      <c r="H58" s="401">
        <v>0.14199999999999999</v>
      </c>
      <c r="I58" s="393">
        <v>1469837436.77</v>
      </c>
      <c r="J58" s="205">
        <f t="shared" si="10"/>
        <v>4.3441373099326747E-3</v>
      </c>
      <c r="K58" s="394">
        <v>317.47230000000002</v>
      </c>
      <c r="L58" s="394">
        <v>317.47230000000002</v>
      </c>
      <c r="M58" s="352">
        <v>0.13700000000000001</v>
      </c>
      <c r="N58" s="120">
        <f>((I58-D58)/D58)</f>
        <v>1.4957191517751982E-2</v>
      </c>
      <c r="O58" s="120">
        <f>((L58-G58)/G58)</f>
        <v>1.5028528786802499E-2</v>
      </c>
      <c r="P58" s="242">
        <f t="shared" si="11"/>
        <v>-4.9999999999999767E-3</v>
      </c>
      <c r="Q58" s="121"/>
      <c r="R58" s="155"/>
      <c r="S58" s="137"/>
    </row>
    <row r="59" spans="1:21" s="123" customFormat="1" ht="12.95" customHeight="1">
      <c r="A59" s="430">
        <v>48</v>
      </c>
      <c r="B59" s="431" t="s">
        <v>201</v>
      </c>
      <c r="C59" s="432" t="s">
        <v>278</v>
      </c>
      <c r="D59" s="393">
        <v>65781795758.760002</v>
      </c>
      <c r="E59" s="205">
        <f t="shared" si="9"/>
        <v>0.18994165942735558</v>
      </c>
      <c r="F59" s="354">
        <v>1487.3</v>
      </c>
      <c r="G59" s="393">
        <v>1487.3</v>
      </c>
      <c r="H59" s="401">
        <v>0.1255</v>
      </c>
      <c r="I59" s="393">
        <v>66073147157.080002</v>
      </c>
      <c r="J59" s="205">
        <f t="shared" si="10"/>
        <v>0.19528065932277502</v>
      </c>
      <c r="K59" s="354">
        <v>1490.89</v>
      </c>
      <c r="L59" s="393">
        <v>1490.89</v>
      </c>
      <c r="M59" s="401">
        <v>0.12509999999999999</v>
      </c>
      <c r="N59" s="84">
        <f>((I59-D59)/D59)</f>
        <v>4.4290581453334853E-3</v>
      </c>
      <c r="O59" s="84">
        <f>((L59-G59)/G59)</f>
        <v>2.4137699186446214E-3</v>
      </c>
      <c r="P59" s="242">
        <f t="shared" si="11"/>
        <v>-4.0000000000001146E-4</v>
      </c>
      <c r="Q59" s="121"/>
      <c r="R59" s="155"/>
      <c r="S59" s="138"/>
      <c r="T59" s="131"/>
    </row>
    <row r="60" spans="1:21" s="139" customFormat="1" ht="12.95" customHeight="1">
      <c r="A60" s="430">
        <v>49</v>
      </c>
      <c r="B60" s="431" t="s">
        <v>184</v>
      </c>
      <c r="C60" s="432" t="s">
        <v>186</v>
      </c>
      <c r="D60" s="393">
        <v>682370353.85000002</v>
      </c>
      <c r="E60" s="205">
        <f t="shared" si="9"/>
        <v>1.970310415811975E-3</v>
      </c>
      <c r="F60" s="354">
        <v>1.0778000000000001</v>
      </c>
      <c r="G60" s="354">
        <v>1.0778000000000001</v>
      </c>
      <c r="H60" s="401">
        <v>0.10179418053360931</v>
      </c>
      <c r="I60" s="393">
        <v>683545437.17999995</v>
      </c>
      <c r="J60" s="205">
        <f t="shared" si="10"/>
        <v>2.0202337771537742E-3</v>
      </c>
      <c r="K60" s="353">
        <v>1.0799000000000001</v>
      </c>
      <c r="L60" s="353">
        <v>1.0799000000000001</v>
      </c>
      <c r="M60" s="352">
        <v>0.10159584338466914</v>
      </c>
      <c r="N60" s="84">
        <f>(I60/D60)/D60</f>
        <v>1.4680034900165586E-9</v>
      </c>
      <c r="O60" s="84">
        <f>(L60-G60)/G60</f>
        <v>1.9484134347745321E-3</v>
      </c>
      <c r="P60" s="242">
        <f t="shared" si="11"/>
        <v>-1.9833714894017251E-4</v>
      </c>
      <c r="Q60" s="121"/>
      <c r="R60" s="165"/>
      <c r="S60" s="174"/>
    </row>
    <row r="61" spans="1:21" s="123" customFormat="1" ht="12.95" customHeight="1">
      <c r="A61" s="430">
        <v>50</v>
      </c>
      <c r="B61" s="431" t="s">
        <v>9</v>
      </c>
      <c r="C61" s="432" t="s">
        <v>22</v>
      </c>
      <c r="D61" s="393">
        <v>2792536039.86694</v>
      </c>
      <c r="E61" s="205">
        <f t="shared" si="9"/>
        <v>8.0633087513788046E-3</v>
      </c>
      <c r="F61" s="393">
        <v>3740.2730861172299</v>
      </c>
      <c r="G61" s="393">
        <v>3740.2730861172299</v>
      </c>
      <c r="H61" s="401">
        <v>8.1452999999999998E-2</v>
      </c>
      <c r="I61" s="349">
        <v>2801866564.71591</v>
      </c>
      <c r="J61" s="205">
        <f t="shared" si="10"/>
        <v>8.2809790911182943E-3</v>
      </c>
      <c r="K61" s="350">
        <v>3745.6839867844401</v>
      </c>
      <c r="L61" s="393">
        <v>3745.6839867844401</v>
      </c>
      <c r="M61" s="352">
        <v>7.5432946741709486E-2</v>
      </c>
      <c r="N61" s="84">
        <f t="shared" ref="N61:N87" si="12">((I61-D61)/D61)</f>
        <v>3.3412370389370233E-3</v>
      </c>
      <c r="O61" s="84">
        <f t="shared" ref="O61:O86" si="13">((L61-G61)/G61)</f>
        <v>1.4466592525807299E-3</v>
      </c>
      <c r="P61" s="242">
        <f t="shared" si="11"/>
        <v>-6.0200532582905114E-3</v>
      </c>
      <c r="Q61" s="121"/>
      <c r="R61" s="155"/>
      <c r="S61" s="142"/>
      <c r="T61" s="142"/>
    </row>
    <row r="62" spans="1:21" s="123" customFormat="1" ht="12.95" customHeight="1">
      <c r="A62" s="430">
        <v>51</v>
      </c>
      <c r="B62" s="431" t="s">
        <v>45</v>
      </c>
      <c r="C62" s="432" t="s">
        <v>167</v>
      </c>
      <c r="D62" s="393">
        <v>100939786075.22</v>
      </c>
      <c r="E62" s="205">
        <f t="shared" si="9"/>
        <v>0.29145860565559872</v>
      </c>
      <c r="F62" s="393">
        <v>1.9652000000000001</v>
      </c>
      <c r="G62" s="393">
        <v>1.9652000000000001</v>
      </c>
      <c r="H62" s="401">
        <v>7.4499999999999997E-2</v>
      </c>
      <c r="I62" s="393">
        <v>101080280753.25</v>
      </c>
      <c r="J62" s="205">
        <f t="shared" si="10"/>
        <v>0.29874502304391526</v>
      </c>
      <c r="K62" s="393">
        <v>1.968</v>
      </c>
      <c r="L62" s="393">
        <v>1.968</v>
      </c>
      <c r="M62" s="352">
        <v>7.4999999999999997E-2</v>
      </c>
      <c r="N62" s="120">
        <f t="shared" si="12"/>
        <v>1.3918662154217625E-3</v>
      </c>
      <c r="O62" s="120">
        <f t="shared" si="13"/>
        <v>1.4247913698350874E-3</v>
      </c>
      <c r="P62" s="242">
        <f t="shared" si="11"/>
        <v>5.0000000000000044E-4</v>
      </c>
      <c r="Q62" s="121"/>
      <c r="R62" s="155"/>
      <c r="S62" s="142"/>
      <c r="T62" s="142"/>
    </row>
    <row r="63" spans="1:21" s="123" customFormat="1" ht="12" customHeight="1">
      <c r="A63" s="430">
        <v>52</v>
      </c>
      <c r="B63" s="431" t="s">
        <v>265</v>
      </c>
      <c r="C63" s="432" t="s">
        <v>53</v>
      </c>
      <c r="D63" s="393">
        <v>9875463395.9500008</v>
      </c>
      <c r="E63" s="205">
        <f t="shared" si="9"/>
        <v>2.8514908773846614E-2</v>
      </c>
      <c r="F63" s="394">
        <v>1</v>
      </c>
      <c r="G63" s="394">
        <v>1</v>
      </c>
      <c r="H63" s="401">
        <v>0.06</v>
      </c>
      <c r="I63" s="393">
        <v>9886268816.0599995</v>
      </c>
      <c r="J63" s="205">
        <f t="shared" si="10"/>
        <v>2.9219087870185036E-2</v>
      </c>
      <c r="K63" s="351">
        <v>1</v>
      </c>
      <c r="L63" s="351">
        <v>1</v>
      </c>
      <c r="M63" s="352">
        <v>0.06</v>
      </c>
      <c r="N63" s="84">
        <f t="shared" si="12"/>
        <v>1.094168412839248E-3</v>
      </c>
      <c r="O63" s="84">
        <f t="shared" si="13"/>
        <v>0</v>
      </c>
      <c r="P63" s="242">
        <f t="shared" si="11"/>
        <v>0</v>
      </c>
      <c r="Q63" s="121"/>
      <c r="R63" s="155"/>
      <c r="S63" s="176"/>
      <c r="T63" s="142"/>
    </row>
    <row r="64" spans="1:21" s="123" customFormat="1" ht="12.75" customHeight="1">
      <c r="A64" s="430">
        <v>53</v>
      </c>
      <c r="B64" s="431" t="s">
        <v>15</v>
      </c>
      <c r="C64" s="432" t="s">
        <v>23</v>
      </c>
      <c r="D64" s="393">
        <v>3487799753.27</v>
      </c>
      <c r="E64" s="205">
        <f t="shared" si="9"/>
        <v>1.0070848100831977E-2</v>
      </c>
      <c r="F64" s="394">
        <v>23.717600000000001</v>
      </c>
      <c r="G64" s="394">
        <v>23.717600000000001</v>
      </c>
      <c r="H64" s="401">
        <v>6.7999999999999996E-3</v>
      </c>
      <c r="I64" s="393">
        <v>3471159531.71</v>
      </c>
      <c r="J64" s="205">
        <f t="shared" si="10"/>
        <v>1.0259089374922101E-2</v>
      </c>
      <c r="K64" s="394">
        <v>23.717600000000001</v>
      </c>
      <c r="L64" s="394">
        <v>23.717600000000001</v>
      </c>
      <c r="M64" s="352">
        <v>8.0999999999999996E-3</v>
      </c>
      <c r="N64" s="84">
        <f t="shared" si="12"/>
        <v>-4.7709796253064237E-3</v>
      </c>
      <c r="O64" s="84">
        <f t="shared" si="13"/>
        <v>0</v>
      </c>
      <c r="P64" s="242">
        <f t="shared" si="11"/>
        <v>1.2999999999999999E-3</v>
      </c>
      <c r="Q64" s="121"/>
      <c r="R64" s="158"/>
      <c r="S64" s="196"/>
      <c r="T64" s="177"/>
    </row>
    <row r="65" spans="1:21" s="123" customFormat="1" ht="12" customHeight="1">
      <c r="A65" s="430">
        <v>54</v>
      </c>
      <c r="B65" s="431" t="s">
        <v>109</v>
      </c>
      <c r="C65" s="432" t="s">
        <v>112</v>
      </c>
      <c r="D65" s="393">
        <v>416910135.31</v>
      </c>
      <c r="E65" s="205">
        <f t="shared" si="9"/>
        <v>1.2038072542633409E-3</v>
      </c>
      <c r="F65" s="394">
        <v>2.1255999999999999</v>
      </c>
      <c r="G65" s="394">
        <v>2.1255999999999999</v>
      </c>
      <c r="H65" s="401">
        <v>1.9632099827880799E-2</v>
      </c>
      <c r="I65" s="349">
        <v>419497477.39999998</v>
      </c>
      <c r="J65" s="205">
        <f t="shared" si="10"/>
        <v>1.2398341458771409E-3</v>
      </c>
      <c r="K65" s="351">
        <v>2.1385999999999998</v>
      </c>
      <c r="L65" s="394">
        <v>2.1385999999999998</v>
      </c>
      <c r="M65" s="401">
        <v>0.31890155384697855</v>
      </c>
      <c r="N65" s="120">
        <f t="shared" si="12"/>
        <v>6.2059946997357488E-3</v>
      </c>
      <c r="O65" s="120">
        <f t="shared" si="13"/>
        <v>6.1159202107639726E-3</v>
      </c>
      <c r="P65" s="242">
        <f t="shared" si="11"/>
        <v>0.29926945401909777</v>
      </c>
      <c r="Q65" s="121"/>
      <c r="R65" s="165"/>
      <c r="S65" s="198"/>
      <c r="T65" s="178"/>
      <c r="U65" s="196"/>
    </row>
    <row r="66" spans="1:21" s="123" customFormat="1" ht="12.95" customHeight="1">
      <c r="A66" s="430">
        <v>55</v>
      </c>
      <c r="B66" s="431" t="s">
        <v>5</v>
      </c>
      <c r="C66" s="432" t="s">
        <v>68</v>
      </c>
      <c r="D66" s="393">
        <v>15199943360.51</v>
      </c>
      <c r="E66" s="205">
        <f t="shared" si="9"/>
        <v>4.3889079521101652E-2</v>
      </c>
      <c r="F66" s="394">
        <v>334.41</v>
      </c>
      <c r="G66" s="394">
        <v>334.41</v>
      </c>
      <c r="H66" s="401">
        <v>5.7000000000000002E-3</v>
      </c>
      <c r="I66" s="393">
        <v>15125976500.41</v>
      </c>
      <c r="J66" s="205">
        <f t="shared" si="10"/>
        <v>4.4705160734641251E-2</v>
      </c>
      <c r="K66" s="394">
        <v>334.76</v>
      </c>
      <c r="L66" s="394">
        <v>334.76</v>
      </c>
      <c r="M66" s="352">
        <v>6.7000000000000002E-3</v>
      </c>
      <c r="N66" s="84">
        <f t="shared" si="12"/>
        <v>-4.8662589291068644E-3</v>
      </c>
      <c r="O66" s="84">
        <f t="shared" si="13"/>
        <v>1.0466194192756374E-3</v>
      </c>
      <c r="P66" s="242">
        <f t="shared" si="11"/>
        <v>1E-3</v>
      </c>
      <c r="Q66" s="121"/>
      <c r="R66" s="155"/>
      <c r="S66" s="142"/>
      <c r="T66" s="178"/>
      <c r="U66" s="196"/>
    </row>
    <row r="67" spans="1:21" s="123" customFormat="1" ht="12.95" customHeight="1">
      <c r="A67" s="430">
        <v>56</v>
      </c>
      <c r="B67" s="431" t="s">
        <v>24</v>
      </c>
      <c r="C67" s="432" t="s">
        <v>39</v>
      </c>
      <c r="D67" s="393">
        <v>6563947332.9499998</v>
      </c>
      <c r="E67" s="205">
        <f t="shared" si="9"/>
        <v>1.8953071050029201E-2</v>
      </c>
      <c r="F67" s="394">
        <v>1.01</v>
      </c>
      <c r="G67" s="394">
        <v>1.01</v>
      </c>
      <c r="H67" s="401">
        <v>0.1103</v>
      </c>
      <c r="I67" s="393">
        <v>6547686679.6000004</v>
      </c>
      <c r="J67" s="205">
        <f>(I67/$I$117)</f>
        <v>0.14131919882933297</v>
      </c>
      <c r="K67" s="351">
        <v>1.01</v>
      </c>
      <c r="L67" s="351">
        <v>1.01</v>
      </c>
      <c r="M67" s="352">
        <v>0.1105</v>
      </c>
      <c r="N67" s="84">
        <f t="shared" si="12"/>
        <v>-2.4772674924391095E-3</v>
      </c>
      <c r="O67" s="84">
        <f t="shared" si="13"/>
        <v>0</v>
      </c>
      <c r="P67" s="242">
        <f t="shared" si="11"/>
        <v>2.0000000000000573E-4</v>
      </c>
      <c r="Q67" s="121"/>
      <c r="R67" s="155"/>
      <c r="S67" s="179"/>
      <c r="T67" s="175"/>
    </row>
    <row r="68" spans="1:21" s="123" customFormat="1" ht="12.95" customHeight="1">
      <c r="A68" s="430">
        <v>57</v>
      </c>
      <c r="B68" s="431" t="s">
        <v>142</v>
      </c>
      <c r="C68" s="432" t="s">
        <v>119</v>
      </c>
      <c r="D68" s="393">
        <v>1504009068.04</v>
      </c>
      <c r="E68" s="205">
        <f t="shared" si="9"/>
        <v>4.3427512867686598E-3</v>
      </c>
      <c r="F68" s="394">
        <v>3.54</v>
      </c>
      <c r="G68" s="394">
        <v>3.54</v>
      </c>
      <c r="H68" s="384">
        <v>-9.5399999999999999E-2</v>
      </c>
      <c r="I68" s="393">
        <v>1504770352.8699999</v>
      </c>
      <c r="J68" s="205">
        <f t="shared" ref="J68:J86" si="14">(I68/$I$87)</f>
        <v>4.4473823221894302E-3</v>
      </c>
      <c r="K68" s="394">
        <v>3.55</v>
      </c>
      <c r="L68" s="394">
        <v>3.55</v>
      </c>
      <c r="M68" s="384" t="s">
        <v>287</v>
      </c>
      <c r="N68" s="84">
        <f t="shared" si="12"/>
        <v>5.0617037235820505E-4</v>
      </c>
      <c r="O68" s="84">
        <f t="shared" si="13"/>
        <v>2.8248587570620866E-3</v>
      </c>
      <c r="P68" s="242" t="e">
        <f t="shared" si="11"/>
        <v>#VALUE!</v>
      </c>
      <c r="Q68" s="121"/>
      <c r="R68" s="97"/>
      <c r="S68" s="178"/>
      <c r="T68" s="198"/>
    </row>
    <row r="69" spans="1:21" s="123" customFormat="1" ht="12" customHeight="1">
      <c r="A69" s="430">
        <v>58</v>
      </c>
      <c r="B69" s="431" t="s">
        <v>5</v>
      </c>
      <c r="C69" s="432" t="s">
        <v>73</v>
      </c>
      <c r="D69" s="393">
        <v>42631431626.849998</v>
      </c>
      <c r="E69" s="205">
        <f t="shared" si="9"/>
        <v>0.12309613584681467</v>
      </c>
      <c r="F69" s="393">
        <v>4598.99</v>
      </c>
      <c r="G69" s="393">
        <v>4598.99</v>
      </c>
      <c r="H69" s="401">
        <v>5.8999999999999999E-3</v>
      </c>
      <c r="I69" s="393">
        <v>40527765481.970001</v>
      </c>
      <c r="J69" s="205">
        <f t="shared" si="14"/>
        <v>0.11978071432533327</v>
      </c>
      <c r="K69" s="393">
        <v>4608.74</v>
      </c>
      <c r="L69" s="393">
        <v>4608.74</v>
      </c>
      <c r="M69" s="352">
        <v>8.0999999999999996E-3</v>
      </c>
      <c r="N69" s="84">
        <f t="shared" si="12"/>
        <v>-4.9345425771605396E-2</v>
      </c>
      <c r="O69" s="84">
        <f t="shared" si="13"/>
        <v>2.1200307023933516E-3</v>
      </c>
      <c r="P69" s="242">
        <f t="shared" si="11"/>
        <v>2.1999999999999997E-3</v>
      </c>
      <c r="Q69" s="121"/>
      <c r="S69" s="178"/>
      <c r="T69" s="198"/>
    </row>
    <row r="70" spans="1:21" s="123" customFormat="1" ht="12.95" customHeight="1">
      <c r="A70" s="430">
        <v>59</v>
      </c>
      <c r="B70" s="431" t="s">
        <v>5</v>
      </c>
      <c r="C70" s="432" t="s">
        <v>74</v>
      </c>
      <c r="D70" s="393">
        <v>246173710.88</v>
      </c>
      <c r="E70" s="205">
        <f t="shared" si="9"/>
        <v>7.1081433111698728E-4</v>
      </c>
      <c r="F70" s="393">
        <v>4359.9399999999996</v>
      </c>
      <c r="G70" s="393">
        <v>4377.1099999999997</v>
      </c>
      <c r="H70" s="401">
        <v>2.7799999999999998E-2</v>
      </c>
      <c r="I70" s="393">
        <v>246408335.30000001</v>
      </c>
      <c r="J70" s="205">
        <f t="shared" si="14"/>
        <v>7.2826532790417123E-4</v>
      </c>
      <c r="K70" s="393">
        <v>4355.41</v>
      </c>
      <c r="L70" s="393">
        <v>4372.3100000000004</v>
      </c>
      <c r="M70" s="352">
        <v>2.6599999999999999E-2</v>
      </c>
      <c r="N70" s="84">
        <f t="shared" si="12"/>
        <v>9.530847918784751E-4</v>
      </c>
      <c r="O70" s="84">
        <f t="shared" si="13"/>
        <v>-1.096613975888034E-3</v>
      </c>
      <c r="P70" s="242">
        <f t="shared" si="11"/>
        <v>-1.1999999999999997E-3</v>
      </c>
      <c r="Q70" s="121"/>
      <c r="S70" s="465"/>
      <c r="T70" s="465"/>
    </row>
    <row r="71" spans="1:21" s="139" customFormat="1" ht="12.95" customHeight="1">
      <c r="A71" s="430">
        <v>60</v>
      </c>
      <c r="B71" s="431" t="s">
        <v>96</v>
      </c>
      <c r="C71" s="432" t="s">
        <v>97</v>
      </c>
      <c r="D71" s="393">
        <v>53499589.799999997</v>
      </c>
      <c r="E71" s="205">
        <f t="shared" si="9"/>
        <v>1.544774013552466E-4</v>
      </c>
      <c r="F71" s="354">
        <v>11.451876</v>
      </c>
      <c r="G71" s="393">
        <v>11.651462</v>
      </c>
      <c r="H71" s="401">
        <v>3.2300000000000002E-2</v>
      </c>
      <c r="I71" s="393">
        <v>53594505.380000003</v>
      </c>
      <c r="J71" s="205">
        <f t="shared" si="14"/>
        <v>1.5839975537721823E-4</v>
      </c>
      <c r="K71" s="354">
        <v>11.504403</v>
      </c>
      <c r="L71" s="393">
        <v>11.707857000000001</v>
      </c>
      <c r="M71" s="352">
        <v>3.5299999999999998E-2</v>
      </c>
      <c r="N71" s="84">
        <f t="shared" si="12"/>
        <v>1.774136593473576E-3</v>
      </c>
      <c r="O71" s="84">
        <f t="shared" si="13"/>
        <v>4.8401651226258292E-3</v>
      </c>
      <c r="P71" s="242">
        <f t="shared" si="11"/>
        <v>2.9999999999999957E-3</v>
      </c>
      <c r="Q71" s="121"/>
      <c r="R71" s="180"/>
      <c r="S71" s="181"/>
      <c r="T71" s="451"/>
      <c r="U71" s="140"/>
    </row>
    <row r="72" spans="1:21" s="123" customFormat="1" ht="12.95" customHeight="1">
      <c r="A72" s="430">
        <v>61</v>
      </c>
      <c r="B72" s="431" t="s">
        <v>27</v>
      </c>
      <c r="C72" s="432" t="s">
        <v>91</v>
      </c>
      <c r="D72" s="393">
        <v>15253556583.790001</v>
      </c>
      <c r="E72" s="400">
        <f t="shared" si="9"/>
        <v>4.404388503347164E-2</v>
      </c>
      <c r="F72" s="393">
        <v>1166.44</v>
      </c>
      <c r="G72" s="393">
        <v>1166.44</v>
      </c>
      <c r="H72" s="401">
        <v>5.4000000000000003E-3</v>
      </c>
      <c r="I72" s="393">
        <v>15393079324.059999</v>
      </c>
      <c r="J72" s="400">
        <f t="shared" si="14"/>
        <v>4.5494589084184578E-2</v>
      </c>
      <c r="K72" s="393">
        <v>1168.4100000000001</v>
      </c>
      <c r="L72" s="393">
        <v>1168.4100000000001</v>
      </c>
      <c r="M72" s="401">
        <v>7.1000000000000004E-3</v>
      </c>
      <c r="N72" s="84">
        <f t="shared" si="12"/>
        <v>9.1468989218075059E-3</v>
      </c>
      <c r="O72" s="84">
        <f t="shared" si="13"/>
        <v>1.6888995576283625E-3</v>
      </c>
      <c r="P72" s="242">
        <f t="shared" si="11"/>
        <v>1.7000000000000001E-3</v>
      </c>
      <c r="Q72" s="121"/>
      <c r="S72" s="182"/>
      <c r="T72" s="451"/>
    </row>
    <row r="73" spans="1:21" s="123" customFormat="1" ht="12.95" customHeight="1">
      <c r="A73" s="430">
        <v>62</v>
      </c>
      <c r="B73" s="431" t="s">
        <v>191</v>
      </c>
      <c r="C73" s="432" t="s">
        <v>190</v>
      </c>
      <c r="D73" s="393">
        <v>21237029.399999999</v>
      </c>
      <c r="E73" s="205">
        <f t="shared" si="9"/>
        <v>6.1320864823097605E-5</v>
      </c>
      <c r="F73" s="393">
        <v>0.62839999999999996</v>
      </c>
      <c r="G73" s="393">
        <v>0.62839999999999996</v>
      </c>
      <c r="H73" s="401">
        <v>-8.2799999999999999E-2</v>
      </c>
      <c r="I73" s="349">
        <v>21935492.049999997</v>
      </c>
      <c r="J73" s="205">
        <f t="shared" si="14"/>
        <v>6.4830835738910112E-5</v>
      </c>
      <c r="K73" s="350">
        <v>0.64910000000000001</v>
      </c>
      <c r="L73" s="350">
        <v>0.64910000000000001</v>
      </c>
      <c r="M73" s="352">
        <v>-5.5899999999999998E-2</v>
      </c>
      <c r="N73" s="120">
        <f>((I73-D73)/D73)</f>
        <v>3.2888905356979851E-2</v>
      </c>
      <c r="O73" s="120">
        <f>((L73-G73)/G73)</f>
        <v>3.2940802036919244E-2</v>
      </c>
      <c r="P73" s="242">
        <f t="shared" si="11"/>
        <v>2.69E-2</v>
      </c>
      <c r="Q73" s="121"/>
      <c r="R73" s="183"/>
      <c r="S73" s="141"/>
      <c r="T73" s="451"/>
    </row>
    <row r="74" spans="1:21" s="123" customFormat="1" ht="12.95" customHeight="1">
      <c r="A74" s="430">
        <v>63</v>
      </c>
      <c r="B74" s="431" t="s">
        <v>105</v>
      </c>
      <c r="C74" s="432" t="s">
        <v>108</v>
      </c>
      <c r="D74" s="393">
        <v>360065095.25999999</v>
      </c>
      <c r="E74" s="205">
        <f t="shared" si="9"/>
        <v>1.0396700319091814E-3</v>
      </c>
      <c r="F74" s="78">
        <v>1110.93</v>
      </c>
      <c r="G74" s="78">
        <v>1113.53</v>
      </c>
      <c r="H74" s="401">
        <v>2.8999999999999998E-3</v>
      </c>
      <c r="I74" s="393">
        <v>359816791.54000002</v>
      </c>
      <c r="J74" s="205">
        <f t="shared" si="14"/>
        <v>1.0634465484183843E-3</v>
      </c>
      <c r="K74" s="78">
        <v>1115.21</v>
      </c>
      <c r="L74" s="78">
        <v>1118.3499999999999</v>
      </c>
      <c r="M74" s="401">
        <v>7.0000000000000001E-3</v>
      </c>
      <c r="N74" s="84">
        <f t="shared" si="12"/>
        <v>-6.8960786054719065E-4</v>
      </c>
      <c r="O74" s="84">
        <f t="shared" si="13"/>
        <v>4.328576688548972E-3</v>
      </c>
      <c r="P74" s="242">
        <f t="shared" si="11"/>
        <v>4.1000000000000003E-3</v>
      </c>
      <c r="Q74" s="121"/>
      <c r="R74" s="134"/>
      <c r="S74" s="141"/>
      <c r="T74" s="451"/>
    </row>
    <row r="75" spans="1:21" s="123" customFormat="1" ht="12.95" customHeight="1">
      <c r="A75" s="430">
        <v>64</v>
      </c>
      <c r="B75" s="431" t="s">
        <v>110</v>
      </c>
      <c r="C75" s="432" t="s">
        <v>111</v>
      </c>
      <c r="D75" s="393">
        <v>714641406.76999998</v>
      </c>
      <c r="E75" s="205">
        <f t="shared" si="9"/>
        <v>2.0634914740727101E-3</v>
      </c>
      <c r="F75" s="394">
        <v>195.56921800000001</v>
      </c>
      <c r="G75" s="394">
        <v>198.16141099999999</v>
      </c>
      <c r="H75" s="401">
        <v>0.1065</v>
      </c>
      <c r="I75" s="393">
        <v>780786261.21000004</v>
      </c>
      <c r="J75" s="205">
        <f t="shared" si="14"/>
        <v>2.3076312002631044E-3</v>
      </c>
      <c r="K75" s="394">
        <v>196.684866</v>
      </c>
      <c r="L75" s="394">
        <v>199.10397399999999</v>
      </c>
      <c r="M75" s="401">
        <v>0.1042</v>
      </c>
      <c r="N75" s="84">
        <f t="shared" si="12"/>
        <v>9.2556705801526695E-2</v>
      </c>
      <c r="O75" s="84">
        <f t="shared" si="13"/>
        <v>4.7565416255539632E-3</v>
      </c>
      <c r="P75" s="242">
        <f t="shared" si="11"/>
        <v>-2.2999999999999965E-3</v>
      </c>
      <c r="Q75" s="121"/>
      <c r="R75" s="155"/>
      <c r="S75" s="184"/>
      <c r="T75" s="451"/>
    </row>
    <row r="76" spans="1:21" s="123" customFormat="1" ht="12.95" customHeight="1">
      <c r="A76" s="430">
        <v>65</v>
      </c>
      <c r="B76" s="431" t="s">
        <v>114</v>
      </c>
      <c r="C76" s="432" t="s">
        <v>117</v>
      </c>
      <c r="D76" s="393">
        <v>331755186.32999998</v>
      </c>
      <c r="E76" s="205">
        <f t="shared" si="9"/>
        <v>9.5792657966106546E-4</v>
      </c>
      <c r="F76" s="394">
        <v>1.3573</v>
      </c>
      <c r="G76" s="394">
        <v>1.3561000000000001</v>
      </c>
      <c r="H76" s="401">
        <v>1.43E-2</v>
      </c>
      <c r="I76" s="393">
        <v>335225579.20999998</v>
      </c>
      <c r="J76" s="205">
        <f t="shared" si="14"/>
        <v>9.9076667219072097E-4</v>
      </c>
      <c r="K76" s="394">
        <v>1.3714</v>
      </c>
      <c r="L76" s="394">
        <v>1.3714</v>
      </c>
      <c r="M76" s="401">
        <v>2.4400000000000002E-2</v>
      </c>
      <c r="N76" s="84">
        <f t="shared" si="12"/>
        <v>1.0460704227086183E-2</v>
      </c>
      <c r="O76" s="84">
        <f t="shared" si="13"/>
        <v>1.1282353808716073E-2</v>
      </c>
      <c r="P76" s="242">
        <f t="shared" si="11"/>
        <v>1.0100000000000001E-2</v>
      </c>
      <c r="Q76" s="121"/>
      <c r="R76" s="165"/>
      <c r="S76" s="184"/>
      <c r="T76" s="451"/>
    </row>
    <row r="77" spans="1:21" s="123" customFormat="1" ht="12.95" customHeight="1">
      <c r="A77" s="430">
        <v>66</v>
      </c>
      <c r="B77" s="431" t="s">
        <v>145</v>
      </c>
      <c r="C77" s="432" t="s">
        <v>148</v>
      </c>
      <c r="D77" s="393">
        <v>426638654.23000002</v>
      </c>
      <c r="E77" s="205">
        <f t="shared" si="9"/>
        <v>1.231897868180477E-3</v>
      </c>
      <c r="F77" s="394">
        <v>1.2239</v>
      </c>
      <c r="G77" s="394">
        <v>1.2239</v>
      </c>
      <c r="H77" s="401">
        <v>-3.2299999999999999E-4</v>
      </c>
      <c r="I77" s="349">
        <v>426430973.39999998</v>
      </c>
      <c r="J77" s="205">
        <f t="shared" si="14"/>
        <v>1.2603262478663637E-3</v>
      </c>
      <c r="K77" s="351">
        <v>1.2234</v>
      </c>
      <c r="L77" s="351">
        <v>1.2234</v>
      </c>
      <c r="M77" s="352">
        <v>-9.7599999999999998E-4</v>
      </c>
      <c r="N77" s="84">
        <v>-8.3999999999999995E-5</v>
      </c>
      <c r="O77" s="84">
        <f t="shared" si="13"/>
        <v>-4.085301086689639E-4</v>
      </c>
      <c r="P77" s="242">
        <f t="shared" si="11"/>
        <v>-6.5299999999999993E-4</v>
      </c>
      <c r="Q77" s="121"/>
      <c r="R77" s="155"/>
      <c r="S77" s="184"/>
      <c r="T77" s="451"/>
    </row>
    <row r="78" spans="1:21" s="123" customFormat="1" ht="12.95" customHeight="1">
      <c r="A78" s="430">
        <v>67</v>
      </c>
      <c r="B78" s="431" t="s">
        <v>7</v>
      </c>
      <c r="C78" s="432" t="s">
        <v>154</v>
      </c>
      <c r="D78" s="393">
        <v>1003073941.77</v>
      </c>
      <c r="E78" s="205">
        <f t="shared" si="9"/>
        <v>2.8963260554157283E-3</v>
      </c>
      <c r="F78" s="394">
        <v>1.1181000000000001</v>
      </c>
      <c r="G78" s="394">
        <v>1.1181000000000001</v>
      </c>
      <c r="H78" s="401">
        <v>5.1299999999999998E-2</v>
      </c>
      <c r="I78" s="393">
        <v>1003134841.78</v>
      </c>
      <c r="J78" s="205">
        <f t="shared" si="14"/>
        <v>2.9647873867236444E-3</v>
      </c>
      <c r="K78" s="394">
        <v>1.1192</v>
      </c>
      <c r="L78" s="394">
        <v>1.1192</v>
      </c>
      <c r="M78" s="352">
        <v>5.1299999999999998E-2</v>
      </c>
      <c r="N78" s="84">
        <f t="shared" si="12"/>
        <v>6.0713380603355899E-5</v>
      </c>
      <c r="O78" s="84">
        <f t="shared" si="13"/>
        <v>9.838118236292629E-4</v>
      </c>
      <c r="P78" s="242">
        <f t="shared" si="11"/>
        <v>0</v>
      </c>
      <c r="Q78" s="121"/>
      <c r="R78" s="155"/>
      <c r="S78" s="184"/>
      <c r="T78" s="451"/>
    </row>
    <row r="79" spans="1:21" s="123" customFormat="1" ht="12.95" customHeight="1">
      <c r="A79" s="430">
        <v>68</v>
      </c>
      <c r="B79" s="431" t="s">
        <v>5</v>
      </c>
      <c r="C79" s="432" t="s">
        <v>178</v>
      </c>
      <c r="D79" s="393">
        <v>26446086162.439999</v>
      </c>
      <c r="E79" s="205">
        <f t="shared" si="9"/>
        <v>7.6361756822118224E-2</v>
      </c>
      <c r="F79" s="394">
        <v>115.89</v>
      </c>
      <c r="G79" s="394">
        <v>115.89</v>
      </c>
      <c r="H79" s="401">
        <v>7.7000000000000002E-3</v>
      </c>
      <c r="I79" s="393">
        <v>20037422223.549999</v>
      </c>
      <c r="J79" s="205">
        <f t="shared" si="14"/>
        <v>5.9221048055138448E-2</v>
      </c>
      <c r="K79" s="394">
        <v>116.05</v>
      </c>
      <c r="L79" s="394">
        <v>116.05</v>
      </c>
      <c r="M79" s="352">
        <v>9.1000000000000004E-3</v>
      </c>
      <c r="N79" s="84">
        <f>((I79-D79)/D79)</f>
        <v>-0.24232939042571416</v>
      </c>
      <c r="O79" s="84">
        <f>((L79-G79)/G79)</f>
        <v>1.3806195530243902E-3</v>
      </c>
      <c r="P79" s="242">
        <f t="shared" si="11"/>
        <v>1.4000000000000002E-3</v>
      </c>
      <c r="Q79" s="121"/>
      <c r="R79" s="155"/>
      <c r="S79" s="184"/>
      <c r="T79" s="451"/>
    </row>
    <row r="80" spans="1:21" s="123" customFormat="1" ht="12.95" customHeight="1">
      <c r="A80" s="430">
        <v>69</v>
      </c>
      <c r="B80" s="431" t="s">
        <v>157</v>
      </c>
      <c r="C80" s="432" t="s">
        <v>183</v>
      </c>
      <c r="D80" s="393">
        <v>245300840.37</v>
      </c>
      <c r="E80" s="205">
        <f t="shared" si="9"/>
        <v>7.0829396098688905E-4</v>
      </c>
      <c r="F80" s="78">
        <v>1107.05</v>
      </c>
      <c r="G80" s="78">
        <v>1107.05</v>
      </c>
      <c r="H80" s="401">
        <v>-1.72E-2</v>
      </c>
      <c r="I80" s="393">
        <v>244211454.37</v>
      </c>
      <c r="J80" s="400">
        <f t="shared" si="14"/>
        <v>7.2177239734277194E-4</v>
      </c>
      <c r="K80" s="78">
        <v>1103.78</v>
      </c>
      <c r="L80" s="78">
        <v>1103.78</v>
      </c>
      <c r="M80" s="352">
        <v>-2.01E-2</v>
      </c>
      <c r="N80" s="84">
        <f>((I80-D80)/D80)</f>
        <v>-4.4410202523432959E-3</v>
      </c>
      <c r="O80" s="84">
        <f t="shared" si="13"/>
        <v>-2.9537961248362601E-3</v>
      </c>
      <c r="P80" s="242">
        <f t="shared" si="11"/>
        <v>-2.8999999999999998E-3</v>
      </c>
      <c r="Q80" s="121"/>
      <c r="R80" s="155"/>
      <c r="S80" s="184"/>
      <c r="T80" s="451"/>
    </row>
    <row r="81" spans="1:20" s="123" customFormat="1" ht="12.95" customHeight="1">
      <c r="A81" s="430">
        <v>70</v>
      </c>
      <c r="B81" s="431" t="s">
        <v>193</v>
      </c>
      <c r="C81" s="432" t="s">
        <v>192</v>
      </c>
      <c r="D81" s="393">
        <v>1350463246.6500001</v>
      </c>
      <c r="E81" s="205">
        <f>(D81/$I$87)</f>
        <v>3.9913242299482142E-3</v>
      </c>
      <c r="F81" s="394">
        <v>1.0492999999999999</v>
      </c>
      <c r="G81" s="394">
        <v>1.0492999999999999</v>
      </c>
      <c r="H81" s="401">
        <v>8.6499999999999994E-2</v>
      </c>
      <c r="I81" s="393">
        <v>1346391519.6800001</v>
      </c>
      <c r="J81" s="205">
        <f t="shared" si="14"/>
        <v>3.9792901501216E-3</v>
      </c>
      <c r="K81" s="394">
        <v>1.0125999999999999</v>
      </c>
      <c r="L81" s="394">
        <v>1.0125999999999999</v>
      </c>
      <c r="M81" s="352">
        <v>8.5400000000000004E-2</v>
      </c>
      <c r="N81" s="84">
        <f>((I81-D81)/D81)</f>
        <v>-3.0150594472678005E-3</v>
      </c>
      <c r="O81" s="84">
        <f>((L81-G81)/G81)</f>
        <v>-3.4975698084437207E-2</v>
      </c>
      <c r="P81" s="242">
        <f>M81-H81</f>
        <v>-1.0999999999999899E-3</v>
      </c>
      <c r="Q81" s="121"/>
      <c r="R81" s="155"/>
      <c r="S81" s="184"/>
      <c r="T81" s="451"/>
    </row>
    <row r="82" spans="1:20" s="123" customFormat="1" ht="12.95" customHeight="1">
      <c r="A82" s="430">
        <v>71</v>
      </c>
      <c r="B82" s="434" t="s">
        <v>12</v>
      </c>
      <c r="C82" s="431" t="s">
        <v>253</v>
      </c>
      <c r="D82" s="393">
        <v>1728347180.1600001</v>
      </c>
      <c r="E82" s="205">
        <f>(D82/$D$87)</f>
        <v>4.9905164138433272E-3</v>
      </c>
      <c r="F82" s="394">
        <v>108.04</v>
      </c>
      <c r="G82" s="394">
        <v>108.04</v>
      </c>
      <c r="H82" s="401">
        <v>9.7299999999999998E-2</v>
      </c>
      <c r="I82" s="393">
        <v>1891581941.0999999</v>
      </c>
      <c r="J82" s="205">
        <f t="shared" si="14"/>
        <v>5.5906125939920674E-3</v>
      </c>
      <c r="K82" s="351">
        <v>108.22</v>
      </c>
      <c r="L82" s="351">
        <v>108.22</v>
      </c>
      <c r="M82" s="352">
        <v>9.7299999999999998E-2</v>
      </c>
      <c r="N82" s="84">
        <f>((I82-D82)/D82)</f>
        <v>9.4445585246876448E-2</v>
      </c>
      <c r="O82" s="84">
        <f>((L82-G82)/G82)</f>
        <v>1.6660496112550223E-3</v>
      </c>
      <c r="P82" s="242">
        <f>M82-H82</f>
        <v>0</v>
      </c>
      <c r="Q82" s="121"/>
      <c r="R82" s="155"/>
      <c r="S82" s="184"/>
      <c r="T82" s="451"/>
    </row>
    <row r="83" spans="1:20" s="123" customFormat="1" ht="12.95" customHeight="1">
      <c r="A83" s="430">
        <v>72</v>
      </c>
      <c r="B83" s="431" t="s">
        <v>94</v>
      </c>
      <c r="C83" s="432" t="s">
        <v>243</v>
      </c>
      <c r="D83" s="393">
        <v>367920524.94</v>
      </c>
      <c r="E83" s="205">
        <f>(D83/$D$87)</f>
        <v>1.0623521939226045E-3</v>
      </c>
      <c r="F83" s="394">
        <v>115.08</v>
      </c>
      <c r="G83" s="394">
        <v>115.08</v>
      </c>
      <c r="H83" s="401">
        <v>5.5010000000000003E-2</v>
      </c>
      <c r="I83" s="393">
        <v>368789026.88999999</v>
      </c>
      <c r="J83" s="205">
        <f t="shared" si="14"/>
        <v>1.0899641900040304E-3</v>
      </c>
      <c r="K83" s="394">
        <v>106.65</v>
      </c>
      <c r="L83" s="394">
        <v>106.65</v>
      </c>
      <c r="M83" s="401">
        <v>0.10001</v>
      </c>
      <c r="N83" s="84">
        <f t="shared" si="12"/>
        <v>2.3605694467347866E-3</v>
      </c>
      <c r="O83" s="84">
        <f t="shared" si="13"/>
        <v>-7.3253388946819542E-2</v>
      </c>
      <c r="P83" s="242">
        <f t="shared" si="11"/>
        <v>4.4999999999999998E-2</v>
      </c>
      <c r="Q83" s="121"/>
      <c r="R83" s="155"/>
      <c r="S83" s="184"/>
      <c r="T83" s="451"/>
    </row>
    <row r="84" spans="1:20" s="397" customFormat="1" ht="12.95" customHeight="1">
      <c r="A84" s="430">
        <v>73</v>
      </c>
      <c r="B84" s="431" t="s">
        <v>7</v>
      </c>
      <c r="C84" s="432" t="s">
        <v>247</v>
      </c>
      <c r="D84" s="393">
        <v>867392324.47000003</v>
      </c>
      <c r="E84" s="400">
        <f>(D84/$D$87)</f>
        <v>2.504552142185069E-3</v>
      </c>
      <c r="F84" s="394">
        <v>1.0419</v>
      </c>
      <c r="G84" s="394">
        <v>1.0419</v>
      </c>
      <c r="H84" s="401">
        <v>6.0100000000000001E-2</v>
      </c>
      <c r="I84" s="393">
        <v>868095152.28999996</v>
      </c>
      <c r="J84" s="400">
        <f t="shared" si="14"/>
        <v>2.5656745741364467E-3</v>
      </c>
      <c r="K84" s="394">
        <v>1.0430999999999999</v>
      </c>
      <c r="L84" s="394">
        <v>1.0430999999999999</v>
      </c>
      <c r="M84" s="401">
        <v>6.0100000000000001E-2</v>
      </c>
      <c r="N84" s="396">
        <f>((I84-D84)/D84)</f>
        <v>8.1027673426713783E-4</v>
      </c>
      <c r="O84" s="396">
        <f>((L84-G84)/G84)</f>
        <v>1.1517420097896802E-3</v>
      </c>
      <c r="P84" s="403">
        <f>M84-H84</f>
        <v>0</v>
      </c>
      <c r="Q84" s="121"/>
      <c r="R84" s="155"/>
      <c r="S84" s="184"/>
      <c r="T84" s="406"/>
    </row>
    <row r="85" spans="1:20" s="397" customFormat="1" ht="12.95" customHeight="1">
      <c r="A85" s="430">
        <v>74</v>
      </c>
      <c r="B85" s="431" t="s">
        <v>259</v>
      </c>
      <c r="C85" s="432" t="s">
        <v>260</v>
      </c>
      <c r="D85" s="393">
        <v>395937942.35000002</v>
      </c>
      <c r="E85" s="400">
        <f>(D85/$D$87)</f>
        <v>1.1432510914723209E-3</v>
      </c>
      <c r="F85" s="78">
        <v>1000</v>
      </c>
      <c r="G85" s="78">
        <v>1000</v>
      </c>
      <c r="H85" s="401">
        <v>0.17249999999999999</v>
      </c>
      <c r="I85" s="393">
        <v>400914957.50999999</v>
      </c>
      <c r="J85" s="400">
        <f t="shared" si="14"/>
        <v>1.1849130941014355E-3</v>
      </c>
      <c r="K85" s="78">
        <v>1000</v>
      </c>
      <c r="L85" s="78">
        <v>1000</v>
      </c>
      <c r="M85" s="401">
        <v>0.1699</v>
      </c>
      <c r="N85" s="396">
        <f>((I85-D85)/D85)</f>
        <v>1.2570189991037534E-2</v>
      </c>
      <c r="O85" s="396">
        <f>((L85-G85)/G85)</f>
        <v>0</v>
      </c>
      <c r="P85" s="403">
        <f>M85-H85</f>
        <v>-2.5999999999999912E-3</v>
      </c>
      <c r="Q85" s="121"/>
      <c r="R85" s="155"/>
      <c r="S85" s="184"/>
      <c r="T85" s="407"/>
    </row>
    <row r="86" spans="1:20" s="123" customFormat="1" ht="12.95" customHeight="1">
      <c r="A86" s="430">
        <v>75</v>
      </c>
      <c r="B86" s="431" t="s">
        <v>269</v>
      </c>
      <c r="C86" s="432" t="s">
        <v>270</v>
      </c>
      <c r="D86" s="393">
        <v>55180067.270000003</v>
      </c>
      <c r="E86" s="205">
        <f>(D86/$D$87)</f>
        <v>1.5932969636483636E-4</v>
      </c>
      <c r="F86" s="78">
        <v>102.7688</v>
      </c>
      <c r="G86" s="78">
        <v>102.7688</v>
      </c>
      <c r="H86" s="401">
        <v>1.0817999999999999E-2</v>
      </c>
      <c r="I86" s="393">
        <v>55288822.280000001</v>
      </c>
      <c r="J86" s="205">
        <f t="shared" si="14"/>
        <v>1.6340734674481463E-4</v>
      </c>
      <c r="K86" s="78">
        <v>102.95269999999999</v>
      </c>
      <c r="L86" s="78">
        <v>102.95269999999999</v>
      </c>
      <c r="M86" s="401">
        <v>1.8723E-2</v>
      </c>
      <c r="N86" s="84">
        <f t="shared" si="12"/>
        <v>1.9709111528960609E-3</v>
      </c>
      <c r="O86" s="84">
        <f t="shared" si="13"/>
        <v>1.7894536084881226E-3</v>
      </c>
      <c r="P86" s="242">
        <f t="shared" si="11"/>
        <v>7.9050000000000006E-3</v>
      </c>
      <c r="Q86" s="121"/>
      <c r="R86" s="155"/>
      <c r="S86" s="184"/>
      <c r="T86" s="318"/>
    </row>
    <row r="87" spans="1:20" s="123" customFormat="1" ht="12.95" customHeight="1">
      <c r="A87" s="229"/>
      <c r="B87" s="118"/>
      <c r="C87" s="266" t="s">
        <v>46</v>
      </c>
      <c r="D87" s="82">
        <f>SUM(D57:D86)</f>
        <v>346326319129.15698</v>
      </c>
      <c r="E87" s="285">
        <f>(D87/$D$166)</f>
        <v>0.23229003248287103</v>
      </c>
      <c r="F87" s="79"/>
      <c r="G87" s="79"/>
      <c r="H87" s="239"/>
      <c r="I87" s="82">
        <f>SUM(I57:I86)</f>
        <v>338349672651.75592</v>
      </c>
      <c r="J87" s="285">
        <f>(I87/$I$166)</f>
        <v>0.22365049934318623</v>
      </c>
      <c r="K87" s="287"/>
      <c r="L87" s="77"/>
      <c r="M87" s="304"/>
      <c r="N87" s="289">
        <f t="shared" si="12"/>
        <v>-2.3032169479519967E-2</v>
      </c>
      <c r="O87" s="289"/>
      <c r="P87" s="290">
        <f t="shared" si="11"/>
        <v>0</v>
      </c>
      <c r="Q87" s="121"/>
      <c r="R87" s="97"/>
      <c r="S87" s="185"/>
      <c r="T87" s="197"/>
    </row>
    <row r="88" spans="1:20" s="123" customFormat="1" ht="5.25" customHeight="1">
      <c r="A88" s="447"/>
      <c r="B88" s="448"/>
      <c r="C88" s="448"/>
      <c r="D88" s="448"/>
      <c r="E88" s="448"/>
      <c r="F88" s="448"/>
      <c r="G88" s="448"/>
      <c r="H88" s="448"/>
      <c r="I88" s="448"/>
      <c r="J88" s="448"/>
      <c r="K88" s="448"/>
      <c r="L88" s="448"/>
      <c r="M88" s="448"/>
      <c r="N88" s="448"/>
      <c r="O88" s="448"/>
      <c r="P88" s="449"/>
      <c r="Q88" s="121"/>
      <c r="R88" s="97"/>
      <c r="S88" s="185"/>
      <c r="T88" s="197"/>
    </row>
    <row r="89" spans="1:20" s="123" customFormat="1" ht="12" customHeight="1">
      <c r="A89" s="441" t="s">
        <v>211</v>
      </c>
      <c r="B89" s="442"/>
      <c r="C89" s="442"/>
      <c r="D89" s="442"/>
      <c r="E89" s="442"/>
      <c r="F89" s="442"/>
      <c r="G89" s="442"/>
      <c r="H89" s="442"/>
      <c r="I89" s="442"/>
      <c r="J89" s="442"/>
      <c r="K89" s="442"/>
      <c r="L89" s="442"/>
      <c r="M89" s="442"/>
      <c r="N89" s="442"/>
      <c r="O89" s="442"/>
      <c r="P89" s="443"/>
      <c r="Q89" s="121"/>
      <c r="R89" s="97"/>
      <c r="S89" s="185"/>
      <c r="T89" s="197"/>
    </row>
    <row r="90" spans="1:20" s="123" customFormat="1" ht="12.95" customHeight="1">
      <c r="A90" s="438" t="s">
        <v>212</v>
      </c>
      <c r="B90" s="439"/>
      <c r="C90" s="439"/>
      <c r="D90" s="439"/>
      <c r="E90" s="439"/>
      <c r="F90" s="439"/>
      <c r="G90" s="439"/>
      <c r="H90" s="439"/>
      <c r="I90" s="439"/>
      <c r="J90" s="439"/>
      <c r="K90" s="439"/>
      <c r="L90" s="439"/>
      <c r="M90" s="439"/>
      <c r="N90" s="439"/>
      <c r="O90" s="439"/>
      <c r="P90" s="440"/>
      <c r="Q90" s="121"/>
      <c r="R90" s="97"/>
      <c r="S90" s="185"/>
      <c r="T90" s="197"/>
    </row>
    <row r="91" spans="1:20" s="123" customFormat="1" ht="12.95" customHeight="1">
      <c r="A91" s="430">
        <v>76</v>
      </c>
      <c r="B91" s="431" t="s">
        <v>201</v>
      </c>
      <c r="C91" s="432" t="s">
        <v>261</v>
      </c>
      <c r="D91" s="393">
        <v>13163655023.09</v>
      </c>
      <c r="E91" s="205">
        <f t="shared" ref="E91:E96" si="15">(D91/$D$110)</f>
        <v>4.1735452382581528E-2</v>
      </c>
      <c r="F91" s="393">
        <v>55652.29</v>
      </c>
      <c r="G91" s="393">
        <v>55652.29</v>
      </c>
      <c r="H91" s="401">
        <v>6.8699999999999997E-2</v>
      </c>
      <c r="I91" s="393">
        <v>13163655023.09</v>
      </c>
      <c r="J91" s="205">
        <f t="shared" ref="J91:J96" si="16">(I91/$I$110)</f>
        <v>4.131608760929989E-2</v>
      </c>
      <c r="K91" s="393">
        <v>55652.29</v>
      </c>
      <c r="L91" s="393">
        <v>55652.29</v>
      </c>
      <c r="M91" s="356">
        <v>6.8699999999999997E-2</v>
      </c>
      <c r="N91" s="84">
        <f t="shared" ref="N91:N99" si="17">((I91-D91)/D91)</f>
        <v>0</v>
      </c>
      <c r="O91" s="84">
        <f t="shared" ref="O91:O99" si="18">((L91-G91)/G91)</f>
        <v>0</v>
      </c>
      <c r="P91" s="242">
        <f t="shared" ref="P91:P99" si="19">M91-H91</f>
        <v>0</v>
      </c>
      <c r="Q91" s="121"/>
      <c r="R91" s="97"/>
      <c r="S91" s="185"/>
      <c r="T91" s="197"/>
    </row>
    <row r="92" spans="1:20" s="123" customFormat="1" ht="12.95" customHeight="1">
      <c r="A92" s="430">
        <v>77</v>
      </c>
      <c r="B92" s="431" t="s">
        <v>45</v>
      </c>
      <c r="C92" s="432" t="s">
        <v>177</v>
      </c>
      <c r="D92" s="393">
        <v>74073614442.820007</v>
      </c>
      <c r="E92" s="205">
        <f t="shared" si="15"/>
        <v>0.23485086801206134</v>
      </c>
      <c r="F92" s="393">
        <v>58150.34</v>
      </c>
      <c r="G92" s="393">
        <v>58150.34</v>
      </c>
      <c r="H92" s="401">
        <v>5.5899999999999998E-2</v>
      </c>
      <c r="I92" s="393">
        <v>74233890489.979996</v>
      </c>
      <c r="J92" s="205">
        <f t="shared" si="16"/>
        <v>0.23299409758789286</v>
      </c>
      <c r="K92" s="393">
        <v>58208.49</v>
      </c>
      <c r="L92" s="393">
        <v>58208.49</v>
      </c>
      <c r="M92" s="401">
        <v>5.5500000000000001E-2</v>
      </c>
      <c r="N92" s="84">
        <f t="shared" si="17"/>
        <v>2.1637400627143831E-3</v>
      </c>
      <c r="O92" s="84">
        <f t="shared" si="18"/>
        <v>9.999941530866622E-4</v>
      </c>
      <c r="P92" s="242">
        <f t="shared" si="19"/>
        <v>-3.9999999999999758E-4</v>
      </c>
      <c r="Q92" s="121"/>
      <c r="S92" s="176"/>
      <c r="T92" s="175"/>
    </row>
    <row r="93" spans="1:20" s="123" customFormat="1" ht="12.95" customHeight="1">
      <c r="A93" s="430">
        <v>78</v>
      </c>
      <c r="B93" s="431" t="s">
        <v>142</v>
      </c>
      <c r="C93" s="432" t="s">
        <v>129</v>
      </c>
      <c r="D93" s="393">
        <v>4983719407.1000004</v>
      </c>
      <c r="E93" s="205">
        <f t="shared" si="15"/>
        <v>1.5800914232280198E-2</v>
      </c>
      <c r="F93" s="393">
        <v>459.7</v>
      </c>
      <c r="G93" s="393">
        <v>459.7</v>
      </c>
      <c r="H93" s="384">
        <v>8.7800000000000003E-2</v>
      </c>
      <c r="I93" s="393">
        <v>6318388736.75</v>
      </c>
      <c r="J93" s="205">
        <f t="shared" si="16"/>
        <v>1.9831202058947475E-2</v>
      </c>
      <c r="K93" s="393">
        <v>460.52</v>
      </c>
      <c r="L93" s="393">
        <v>460.52</v>
      </c>
      <c r="M93" s="357">
        <v>8.0699999999999994E-2</v>
      </c>
      <c r="N93" s="84">
        <f t="shared" si="17"/>
        <v>0.26780587361089747</v>
      </c>
      <c r="O93" s="84">
        <f t="shared" si="18"/>
        <v>1.7837720252338333E-3</v>
      </c>
      <c r="P93" s="242">
        <f t="shared" si="19"/>
        <v>-7.1000000000000091E-3</v>
      </c>
      <c r="Q93" s="121"/>
      <c r="R93">
        <v>460.99</v>
      </c>
      <c r="S93" s="186"/>
      <c r="T93" s="175"/>
    </row>
    <row r="94" spans="1:20" s="123" customFormat="1" ht="12.95" customHeight="1">
      <c r="A94" s="430">
        <v>79</v>
      </c>
      <c r="B94" s="431" t="s">
        <v>96</v>
      </c>
      <c r="C94" s="432" t="s">
        <v>137</v>
      </c>
      <c r="D94" s="393">
        <f>1703823.57*460.2</f>
        <v>784099606.91400003</v>
      </c>
      <c r="E94" s="205">
        <f t="shared" si="15"/>
        <v>2.4859928150774667E-3</v>
      </c>
      <c r="F94" s="393">
        <f>123.72*460.2</f>
        <v>56935.943999999996</v>
      </c>
      <c r="G94" s="393">
        <f>126.78*460.2</f>
        <v>58344.156000000003</v>
      </c>
      <c r="H94" s="401">
        <v>0</v>
      </c>
      <c r="I94" s="393">
        <f>1673281.9*460.99</f>
        <v>771366223.08099997</v>
      </c>
      <c r="J94" s="205">
        <f t="shared" si="16"/>
        <v>2.4210475278915598E-3</v>
      </c>
      <c r="K94" s="393">
        <f>121.503771*460.99</f>
        <v>56012.023393290001</v>
      </c>
      <c r="L94" s="393">
        <f>124.594756*460.99</f>
        <v>57436.936568440004</v>
      </c>
      <c r="M94" s="356">
        <v>0</v>
      </c>
      <c r="N94" s="84">
        <f t="shared" si="17"/>
        <v>-1.6239497789209655E-2</v>
      </c>
      <c r="O94" s="396">
        <f t="shared" si="18"/>
        <v>-1.5549448201118875E-2</v>
      </c>
      <c r="P94" s="242">
        <f t="shared" si="19"/>
        <v>0</v>
      </c>
      <c r="Q94" s="121"/>
      <c r="S94" s="186"/>
      <c r="T94" s="175"/>
    </row>
    <row r="95" spans="1:20" s="123" customFormat="1" ht="12.95" customHeight="1">
      <c r="A95" s="430">
        <v>80</v>
      </c>
      <c r="B95" s="431" t="s">
        <v>62</v>
      </c>
      <c r="C95" s="432" t="s">
        <v>155</v>
      </c>
      <c r="D95" s="393">
        <v>790231292.03999996</v>
      </c>
      <c r="E95" s="205">
        <f t="shared" si="15"/>
        <v>2.5054333619584255E-3</v>
      </c>
      <c r="F95" s="393">
        <f>106.2165*460.2</f>
        <v>48880.833299999998</v>
      </c>
      <c r="G95" s="393">
        <f>106.2165*460.2</f>
        <v>48880.833299999998</v>
      </c>
      <c r="H95" s="401">
        <v>8.48E-2</v>
      </c>
      <c r="I95" s="393">
        <v>791632314.23000002</v>
      </c>
      <c r="J95" s="205">
        <f t="shared" si="16"/>
        <v>2.4846556668120519E-3</v>
      </c>
      <c r="K95" s="393">
        <f>106.339*460.99</f>
        <v>49021.215609999999</v>
      </c>
      <c r="L95" s="393">
        <f>106.339*460.99</f>
        <v>49021.215609999999</v>
      </c>
      <c r="M95" s="356">
        <v>8.48E-2</v>
      </c>
      <c r="N95" s="84">
        <f t="shared" si="17"/>
        <v>1.7729267419710586E-3</v>
      </c>
      <c r="O95" s="84">
        <f t="shared" si="18"/>
        <v>2.8719295585331373E-3</v>
      </c>
      <c r="P95" s="242">
        <f t="shared" si="19"/>
        <v>0</v>
      </c>
      <c r="Q95" s="121"/>
      <c r="R95" s="135"/>
      <c r="S95" s="186"/>
      <c r="T95" s="142"/>
    </row>
    <row r="96" spans="1:20" s="123" customFormat="1" ht="12.95" customHeight="1">
      <c r="A96" s="430">
        <v>81</v>
      </c>
      <c r="B96" s="431" t="s">
        <v>7</v>
      </c>
      <c r="C96" s="432" t="s">
        <v>156</v>
      </c>
      <c r="D96" s="393">
        <f>11166736.42 *459.7</f>
        <v>5133348732.2740002</v>
      </c>
      <c r="E96" s="205">
        <f t="shared" si="15"/>
        <v>1.6275314964058978E-2</v>
      </c>
      <c r="F96" s="393">
        <f>1.1312 *459.7</f>
        <v>520.01264000000003</v>
      </c>
      <c r="G96" s="393">
        <f>1.1312 *459.7</f>
        <v>520.01264000000003</v>
      </c>
      <c r="H96" s="401">
        <v>5.0799999999999998E-2</v>
      </c>
      <c r="I96" s="393">
        <f>11182378.13 *461</f>
        <v>5155076317.9300003</v>
      </c>
      <c r="J96" s="205">
        <f t="shared" si="16"/>
        <v>1.6179973146563581E-2</v>
      </c>
      <c r="K96" s="393">
        <f>1.1322*461</f>
        <v>521.94420000000002</v>
      </c>
      <c r="L96" s="393">
        <f>1.1322*461</f>
        <v>521.94420000000002</v>
      </c>
      <c r="M96" s="356">
        <v>4.6100000000000002E-2</v>
      </c>
      <c r="N96" s="84">
        <f t="shared" si="17"/>
        <v>4.2326338593355467E-3</v>
      </c>
      <c r="O96" s="84">
        <f t="shared" si="18"/>
        <v>3.7144481718751881E-3</v>
      </c>
      <c r="P96" s="242">
        <f t="shared" si="19"/>
        <v>-4.6999999999999958E-3</v>
      </c>
      <c r="Q96" s="121"/>
      <c r="S96" s="186"/>
      <c r="T96" s="142"/>
    </row>
    <row r="97" spans="1:41" s="397" customFormat="1" ht="12.95" customHeight="1">
      <c r="A97" s="430">
        <v>82</v>
      </c>
      <c r="B97" s="431" t="s">
        <v>184</v>
      </c>
      <c r="C97" s="432" t="s">
        <v>187</v>
      </c>
      <c r="D97" s="393">
        <v>1004853414.318</v>
      </c>
      <c r="E97" s="400">
        <f>(D97/$D$110)</f>
        <v>3.1858941723389941E-3</v>
      </c>
      <c r="F97" s="393">
        <v>48457.449299999993</v>
      </c>
      <c r="G97" s="393">
        <v>48457.449299999993</v>
      </c>
      <c r="H97" s="401">
        <v>8.8599999999999998E-2</v>
      </c>
      <c r="I97" s="393">
        <v>1007824006.0574</v>
      </c>
      <c r="J97" s="400">
        <f>(I97/$I$110)</f>
        <v>3.1632054209856388E-3</v>
      </c>
      <c r="K97" s="393">
        <v>48600.682298</v>
      </c>
      <c r="L97" s="393">
        <v>48600.682298</v>
      </c>
      <c r="M97" s="401">
        <v>6.1100000000000002E-2</v>
      </c>
      <c r="N97" s="396">
        <f>((I97-D97)/D97)</f>
        <v>2.9562438631073247E-3</v>
      </c>
      <c r="O97" s="396">
        <f t="shared" si="18"/>
        <v>2.9558509593282864E-3</v>
      </c>
      <c r="P97" s="403">
        <f>M97-H97</f>
        <v>-2.7499999999999997E-2</v>
      </c>
      <c r="Q97" s="121"/>
      <c r="S97" s="399"/>
      <c r="T97" s="398"/>
    </row>
    <row r="98" spans="1:41" s="397" customFormat="1" ht="12.95" customHeight="1">
      <c r="A98" s="430">
        <v>83</v>
      </c>
      <c r="B98" s="431" t="s">
        <v>238</v>
      </c>
      <c r="C98" s="432" t="s">
        <v>258</v>
      </c>
      <c r="D98" s="393">
        <f>79699.39*460.2</f>
        <v>36677659.277999997</v>
      </c>
      <c r="E98" s="400">
        <f>(D98/$D$110)</f>
        <v>1.162867531560541E-4</v>
      </c>
      <c r="F98" s="393">
        <f>100.85*460.2</f>
        <v>46411.17</v>
      </c>
      <c r="G98" s="393">
        <f>100.85*460.2</f>
        <v>46411.17</v>
      </c>
      <c r="H98" s="401">
        <v>1E-3</v>
      </c>
      <c r="I98" s="393">
        <f>79752.44*460.99</f>
        <v>36765077.3156</v>
      </c>
      <c r="J98" s="400">
        <f>(I98/$I$110)</f>
        <v>1.1539265900463035E-4</v>
      </c>
      <c r="K98" s="393">
        <f>100.92*460.99</f>
        <v>46523.110800000002</v>
      </c>
      <c r="L98" s="393">
        <f>100.92*460.99</f>
        <v>46523.110800000002</v>
      </c>
      <c r="M98" s="401">
        <v>1E-3</v>
      </c>
      <c r="N98" s="396">
        <f t="shared" ref="N98" si="20">((I98-D98)/D98)</f>
        <v>2.3834137543351434E-3</v>
      </c>
      <c r="O98" s="396">
        <f t="shared" ref="O98" si="21">((L98-G98)/G98)</f>
        <v>2.4119366092258381E-3</v>
      </c>
      <c r="P98" s="403">
        <f t="shared" ref="P98" si="22">M98-H98</f>
        <v>0</v>
      </c>
      <c r="Q98" s="121"/>
      <c r="S98" s="399"/>
      <c r="T98" s="398"/>
    </row>
    <row r="99" spans="1:41" s="123" customFormat="1" ht="12.95" customHeight="1">
      <c r="A99" s="430">
        <v>84</v>
      </c>
      <c r="B99" s="431" t="s">
        <v>188</v>
      </c>
      <c r="C99" s="432" t="s">
        <v>276</v>
      </c>
      <c r="D99" s="393">
        <f>783353.69*460.2</f>
        <v>360499368.13799995</v>
      </c>
      <c r="E99" s="205">
        <f>(D99/$D$110)</f>
        <v>1.1429655507139279E-3</v>
      </c>
      <c r="F99" s="393">
        <f>101.05*460.2</f>
        <v>46503.21</v>
      </c>
      <c r="G99" s="393">
        <f>101.05*460.2</f>
        <v>46503.21</v>
      </c>
      <c r="H99" s="401">
        <v>9.9599999999999994E-2</v>
      </c>
      <c r="I99" s="393">
        <f>987259.97*460.99</f>
        <v>455116973.57029998</v>
      </c>
      <c r="J99" s="205">
        <f>(I99/$I$110)</f>
        <v>1.428452258854169E-3</v>
      </c>
      <c r="K99" s="355">
        <f>101.24*460.99</f>
        <v>46670.6276</v>
      </c>
      <c r="L99" s="393">
        <f>101.24*460.99</f>
        <v>46670.6276</v>
      </c>
      <c r="M99" s="356">
        <v>0.10059999999999999</v>
      </c>
      <c r="N99" s="84">
        <f t="shared" si="17"/>
        <v>0.26246261101927981</v>
      </c>
      <c r="O99" s="84">
        <f t="shared" si="18"/>
        <v>3.6001299695225487E-3</v>
      </c>
      <c r="P99" s="242">
        <f t="shared" si="19"/>
        <v>1.0000000000000009E-3</v>
      </c>
      <c r="Q99" s="121"/>
      <c r="S99" s="175"/>
      <c r="T99" s="175"/>
    </row>
    <row r="100" spans="1:41" s="123" customFormat="1" ht="4.5" customHeight="1">
      <c r="A100" s="447"/>
      <c r="B100" s="448"/>
      <c r="C100" s="448"/>
      <c r="D100" s="448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9"/>
      <c r="Q100" s="121"/>
      <c r="S100" s="187"/>
      <c r="T100" s="142"/>
    </row>
    <row r="101" spans="1:41" s="123" customFormat="1" ht="12.95" customHeight="1">
      <c r="A101" s="438" t="s">
        <v>213</v>
      </c>
      <c r="B101" s="439"/>
      <c r="C101" s="439"/>
      <c r="D101" s="439"/>
      <c r="E101" s="439"/>
      <c r="F101" s="439"/>
      <c r="G101" s="439"/>
      <c r="H101" s="439"/>
      <c r="I101" s="439"/>
      <c r="J101" s="439"/>
      <c r="K101" s="439"/>
      <c r="L101" s="439"/>
      <c r="M101" s="439"/>
      <c r="N101" s="439"/>
      <c r="O101" s="439"/>
      <c r="P101" s="440"/>
      <c r="Q101" s="121"/>
      <c r="R101" s="188"/>
      <c r="S101" s="187"/>
      <c r="T101" s="142"/>
      <c r="AE101" s="123">
        <v>136.96</v>
      </c>
      <c r="AO101" s="132">
        <v>185280902</v>
      </c>
    </row>
    <row r="102" spans="1:41" s="123" customFormat="1" ht="12.95" customHeight="1">
      <c r="A102" s="430">
        <v>85</v>
      </c>
      <c r="B102" s="431" t="s">
        <v>5</v>
      </c>
      <c r="C102" s="432" t="s">
        <v>99</v>
      </c>
      <c r="D102" s="393">
        <v>195942992273.41</v>
      </c>
      <c r="E102" s="205">
        <f t="shared" ref="E102:E108" si="23">(D102/$D$110)</f>
        <v>0.62123850931850211</v>
      </c>
      <c r="F102" s="392">
        <v>633.73</v>
      </c>
      <c r="G102" s="392">
        <v>633.73</v>
      </c>
      <c r="H102" s="401">
        <v>6.1999999999999998E-3</v>
      </c>
      <c r="I102" s="393">
        <v>197230770544.98999</v>
      </c>
      <c r="J102" s="205">
        <f>(I102/$I$110)</f>
        <v>0.61903808484747902</v>
      </c>
      <c r="K102" s="392">
        <v>634.65</v>
      </c>
      <c r="L102" s="392">
        <v>634.65</v>
      </c>
      <c r="M102" s="359">
        <v>7.6E-3</v>
      </c>
      <c r="N102" s="84">
        <f t="shared" ref="N102:N110" si="24">((I102-D102)/D102)</f>
        <v>6.5722088687054396E-3</v>
      </c>
      <c r="O102" s="84">
        <f t="shared" ref="O102:O107" si="25">((L102-G102)/G102)</f>
        <v>1.4517223423223754E-3</v>
      </c>
      <c r="P102" s="242">
        <f t="shared" ref="P102:P110" si="26">M102-H102</f>
        <v>1.4000000000000002E-3</v>
      </c>
      <c r="Q102" s="121"/>
      <c r="R102"/>
      <c r="S102" s="466"/>
      <c r="T102" s="142"/>
    </row>
    <row r="103" spans="1:41" s="123" customFormat="1" ht="12.95" customHeight="1">
      <c r="A103" s="430">
        <v>86</v>
      </c>
      <c r="B103" s="431" t="s">
        <v>265</v>
      </c>
      <c r="C103" s="432" t="s">
        <v>133</v>
      </c>
      <c r="D103" s="392">
        <v>4071477187.6900001</v>
      </c>
      <c r="E103" s="205">
        <f t="shared" si="23"/>
        <v>1.2908644445295957E-2</v>
      </c>
      <c r="F103" s="392">
        <v>459.7</v>
      </c>
      <c r="G103" s="392">
        <v>459.7</v>
      </c>
      <c r="H103" s="401">
        <v>1.43E-2</v>
      </c>
      <c r="I103" s="392">
        <v>4183159164.9699998</v>
      </c>
      <c r="J103" s="205">
        <f t="shared" ref="J103:J109" si="27">(I103/$I$110)</f>
        <v>1.3129466720328579E-2</v>
      </c>
      <c r="K103" s="392">
        <v>459.99</v>
      </c>
      <c r="L103" s="392">
        <v>459.99</v>
      </c>
      <c r="M103" s="359">
        <v>6.9999999999999999E-4</v>
      </c>
      <c r="N103" s="84">
        <f t="shared" si="24"/>
        <v>2.7430333545197586E-2</v>
      </c>
      <c r="O103" s="84">
        <f t="shared" si="25"/>
        <v>6.308462040461616E-4</v>
      </c>
      <c r="P103" s="242">
        <f t="shared" si="26"/>
        <v>-1.3600000000000001E-2</v>
      </c>
      <c r="Q103" s="121"/>
      <c r="S103" s="466"/>
      <c r="T103" s="143"/>
    </row>
    <row r="104" spans="1:41" s="123" customFormat="1" ht="12.75" customHeight="1">
      <c r="A104" s="430">
        <v>87</v>
      </c>
      <c r="B104" s="431" t="s">
        <v>94</v>
      </c>
      <c r="C104" s="432" t="s">
        <v>152</v>
      </c>
      <c r="D104" s="392">
        <v>6106876197.4099998</v>
      </c>
      <c r="E104" s="205">
        <f t="shared" si="23"/>
        <v>1.9361890014305265E-2</v>
      </c>
      <c r="F104" s="392">
        <v>52996.639999999999</v>
      </c>
      <c r="G104" s="392">
        <v>52996.639999999999</v>
      </c>
      <c r="H104" s="401">
        <v>5.5010000000000003E-2</v>
      </c>
      <c r="I104" s="392">
        <v>6232916362.9099998</v>
      </c>
      <c r="J104" s="205">
        <f t="shared" si="27"/>
        <v>1.9562934311156001E-2</v>
      </c>
      <c r="K104" s="392">
        <v>53784.13</v>
      </c>
      <c r="L104" s="392">
        <v>53784.13</v>
      </c>
      <c r="M104" s="401">
        <v>5.5390000000000002E-2</v>
      </c>
      <c r="N104" s="84">
        <f t="shared" si="24"/>
        <v>2.0639056929540371E-2</v>
      </c>
      <c r="O104" s="84">
        <f t="shared" si="25"/>
        <v>1.4859243906783486E-2</v>
      </c>
      <c r="P104" s="242">
        <f t="shared" si="26"/>
        <v>3.7999999999999839E-4</v>
      </c>
      <c r="Q104" s="121"/>
      <c r="R104" s="189"/>
      <c r="S104" s="190"/>
      <c r="T104" s="191"/>
      <c r="U104" s="198"/>
      <c r="V104" s="196"/>
      <c r="W104" s="153"/>
    </row>
    <row r="105" spans="1:41" s="123" customFormat="1" ht="12.95" customHeight="1" thickBot="1">
      <c r="A105" s="430">
        <v>88</v>
      </c>
      <c r="B105" s="431" t="s">
        <v>157</v>
      </c>
      <c r="C105" s="432" t="s">
        <v>158</v>
      </c>
      <c r="D105" s="392">
        <v>375190911.54000002</v>
      </c>
      <c r="E105" s="205">
        <f t="shared" si="23"/>
        <v>1.1895451829669215E-3</v>
      </c>
      <c r="F105" s="393">
        <v>44789.85</v>
      </c>
      <c r="G105" s="393">
        <v>44789.85</v>
      </c>
      <c r="H105" s="401">
        <v>2.3199999999999998E-2</v>
      </c>
      <c r="I105" s="392">
        <v>371544378.24000001</v>
      </c>
      <c r="J105" s="205">
        <f>(I105/$I$87)</f>
        <v>1.0981076923411407E-3</v>
      </c>
      <c r="K105" s="393">
        <v>44352.58</v>
      </c>
      <c r="L105" s="393">
        <v>44352.58</v>
      </c>
      <c r="M105" s="359">
        <v>1.32E-2</v>
      </c>
      <c r="N105" s="84">
        <f t="shared" si="24"/>
        <v>-9.7191408102945114E-3</v>
      </c>
      <c r="O105" s="84">
        <f t="shared" si="25"/>
        <v>-9.7627029338119425E-3</v>
      </c>
      <c r="P105" s="242">
        <f t="shared" si="26"/>
        <v>-9.9999999999999985E-3</v>
      </c>
      <c r="Q105" s="121"/>
      <c r="R105" s="178"/>
      <c r="S105" s="172"/>
      <c r="T105" s="191"/>
      <c r="U105" s="198"/>
      <c r="V105" s="196"/>
      <c r="W105" s="154"/>
    </row>
    <row r="106" spans="1:41" s="123" customFormat="1" ht="12.75" customHeight="1">
      <c r="A106" s="430">
        <v>89</v>
      </c>
      <c r="B106" s="431" t="s">
        <v>9</v>
      </c>
      <c r="C106" s="432" t="s">
        <v>163</v>
      </c>
      <c r="D106" s="392">
        <v>1780308825.2450969</v>
      </c>
      <c r="E106" s="205">
        <f t="shared" si="23"/>
        <v>5.6444805087929872E-3</v>
      </c>
      <c r="F106" s="392">
        <v>524.71771100104058</v>
      </c>
      <c r="G106" s="392">
        <v>524.71771100104058</v>
      </c>
      <c r="H106" s="401">
        <v>5.7842999999999999E-2</v>
      </c>
      <c r="I106" s="392">
        <v>1867520833.8013735</v>
      </c>
      <c r="J106" s="205">
        <f t="shared" si="27"/>
        <v>5.8614916788831432E-3</v>
      </c>
      <c r="K106" s="358">
        <v>525.0532684556332</v>
      </c>
      <c r="L106" s="392">
        <v>525.0532684556332</v>
      </c>
      <c r="M106" s="359">
        <v>5.8234313097560178E-2</v>
      </c>
      <c r="N106" s="84">
        <f t="shared" si="24"/>
        <v>4.8987011309271015E-2</v>
      </c>
      <c r="O106" s="84">
        <f t="shared" si="25"/>
        <v>6.3950091174252738E-4</v>
      </c>
      <c r="P106" s="242">
        <f t="shared" si="26"/>
        <v>3.9131309756017946E-4</v>
      </c>
      <c r="Q106" s="121"/>
      <c r="S106" s="196"/>
      <c r="T106" s="196"/>
      <c r="U106" s="196"/>
      <c r="V106" s="198"/>
    </row>
    <row r="107" spans="1:41" s="123" customFormat="1" ht="12.75" customHeight="1">
      <c r="A107" s="430">
        <v>90</v>
      </c>
      <c r="B107" s="431" t="s">
        <v>171</v>
      </c>
      <c r="C107" s="432" t="s">
        <v>173</v>
      </c>
      <c r="D107" s="392">
        <v>102211691.23999999</v>
      </c>
      <c r="E107" s="205">
        <f t="shared" si="23"/>
        <v>3.2406282033428668E-4</v>
      </c>
      <c r="F107" s="392">
        <v>401.44</v>
      </c>
      <c r="G107" s="392">
        <v>401.44</v>
      </c>
      <c r="H107" s="401">
        <v>-4.1831E-2</v>
      </c>
      <c r="I107" s="392">
        <v>100568783.12800001</v>
      </c>
      <c r="J107" s="205">
        <f t="shared" si="27"/>
        <v>3.1565007189787101E-4</v>
      </c>
      <c r="K107" s="392">
        <v>392.02</v>
      </c>
      <c r="L107" s="392">
        <v>392.02</v>
      </c>
      <c r="M107" s="401">
        <v>-1.5604E-2</v>
      </c>
      <c r="N107" s="84">
        <f t="shared" si="24"/>
        <v>-1.6073583090825967E-2</v>
      </c>
      <c r="O107" s="84">
        <f t="shared" si="25"/>
        <v>-2.3465524113192547E-2</v>
      </c>
      <c r="P107" s="242">
        <f t="shared" si="26"/>
        <v>2.6227E-2</v>
      </c>
      <c r="Q107" s="121"/>
      <c r="S107" s="196"/>
      <c r="T107" s="196"/>
      <c r="U107" s="196"/>
      <c r="V107" s="198"/>
    </row>
    <row r="108" spans="1:41" s="123" customFormat="1" ht="12.75" customHeight="1">
      <c r="A108" s="430">
        <v>91</v>
      </c>
      <c r="B108" s="434" t="s">
        <v>12</v>
      </c>
      <c r="C108" s="431" t="s">
        <v>208</v>
      </c>
      <c r="D108" s="393">
        <v>4187987405.4299998</v>
      </c>
      <c r="E108" s="205">
        <f t="shared" si="23"/>
        <v>1.3278040835283587E-2</v>
      </c>
      <c r="F108" s="392">
        <f>1.0582*460.2</f>
        <v>486.98363999999998</v>
      </c>
      <c r="G108" s="392">
        <f>1.0582*460.2</f>
        <v>486.98363999999998</v>
      </c>
      <c r="H108" s="401">
        <v>7.0800000000000002E-2</v>
      </c>
      <c r="I108" s="393">
        <v>4201185579.1900001</v>
      </c>
      <c r="J108" s="205">
        <f t="shared" si="27"/>
        <v>1.3186045300357352E-2</v>
      </c>
      <c r="K108" s="392">
        <f>1.0597*460.99</f>
        <v>488.51110300000005</v>
      </c>
      <c r="L108" s="392">
        <f>1.0597*460.99</f>
        <v>488.51110300000005</v>
      </c>
      <c r="M108" s="359">
        <v>7.2300000000000003E-2</v>
      </c>
      <c r="N108" s="84">
        <f t="shared" si="24"/>
        <v>3.1514358765472724E-3</v>
      </c>
      <c r="O108" s="84">
        <f>((L108-G108)/G108)</f>
        <v>3.1365797011169995E-3</v>
      </c>
      <c r="P108" s="242">
        <f t="shared" si="26"/>
        <v>1.5000000000000013E-3</v>
      </c>
      <c r="Q108" s="121"/>
      <c r="R108"/>
      <c r="S108" s="319"/>
      <c r="T108" s="319"/>
      <c r="U108" s="319"/>
      <c r="V108" s="320"/>
    </row>
    <row r="109" spans="1:41" s="123" customFormat="1" ht="12.95" customHeight="1">
      <c r="A109" s="430">
        <v>92</v>
      </c>
      <c r="B109" s="431" t="s">
        <v>86</v>
      </c>
      <c r="C109" s="431" t="s">
        <v>248</v>
      </c>
      <c r="D109" s="393">
        <f>6177462.23 *406.2</f>
        <v>2509285157.8260002</v>
      </c>
      <c r="E109" s="205">
        <f>(D109/$I$110)</f>
        <v>7.8757643857730649E-3</v>
      </c>
      <c r="F109" s="392">
        <f>124.35 *406.2</f>
        <v>50510.969999999994</v>
      </c>
      <c r="G109" s="392">
        <f>125.23*460.2</f>
        <v>57630.845999999998</v>
      </c>
      <c r="H109" s="401">
        <v>3.7000000000000002E-3</v>
      </c>
      <c r="I109" s="393">
        <f>6110908.44 *406.99</f>
        <v>2487078625.9956002</v>
      </c>
      <c r="J109" s="205">
        <f t="shared" si="27"/>
        <v>7.806065885395003E-3</v>
      </c>
      <c r="K109" s="358">
        <f>124.45 *406.99</f>
        <v>50649.905500000001</v>
      </c>
      <c r="L109" s="358">
        <f>125.33*460.99</f>
        <v>57775.876700000001</v>
      </c>
      <c r="M109" s="359">
        <v>4.4999999999999997E-3</v>
      </c>
      <c r="N109" s="84">
        <f t="shared" si="24"/>
        <v>-8.849744223426298E-3</v>
      </c>
      <c r="O109" s="84">
        <f>((L109-G109)/G109)</f>
        <v>2.5165464341787205E-3</v>
      </c>
      <c r="P109" s="242">
        <f t="shared" si="26"/>
        <v>7.999999999999995E-4</v>
      </c>
      <c r="Q109" s="121"/>
      <c r="S109" s="196"/>
      <c r="T109" s="196"/>
      <c r="U109" s="196"/>
      <c r="V109" s="198"/>
    </row>
    <row r="110" spans="1:41" s="123" customFormat="1" ht="13.5" customHeight="1">
      <c r="A110" s="229"/>
      <c r="B110" s="118"/>
      <c r="C110" s="312" t="s">
        <v>46</v>
      </c>
      <c r="D110" s="82">
        <f>SUM(D91:D109)</f>
        <v>315407028595.76306</v>
      </c>
      <c r="E110" s="285">
        <f>(D110/$D$166)</f>
        <v>0.21155166347756624</v>
      </c>
      <c r="F110" s="287"/>
      <c r="G110" s="77"/>
      <c r="H110" s="301"/>
      <c r="I110" s="82">
        <f>SUM(I91:I109)</f>
        <v>318608459435.22919</v>
      </c>
      <c r="J110" s="285">
        <f>(I110/$I$166)</f>
        <v>0.21060147772329316</v>
      </c>
      <c r="K110" s="287"/>
      <c r="L110" s="77"/>
      <c r="M110" s="303"/>
      <c r="N110" s="289">
        <f t="shared" si="24"/>
        <v>1.0150156937590613E-2</v>
      </c>
      <c r="O110" s="289"/>
      <c r="P110" s="290">
        <f t="shared" si="26"/>
        <v>0</v>
      </c>
      <c r="Q110" s="121"/>
      <c r="S110" s="196"/>
      <c r="T110" s="196"/>
      <c r="U110" s="196"/>
      <c r="V110" s="196"/>
    </row>
    <row r="111" spans="1:41" s="123" customFormat="1" ht="4.5" customHeight="1">
      <c r="A111" s="447"/>
      <c r="B111" s="448"/>
      <c r="C111" s="448"/>
      <c r="D111" s="448"/>
      <c r="E111" s="448"/>
      <c r="F111" s="448"/>
      <c r="G111" s="448"/>
      <c r="H111" s="448"/>
      <c r="I111" s="448"/>
      <c r="J111" s="448"/>
      <c r="K111" s="448"/>
      <c r="L111" s="448"/>
      <c r="M111" s="448"/>
      <c r="N111" s="448"/>
      <c r="O111" s="448"/>
      <c r="P111" s="449"/>
      <c r="Q111" s="121"/>
      <c r="R111" s="129"/>
      <c r="S111" s="144"/>
    </row>
    <row r="112" spans="1:41" s="123" customFormat="1" ht="12.95" customHeight="1">
      <c r="A112" s="444" t="s">
        <v>231</v>
      </c>
      <c r="B112" s="445"/>
      <c r="C112" s="445"/>
      <c r="D112" s="445"/>
      <c r="E112" s="445"/>
      <c r="F112" s="445"/>
      <c r="G112" s="445"/>
      <c r="H112" s="445"/>
      <c r="I112" s="445"/>
      <c r="J112" s="445"/>
      <c r="K112" s="445"/>
      <c r="L112" s="445"/>
      <c r="M112" s="445"/>
      <c r="N112" s="445"/>
      <c r="O112" s="445"/>
      <c r="P112" s="446"/>
      <c r="Q112" s="121"/>
    </row>
    <row r="113" spans="1:21" s="123" customFormat="1" ht="12.95" customHeight="1">
      <c r="A113" s="430">
        <v>93</v>
      </c>
      <c r="B113" s="431" t="s">
        <v>24</v>
      </c>
      <c r="C113" s="432" t="s">
        <v>150</v>
      </c>
      <c r="D113" s="393">
        <v>2298704113.3499999</v>
      </c>
      <c r="E113" s="205">
        <f>(D113/$D$117)</f>
        <v>4.9659830592787176E-2</v>
      </c>
      <c r="F113" s="394">
        <v>77</v>
      </c>
      <c r="G113" s="394">
        <v>77</v>
      </c>
      <c r="H113" s="401">
        <v>9.9599999999999994E-2</v>
      </c>
      <c r="I113" s="393">
        <v>2300602399.3400002</v>
      </c>
      <c r="J113" s="205">
        <f>(I113/$I$117)</f>
        <v>4.9654069262738694E-2</v>
      </c>
      <c r="K113" s="361">
        <v>77</v>
      </c>
      <c r="L113" s="361">
        <v>77</v>
      </c>
      <c r="M113" s="362">
        <v>9.8799999999999999E-2</v>
      </c>
      <c r="N113" s="84">
        <f>((I113-D113)/D113)</f>
        <v>8.2580701838732716E-4</v>
      </c>
      <c r="O113" s="84">
        <f>((L113-G113)/G113)</f>
        <v>0</v>
      </c>
      <c r="P113" s="242">
        <f>M113-H113</f>
        <v>-7.9999999999999516E-4</v>
      </c>
      <c r="Q113" s="121"/>
    </row>
    <row r="114" spans="1:21" s="123" customFormat="1" ht="12.95" customHeight="1">
      <c r="A114" s="430">
        <v>94</v>
      </c>
      <c r="B114" s="431" t="s">
        <v>24</v>
      </c>
      <c r="C114" s="432" t="s">
        <v>25</v>
      </c>
      <c r="D114" s="393">
        <v>10032401869.309999</v>
      </c>
      <c r="E114" s="205">
        <f>(D114/$D$117)</f>
        <v>0.2167340173862729</v>
      </c>
      <c r="F114" s="394">
        <v>36.6</v>
      </c>
      <c r="G114" s="394">
        <v>36.6</v>
      </c>
      <c r="H114" s="401">
        <v>0.1096</v>
      </c>
      <c r="I114" s="393">
        <v>10055995878.450001</v>
      </c>
      <c r="J114" s="205">
        <f>(I114/$I$117)</f>
        <v>0.21703929196875441</v>
      </c>
      <c r="K114" s="361">
        <v>36.6</v>
      </c>
      <c r="L114" s="361">
        <v>36.6</v>
      </c>
      <c r="M114" s="362">
        <v>0.1096</v>
      </c>
      <c r="N114" s="84">
        <f>((I114-D114)/D114)</f>
        <v>2.3517807048955494E-3</v>
      </c>
      <c r="O114" s="84">
        <f>((L114-G114)/G114)</f>
        <v>0</v>
      </c>
      <c r="P114" s="242">
        <f>M114-H114</f>
        <v>0</v>
      </c>
      <c r="Q114" s="121"/>
      <c r="R114" s="145"/>
      <c r="S114" s="177"/>
    </row>
    <row r="115" spans="1:21" s="123" customFormat="1" ht="12.95" customHeight="1">
      <c r="A115" s="430">
        <v>95</v>
      </c>
      <c r="B115" s="431" t="s">
        <v>5</v>
      </c>
      <c r="C115" s="432" t="s">
        <v>198</v>
      </c>
      <c r="D115" s="393">
        <v>26446086162.439999</v>
      </c>
      <c r="E115" s="205">
        <f>(D115/$D$117)</f>
        <v>0.57132544856113876</v>
      </c>
      <c r="F115" s="394">
        <v>9.91</v>
      </c>
      <c r="G115" s="394">
        <v>9.91</v>
      </c>
      <c r="H115" s="401">
        <v>0.1333</v>
      </c>
      <c r="I115" s="393">
        <v>26464194970.98</v>
      </c>
      <c r="J115" s="205">
        <f>(I115/$I$117)</f>
        <v>0.57117864888284908</v>
      </c>
      <c r="K115" s="361">
        <v>9.92</v>
      </c>
      <c r="L115" s="361">
        <v>9.92</v>
      </c>
      <c r="M115" s="362">
        <v>8.3299999999999999E-2</v>
      </c>
      <c r="N115" s="84">
        <f>((I115-D115)/D115)</f>
        <v>6.8474436741871908E-4</v>
      </c>
      <c r="O115" s="84">
        <f>((L115-G115)/G115)</f>
        <v>1.0090817356205638E-3</v>
      </c>
      <c r="P115" s="242">
        <f>M115-H115</f>
        <v>-0.05</v>
      </c>
      <c r="Q115" s="121"/>
      <c r="R115" s="146"/>
      <c r="S115" s="124"/>
    </row>
    <row r="116" spans="1:21" s="147" customFormat="1" ht="12.95" customHeight="1">
      <c r="A116" s="430">
        <v>96</v>
      </c>
      <c r="B116" s="431" t="s">
        <v>12</v>
      </c>
      <c r="C116" s="432" t="s">
        <v>245</v>
      </c>
      <c r="D116" s="393">
        <v>7511812185.1700001</v>
      </c>
      <c r="E116" s="205">
        <f>(D116/$D$117)</f>
        <v>0.16228070345980122</v>
      </c>
      <c r="F116" s="394">
        <v>101.31</v>
      </c>
      <c r="G116" s="394">
        <v>101.31</v>
      </c>
      <c r="H116" s="401">
        <v>7.6999999999999999E-2</v>
      </c>
      <c r="I116" s="360">
        <v>7511812185.1700001</v>
      </c>
      <c r="J116" s="205">
        <f>(I116/$I$117)</f>
        <v>0.16212798988565782</v>
      </c>
      <c r="K116" s="361">
        <v>101.31</v>
      </c>
      <c r="L116" s="361">
        <v>101.31</v>
      </c>
      <c r="M116" s="362">
        <v>7.6999999999999999E-2</v>
      </c>
      <c r="N116" s="84">
        <f>((I116-D116)/D116)</f>
        <v>0</v>
      </c>
      <c r="O116" s="84">
        <f>((L116-G116)/G116)</f>
        <v>0</v>
      </c>
      <c r="P116" s="242">
        <f>M116-H116</f>
        <v>0</v>
      </c>
      <c r="Q116" s="121"/>
      <c r="R116" s="146"/>
      <c r="S116" s="172"/>
    </row>
    <row r="117" spans="1:21" s="123" customFormat="1" ht="12.75" customHeight="1">
      <c r="A117" s="229"/>
      <c r="B117" s="118"/>
      <c r="C117" s="266" t="s">
        <v>46</v>
      </c>
      <c r="D117" s="73">
        <f>SUM(D113:D116)</f>
        <v>46289004330.269997</v>
      </c>
      <c r="E117" s="285">
        <f>(D117/$D$166)</f>
        <v>3.1047234141821624E-2</v>
      </c>
      <c r="F117" s="75"/>
      <c r="G117" s="75"/>
      <c r="H117" s="268"/>
      <c r="I117" s="73">
        <f>SUM(I113:I116)</f>
        <v>46332605433.940002</v>
      </c>
      <c r="J117" s="285">
        <f>(I117/$I$166)</f>
        <v>3.0626039209551245E-2</v>
      </c>
      <c r="K117" s="287"/>
      <c r="L117" s="75"/>
      <c r="M117" s="288"/>
      <c r="N117" s="289">
        <f>((I117-D117)/D117)</f>
        <v>9.4193219968426742E-4</v>
      </c>
      <c r="O117" s="289"/>
      <c r="P117" s="290">
        <f>M117-H117</f>
        <v>0</v>
      </c>
      <c r="Q117" s="121"/>
      <c r="R117" s="172"/>
      <c r="S117" s="172"/>
      <c r="T117" s="192"/>
      <c r="U117" s="450"/>
    </row>
    <row r="118" spans="1:21" s="123" customFormat="1" ht="5.25" customHeight="1">
      <c r="A118" s="447"/>
      <c r="B118" s="448"/>
      <c r="C118" s="448"/>
      <c r="D118" s="448"/>
      <c r="E118" s="448"/>
      <c r="F118" s="448"/>
      <c r="G118" s="448"/>
      <c r="H118" s="448"/>
      <c r="I118" s="448"/>
      <c r="J118" s="448"/>
      <c r="K118" s="448"/>
      <c r="L118" s="448"/>
      <c r="M118" s="448"/>
      <c r="N118" s="448"/>
      <c r="O118" s="448"/>
      <c r="P118" s="449"/>
      <c r="Q118" s="121"/>
      <c r="R118" s="172"/>
      <c r="S118" s="172"/>
      <c r="T118" s="192"/>
      <c r="U118" s="450"/>
    </row>
    <row r="119" spans="1:21" s="123" customFormat="1" ht="12" customHeight="1">
      <c r="A119" s="441" t="s">
        <v>242</v>
      </c>
      <c r="B119" s="442"/>
      <c r="C119" s="442"/>
      <c r="D119" s="442"/>
      <c r="E119" s="442"/>
      <c r="F119" s="442"/>
      <c r="G119" s="442"/>
      <c r="H119" s="442"/>
      <c r="I119" s="442"/>
      <c r="J119" s="442"/>
      <c r="K119" s="442"/>
      <c r="L119" s="442"/>
      <c r="M119" s="442"/>
      <c r="N119" s="442"/>
      <c r="O119" s="442"/>
      <c r="P119" s="443"/>
      <c r="Q119" s="121"/>
      <c r="R119" s="196"/>
      <c r="S119" s="198"/>
      <c r="T119" s="192"/>
      <c r="U119" s="450"/>
    </row>
    <row r="120" spans="1:21" s="123" customFormat="1" ht="12" customHeight="1">
      <c r="A120" s="430">
        <v>97</v>
      </c>
      <c r="B120" s="431" t="s">
        <v>5</v>
      </c>
      <c r="C120" s="432" t="s">
        <v>26</v>
      </c>
      <c r="D120" s="393">
        <v>1573599523.54</v>
      </c>
      <c r="E120" s="205">
        <f>(D120/$D$144)</f>
        <v>5.0515956934870827E-2</v>
      </c>
      <c r="F120" s="392">
        <v>3792.17</v>
      </c>
      <c r="G120" s="392">
        <v>3823.71</v>
      </c>
      <c r="H120" s="401">
        <v>3.9899999999999998E-2</v>
      </c>
      <c r="I120" s="393">
        <v>1589219826.73</v>
      </c>
      <c r="J120" s="205">
        <f t="shared" ref="J120:J143" si="28">(I120/$I$144)</f>
        <v>5.0969351057402801E-2</v>
      </c>
      <c r="K120" s="392">
        <v>3794.83</v>
      </c>
      <c r="L120" s="392">
        <v>3825.99</v>
      </c>
      <c r="M120" s="374">
        <v>4.0500000000000001E-2</v>
      </c>
      <c r="N120" s="84">
        <f>((I120-D120)/D120)</f>
        <v>9.9264793591576084E-3</v>
      </c>
      <c r="O120" s="84">
        <f t="shared" ref="O120:O143" si="29">((L120-G120)/G120)</f>
        <v>5.9627952956676773E-4</v>
      </c>
      <c r="P120" s="242">
        <f t="shared" ref="P120:P144" si="30">M120-H120</f>
        <v>6.0000000000000331E-4</v>
      </c>
      <c r="Q120" s="121"/>
      <c r="R120" s="452"/>
      <c r="S120" s="178"/>
      <c r="T120" s="196"/>
    </row>
    <row r="121" spans="1:21" s="123" customFormat="1" ht="12" customHeight="1">
      <c r="A121" s="430">
        <v>98</v>
      </c>
      <c r="B121" s="431" t="s">
        <v>12</v>
      </c>
      <c r="C121" s="432" t="s">
        <v>254</v>
      </c>
      <c r="D121" s="393">
        <v>203347299.5</v>
      </c>
      <c r="E121" s="205">
        <f t="shared" ref="E121:E143" si="31">(D121/$D$144)</f>
        <v>6.5278892568901856E-3</v>
      </c>
      <c r="F121" s="392">
        <v>148.68</v>
      </c>
      <c r="G121" s="392">
        <v>150.49</v>
      </c>
      <c r="H121" s="401">
        <v>5.3800000000000001E-2</v>
      </c>
      <c r="I121" s="393">
        <v>203523727.40000001</v>
      </c>
      <c r="J121" s="206">
        <f t="shared" si="28"/>
        <v>6.5273992533218927E-3</v>
      </c>
      <c r="K121" s="373">
        <v>148.69</v>
      </c>
      <c r="L121" s="373">
        <v>150.49</v>
      </c>
      <c r="M121" s="374">
        <v>4.8500000000000001E-2</v>
      </c>
      <c r="N121" s="84">
        <f>((I121-D121)/D121)</f>
        <v>8.6761860341305369E-4</v>
      </c>
      <c r="O121" s="84">
        <f t="shared" si="29"/>
        <v>0</v>
      </c>
      <c r="P121" s="242">
        <f t="shared" si="30"/>
        <v>-5.2999999999999992E-3</v>
      </c>
      <c r="Q121" s="121"/>
      <c r="R121" s="452"/>
      <c r="U121" s="199"/>
    </row>
    <row r="122" spans="1:21" s="123" customFormat="1" ht="12" customHeight="1">
      <c r="A122" s="430">
        <v>99</v>
      </c>
      <c r="B122" s="431" t="s">
        <v>45</v>
      </c>
      <c r="C122" s="432" t="s">
        <v>80</v>
      </c>
      <c r="D122" s="392">
        <v>1198519067.8099999</v>
      </c>
      <c r="E122" s="205">
        <f t="shared" si="31"/>
        <v>3.847506097288958E-2</v>
      </c>
      <c r="F122" s="392">
        <v>1.5306999999999999</v>
      </c>
      <c r="G122" s="392">
        <v>1.5573999999999999</v>
      </c>
      <c r="H122" s="401">
        <v>0.1174</v>
      </c>
      <c r="I122" s="392">
        <v>1202742015.3299999</v>
      </c>
      <c r="J122" s="206">
        <f t="shared" si="28"/>
        <v>3.8574260766039363E-2</v>
      </c>
      <c r="K122" s="392">
        <v>1.5362</v>
      </c>
      <c r="L122" s="392">
        <v>1.5619000000000001</v>
      </c>
      <c r="M122" s="374">
        <v>0.12139999999999999</v>
      </c>
      <c r="N122" s="84">
        <f t="shared" ref="N122:N127" si="32">((I122-D122)/D122)</f>
        <v>3.5234712850387797E-3</v>
      </c>
      <c r="O122" s="84">
        <f t="shared" si="29"/>
        <v>2.8894311031206952E-3</v>
      </c>
      <c r="P122" s="242">
        <f t="shared" si="30"/>
        <v>3.9999999999999897E-3</v>
      </c>
      <c r="Q122" s="121"/>
      <c r="R122" s="198"/>
      <c r="S122" s="124"/>
      <c r="U122" s="199"/>
    </row>
    <row r="123" spans="1:21" s="123" customFormat="1" ht="12" customHeight="1">
      <c r="A123" s="430">
        <v>100</v>
      </c>
      <c r="B123" s="431" t="s">
        <v>7</v>
      </c>
      <c r="C123" s="432" t="s">
        <v>165</v>
      </c>
      <c r="D123" s="392">
        <v>4967832864.75</v>
      </c>
      <c r="E123" s="205">
        <f t="shared" si="31"/>
        <v>0.15947820732100512</v>
      </c>
      <c r="F123" s="392">
        <v>547.34109999999998</v>
      </c>
      <c r="G123" s="392">
        <v>563.84389999999996</v>
      </c>
      <c r="H123" s="377">
        <v>1.0106999999999999</v>
      </c>
      <c r="I123" s="392">
        <v>4986068493.75</v>
      </c>
      <c r="J123" s="206">
        <f t="shared" si="28"/>
        <v>0.15991285231893587</v>
      </c>
      <c r="K123" s="392">
        <v>549.18520000000001</v>
      </c>
      <c r="L123" s="392">
        <v>565.74350000000004</v>
      </c>
      <c r="M123" s="377">
        <v>0.1757</v>
      </c>
      <c r="N123" s="84">
        <f>((I123-D123)/D123)</f>
        <v>3.6707412460257327E-3</v>
      </c>
      <c r="O123" s="84">
        <f t="shared" si="29"/>
        <v>3.3690175596474093E-3</v>
      </c>
      <c r="P123" s="242">
        <f t="shared" si="30"/>
        <v>-0.83499999999999996</v>
      </c>
      <c r="Q123" s="121"/>
      <c r="R123" s="198"/>
      <c r="S123" s="124"/>
      <c r="U123" s="199"/>
    </row>
    <row r="124" spans="1:21" s="123" customFormat="1" ht="12" customHeight="1">
      <c r="A124" s="430">
        <v>101</v>
      </c>
      <c r="B124" s="431" t="s">
        <v>15</v>
      </c>
      <c r="C124" s="432" t="s">
        <v>263</v>
      </c>
      <c r="D124" s="392">
        <v>2621902464.75</v>
      </c>
      <c r="E124" s="205">
        <f t="shared" si="31"/>
        <v>8.4168754511812063E-2</v>
      </c>
      <c r="F124" s="392">
        <v>14.302899999999999</v>
      </c>
      <c r="G124" s="392">
        <v>14.436</v>
      </c>
      <c r="H124" s="401">
        <v>3.1199999999999999E-2</v>
      </c>
      <c r="I124" s="392">
        <v>2629579933.9899998</v>
      </c>
      <c r="J124" s="370">
        <f t="shared" si="28"/>
        <v>8.4335710223812241E-2</v>
      </c>
      <c r="K124" s="392">
        <v>14.4056</v>
      </c>
      <c r="L124" s="392">
        <v>14.540699999999999</v>
      </c>
      <c r="M124" s="401">
        <v>3.8699999999999998E-2</v>
      </c>
      <c r="N124" s="84">
        <f>((I124-D124)/D124)</f>
        <v>2.9282055084882126E-3</v>
      </c>
      <c r="O124" s="84">
        <f t="shared" si="29"/>
        <v>7.252701579384826E-3</v>
      </c>
      <c r="P124" s="242">
        <f t="shared" si="30"/>
        <v>7.4999999999999997E-3</v>
      </c>
      <c r="Q124" s="121"/>
      <c r="R124" s="198"/>
      <c r="S124" s="124"/>
      <c r="U124" s="199"/>
    </row>
    <row r="125" spans="1:21" s="123" customFormat="1" ht="12" customHeight="1">
      <c r="A125" s="430">
        <v>102</v>
      </c>
      <c r="B125" s="431" t="s">
        <v>201</v>
      </c>
      <c r="C125" s="432" t="s">
        <v>207</v>
      </c>
      <c r="D125" s="392">
        <v>5172019010.4799995</v>
      </c>
      <c r="E125" s="205">
        <f t="shared" si="31"/>
        <v>0.16603302536085165</v>
      </c>
      <c r="F125" s="392">
        <v>210.83</v>
      </c>
      <c r="G125" s="392">
        <v>212.34</v>
      </c>
      <c r="H125" s="401">
        <v>2.46E-2</v>
      </c>
      <c r="I125" s="392">
        <v>5149407304.21</v>
      </c>
      <c r="J125" s="206">
        <f t="shared" si="28"/>
        <v>0.16515144362745518</v>
      </c>
      <c r="K125" s="392">
        <v>210.58</v>
      </c>
      <c r="L125" s="392">
        <v>212.09</v>
      </c>
      <c r="M125" s="401">
        <v>-1.1999999999999999E-3</v>
      </c>
      <c r="N125" s="84">
        <f t="shared" si="32"/>
        <v>-4.3719302315365968E-3</v>
      </c>
      <c r="O125" s="84">
        <f t="shared" si="29"/>
        <v>-1.1773570688518413E-3</v>
      </c>
      <c r="P125" s="242">
        <f t="shared" si="30"/>
        <v>-2.58E-2</v>
      </c>
      <c r="Q125" s="121"/>
      <c r="S125" s="124"/>
      <c r="U125" s="199"/>
    </row>
    <row r="126" spans="1:21" s="123" customFormat="1" ht="12" customHeight="1">
      <c r="A126" s="430">
        <v>103</v>
      </c>
      <c r="B126" s="431" t="s">
        <v>113</v>
      </c>
      <c r="C126" s="432" t="s">
        <v>168</v>
      </c>
      <c r="D126" s="392">
        <v>4466328069.54</v>
      </c>
      <c r="E126" s="205">
        <f t="shared" si="31"/>
        <v>0.14337881592028345</v>
      </c>
      <c r="F126" s="392">
        <v>197.23419999999999</v>
      </c>
      <c r="G126" s="392">
        <v>201.97900000000001</v>
      </c>
      <c r="H126" s="401">
        <v>1.11E-2</v>
      </c>
      <c r="I126" s="392">
        <v>4428331905.9099998</v>
      </c>
      <c r="J126" s="206">
        <f t="shared" si="28"/>
        <v>0.14202516210450677</v>
      </c>
      <c r="K126" s="392">
        <v>195.56209999999999</v>
      </c>
      <c r="L126" s="392">
        <v>200.25700000000001</v>
      </c>
      <c r="M126" s="401">
        <v>2.5000000000000001E-3</v>
      </c>
      <c r="N126" s="84">
        <f>((I126-D126)/D126)</f>
        <v>-8.5072486925290847E-3</v>
      </c>
      <c r="O126" s="84">
        <f t="shared" si="29"/>
        <v>-8.5256388040341243E-3</v>
      </c>
      <c r="P126" s="242">
        <f t="shared" si="30"/>
        <v>-8.6E-3</v>
      </c>
      <c r="Q126" s="121"/>
      <c r="S126" s="124"/>
    </row>
    <row r="127" spans="1:21" s="123" customFormat="1" ht="12" customHeight="1">
      <c r="A127" s="430">
        <v>104</v>
      </c>
      <c r="B127" s="431" t="s">
        <v>9</v>
      </c>
      <c r="C127" s="432" t="s">
        <v>182</v>
      </c>
      <c r="D127" s="393">
        <v>2316028075.9534702</v>
      </c>
      <c r="E127" s="205">
        <f t="shared" si="31"/>
        <v>7.4349523366415329E-2</v>
      </c>
      <c r="F127" s="392">
        <v>4339.4289395775704</v>
      </c>
      <c r="G127" s="392">
        <v>4371.0717596189597</v>
      </c>
      <c r="H127" s="401">
        <v>0.33546044531056574</v>
      </c>
      <c r="I127" s="364">
        <v>2323400695.4302802</v>
      </c>
      <c r="J127" s="206">
        <f t="shared" si="28"/>
        <v>7.4515950342796136E-2</v>
      </c>
      <c r="K127" s="373">
        <v>4354.4877473193701</v>
      </c>
      <c r="L127" s="392">
        <v>4386.2195132859497</v>
      </c>
      <c r="M127" s="374">
        <v>0.18094760203605262</v>
      </c>
      <c r="N127" s="84">
        <f t="shared" si="32"/>
        <v>3.1833031530823707E-3</v>
      </c>
      <c r="O127" s="84">
        <f t="shared" si="29"/>
        <v>3.4654552704736275E-3</v>
      </c>
      <c r="P127" s="242">
        <f t="shared" si="30"/>
        <v>-0.15451284327451312</v>
      </c>
      <c r="Q127" s="121"/>
      <c r="S127" s="122"/>
    </row>
    <row r="128" spans="1:21" s="123" customFormat="1" ht="11.25" customHeight="1">
      <c r="A128" s="430">
        <v>105</v>
      </c>
      <c r="B128" s="431" t="s">
        <v>191</v>
      </c>
      <c r="C128" s="432" t="s">
        <v>197</v>
      </c>
      <c r="D128" s="392">
        <v>1906203341.72</v>
      </c>
      <c r="E128" s="205">
        <f t="shared" si="31"/>
        <v>6.119326072418365E-2</v>
      </c>
      <c r="F128" s="392">
        <v>1.3075000000000001</v>
      </c>
      <c r="G128" s="392">
        <v>1.3318000000000001</v>
      </c>
      <c r="H128" s="401">
        <v>0.12859999999999999</v>
      </c>
      <c r="I128" s="363">
        <v>1923471802</v>
      </c>
      <c r="J128" s="206">
        <f t="shared" si="28"/>
        <v>6.1689457856108992E-2</v>
      </c>
      <c r="K128" s="373">
        <v>1.3182</v>
      </c>
      <c r="L128" s="373">
        <v>1.3427</v>
      </c>
      <c r="M128" s="374">
        <v>0.13869999999999999</v>
      </c>
      <c r="N128" s="84">
        <f t="shared" ref="N128:N135" si="33">((I128-D128)/D128)</f>
        <v>9.0590861436736034E-3</v>
      </c>
      <c r="O128" s="84">
        <f t="shared" si="29"/>
        <v>8.1844120738849002E-3</v>
      </c>
      <c r="P128" s="242">
        <f t="shared" si="30"/>
        <v>1.0099999999999998E-2</v>
      </c>
      <c r="Q128" s="121"/>
    </row>
    <row r="129" spans="1:20" s="123" customFormat="1" ht="12" customHeight="1">
      <c r="A129" s="430">
        <v>106</v>
      </c>
      <c r="B129" s="431" t="s">
        <v>61</v>
      </c>
      <c r="C129" s="432" t="s">
        <v>31</v>
      </c>
      <c r="D129" s="393">
        <v>1157423183.53</v>
      </c>
      <c r="E129" s="205">
        <f t="shared" si="31"/>
        <v>3.7155793974245149E-2</v>
      </c>
      <c r="F129" s="392">
        <v>552.20000000000005</v>
      </c>
      <c r="G129" s="392">
        <v>552.20000000000005</v>
      </c>
      <c r="H129" s="401">
        <v>-1.6999999999999999E-3</v>
      </c>
      <c r="I129" s="393">
        <v>1153393675</v>
      </c>
      <c r="J129" s="370">
        <f t="shared" si="28"/>
        <v>3.6991564124533589E-2</v>
      </c>
      <c r="K129" s="373">
        <v>552.20000000000005</v>
      </c>
      <c r="L129" s="373">
        <v>552.20000000000005</v>
      </c>
      <c r="M129" s="374">
        <v>-3.49E-3</v>
      </c>
      <c r="N129" s="84">
        <f t="shared" si="33"/>
        <v>-3.4814479158007364E-3</v>
      </c>
      <c r="O129" s="84">
        <f t="shared" si="29"/>
        <v>0</v>
      </c>
      <c r="P129" s="242">
        <f t="shared" si="30"/>
        <v>-1.7900000000000001E-3</v>
      </c>
      <c r="Q129" s="121"/>
    </row>
    <row r="130" spans="1:20" s="123" customFormat="1" ht="12" customHeight="1">
      <c r="A130" s="430">
        <v>107</v>
      </c>
      <c r="B130" s="431" t="s">
        <v>265</v>
      </c>
      <c r="C130" s="432" t="s">
        <v>56</v>
      </c>
      <c r="D130" s="393">
        <v>2237071708.4200001</v>
      </c>
      <c r="E130" s="205">
        <f t="shared" si="31"/>
        <v>7.1814852757795741E-2</v>
      </c>
      <c r="F130" s="392">
        <v>3.16</v>
      </c>
      <c r="G130" s="392">
        <v>3.21</v>
      </c>
      <c r="H130" s="401">
        <v>7.4000000000000003E-3</v>
      </c>
      <c r="I130" s="393">
        <v>2253799556.8099999</v>
      </c>
      <c r="J130" s="206">
        <f t="shared" si="28"/>
        <v>7.228370732099125E-2</v>
      </c>
      <c r="K130" s="373">
        <v>3.18</v>
      </c>
      <c r="L130" s="373">
        <v>3.24</v>
      </c>
      <c r="M130" s="374">
        <v>7.3000000000000001E-3</v>
      </c>
      <c r="N130" s="84">
        <f t="shared" si="33"/>
        <v>7.4775646784315279E-3</v>
      </c>
      <c r="O130" s="84">
        <f t="shared" si="29"/>
        <v>9.3457943925234419E-3</v>
      </c>
      <c r="P130" s="242">
        <f t="shared" si="30"/>
        <v>-1.0000000000000026E-4</v>
      </c>
      <c r="Q130" s="121"/>
    </row>
    <row r="131" spans="1:20" s="123" customFormat="1" ht="12" customHeight="1">
      <c r="A131" s="430">
        <v>108</v>
      </c>
      <c r="B131" s="431" t="s">
        <v>96</v>
      </c>
      <c r="C131" s="432" t="s">
        <v>52</v>
      </c>
      <c r="D131" s="392">
        <v>159451728.80000001</v>
      </c>
      <c r="E131" s="205">
        <f t="shared" si="31"/>
        <v>5.1187462532596229E-3</v>
      </c>
      <c r="F131" s="392">
        <v>1.619521</v>
      </c>
      <c r="G131" s="392">
        <v>1.668471</v>
      </c>
      <c r="H131" s="401">
        <v>3.4000000000000002E-2</v>
      </c>
      <c r="I131" s="392">
        <v>159574293.08000001</v>
      </c>
      <c r="J131" s="206">
        <f t="shared" si="28"/>
        <v>5.1178559611018649E-3</v>
      </c>
      <c r="K131" s="392">
        <v>1.6207659999999999</v>
      </c>
      <c r="L131" s="392">
        <v>1.668658</v>
      </c>
      <c r="M131" s="374">
        <v>6.08E-2</v>
      </c>
      <c r="N131" s="84">
        <f t="shared" si="33"/>
        <v>7.6866071583164407E-4</v>
      </c>
      <c r="O131" s="84">
        <f t="shared" si="29"/>
        <v>1.1207866363870706E-4</v>
      </c>
      <c r="P131" s="242">
        <f t="shared" si="30"/>
        <v>2.6799999999999997E-2</v>
      </c>
      <c r="Q131" s="121"/>
    </row>
    <row r="132" spans="1:20" s="123" customFormat="1" ht="12" customHeight="1">
      <c r="A132" s="430">
        <v>109</v>
      </c>
      <c r="B132" s="431" t="s">
        <v>45</v>
      </c>
      <c r="C132" s="432" t="s">
        <v>262</v>
      </c>
      <c r="D132" s="392">
        <v>667911648.46000004</v>
      </c>
      <c r="E132" s="205">
        <f t="shared" si="31"/>
        <v>2.1441412230477387E-2</v>
      </c>
      <c r="F132" s="392">
        <v>1.2038</v>
      </c>
      <c r="G132" s="392">
        <v>1.2177</v>
      </c>
      <c r="H132" s="401">
        <v>3.5900000000000001E-2</v>
      </c>
      <c r="I132" s="392">
        <v>669852946.48000002</v>
      </c>
      <c r="J132" s="206">
        <f t="shared" si="28"/>
        <v>2.1483478504182613E-2</v>
      </c>
      <c r="K132" s="392">
        <v>1.2073</v>
      </c>
      <c r="L132" s="392">
        <v>1.2262999999999999</v>
      </c>
      <c r="M132" s="374">
        <v>3.8899999999999997E-2</v>
      </c>
      <c r="N132" s="84">
        <f t="shared" si="33"/>
        <v>2.9065191847993973E-3</v>
      </c>
      <c r="O132" s="84">
        <f t="shared" si="29"/>
        <v>7.0624948673728679E-3</v>
      </c>
      <c r="P132" s="242">
        <f t="shared" si="30"/>
        <v>2.9999999999999957E-3</v>
      </c>
      <c r="Q132" s="121"/>
    </row>
    <row r="133" spans="1:20" s="123" customFormat="1" ht="12" customHeight="1">
      <c r="A133" s="430">
        <v>110</v>
      </c>
      <c r="B133" s="431" t="s">
        <v>114</v>
      </c>
      <c r="C133" s="432" t="s">
        <v>116</v>
      </c>
      <c r="D133" s="392">
        <v>125482699.62</v>
      </c>
      <c r="E133" s="205">
        <f t="shared" si="31"/>
        <v>4.028266757360976E-3</v>
      </c>
      <c r="F133" s="392">
        <v>1.2224999999999999</v>
      </c>
      <c r="G133" s="392">
        <v>1.2354000000000001</v>
      </c>
      <c r="H133" s="401">
        <v>1.77E-2</v>
      </c>
      <c r="I133" s="363">
        <v>125139728.48</v>
      </c>
      <c r="J133" s="206">
        <f t="shared" si="28"/>
        <v>4.0134729285685065E-3</v>
      </c>
      <c r="K133" s="373">
        <v>1.2190000000000001</v>
      </c>
      <c r="L133" s="373">
        <v>1.2319</v>
      </c>
      <c r="M133" s="374">
        <v>1.4800000000000001E-2</v>
      </c>
      <c r="N133" s="84">
        <f t="shared" si="33"/>
        <v>-2.7332145470142268E-3</v>
      </c>
      <c r="O133" s="84">
        <f t="shared" si="29"/>
        <v>-2.8330904970050659E-3</v>
      </c>
      <c r="P133" s="242">
        <f t="shared" si="30"/>
        <v>-2.8999999999999998E-3</v>
      </c>
      <c r="Q133" s="121"/>
    </row>
    <row r="134" spans="1:20" s="123" customFormat="1" ht="12" customHeight="1">
      <c r="A134" s="430">
        <v>111</v>
      </c>
      <c r="B134" s="431" t="s">
        <v>93</v>
      </c>
      <c r="C134" s="432" t="s">
        <v>255</v>
      </c>
      <c r="D134" s="392">
        <v>170786218.60334182</v>
      </c>
      <c r="E134" s="205">
        <f t="shared" si="31"/>
        <v>5.4826079539141053E-3</v>
      </c>
      <c r="F134" s="392">
        <v>111.56</v>
      </c>
      <c r="G134" s="392">
        <v>115.28</v>
      </c>
      <c r="H134" s="401">
        <v>0.15280000000000005</v>
      </c>
      <c r="I134" s="70">
        <v>170488132.43697751</v>
      </c>
      <c r="J134" s="206">
        <f t="shared" si="28"/>
        <v>5.467883880596474E-3</v>
      </c>
      <c r="K134" s="373">
        <v>111.37</v>
      </c>
      <c r="L134" s="373">
        <v>115.12</v>
      </c>
      <c r="M134" s="374">
        <v>3.6299999999999999E-2</v>
      </c>
      <c r="N134" s="84">
        <f t="shared" si="33"/>
        <v>-1.7453759958034427E-3</v>
      </c>
      <c r="O134" s="84">
        <f t="shared" si="29"/>
        <v>-1.3879250520471599E-3</v>
      </c>
      <c r="P134" s="242">
        <f t="shared" si="30"/>
        <v>-0.11650000000000005</v>
      </c>
      <c r="Q134" s="121"/>
      <c r="R134" s="241"/>
      <c r="S134" s="241"/>
      <c r="T134" s="122"/>
    </row>
    <row r="135" spans="1:20" s="123" customFormat="1" ht="12" customHeight="1">
      <c r="A135" s="430">
        <v>112</v>
      </c>
      <c r="B135" s="431" t="s">
        <v>40</v>
      </c>
      <c r="C135" s="432" t="s">
        <v>124</v>
      </c>
      <c r="D135" s="392">
        <v>172282013.24000001</v>
      </c>
      <c r="E135" s="205">
        <f t="shared" si="31"/>
        <v>5.5306262052661724E-3</v>
      </c>
      <c r="F135" s="392">
        <v>3.8862000000000001</v>
      </c>
      <c r="G135" s="392">
        <v>3.9502000000000002</v>
      </c>
      <c r="H135" s="401">
        <v>3.4472000000000003E-2</v>
      </c>
      <c r="I135" s="392">
        <v>172629512.06999999</v>
      </c>
      <c r="J135" s="206">
        <f t="shared" si="28"/>
        <v>5.5365620637067821E-3</v>
      </c>
      <c r="K135" s="392">
        <v>3.8940000000000001</v>
      </c>
      <c r="L135" s="392">
        <v>3.9582000000000002</v>
      </c>
      <c r="M135" s="401">
        <v>3.6547999999999997E-2</v>
      </c>
      <c r="N135" s="84">
        <f t="shared" si="33"/>
        <v>2.0170348805704686E-3</v>
      </c>
      <c r="O135" s="84">
        <f t="shared" si="29"/>
        <v>2.0252139132195856E-3</v>
      </c>
      <c r="P135" s="242">
        <f t="shared" si="30"/>
        <v>2.0759999999999945E-3</v>
      </c>
      <c r="Q135" s="121"/>
      <c r="S135" s="235"/>
      <c r="T135" s="122"/>
    </row>
    <row r="136" spans="1:20" s="123" customFormat="1" ht="12" customHeight="1">
      <c r="A136" s="430">
        <v>113</v>
      </c>
      <c r="B136" s="431" t="s">
        <v>94</v>
      </c>
      <c r="C136" s="432" t="s">
        <v>166</v>
      </c>
      <c r="D136" s="392">
        <v>361352560.54000002</v>
      </c>
      <c r="E136" s="205">
        <f t="shared" si="31"/>
        <v>1.1600200758499999E-2</v>
      </c>
      <c r="F136" s="392">
        <v>142.37</v>
      </c>
      <c r="G136" s="392">
        <v>143.27000000000001</v>
      </c>
      <c r="H136" s="401">
        <v>3.3950000000000001E-2</v>
      </c>
      <c r="I136" s="392">
        <v>363229135.31999999</v>
      </c>
      <c r="J136" s="206">
        <f t="shared" si="28"/>
        <v>1.1649460320725851E-2</v>
      </c>
      <c r="K136" s="392">
        <v>142.74</v>
      </c>
      <c r="L136" s="392">
        <v>143.63999999999999</v>
      </c>
      <c r="M136" s="401">
        <v>3.6630000000000003E-2</v>
      </c>
      <c r="N136" s="84">
        <f t="shared" ref="N136:N142" si="34">((I136-D136)/D136)</f>
        <v>5.193196298915511E-3</v>
      </c>
      <c r="O136" s="84">
        <f t="shared" si="29"/>
        <v>2.5825364696026808E-3</v>
      </c>
      <c r="P136" s="242">
        <f t="shared" si="30"/>
        <v>2.6800000000000018E-3</v>
      </c>
      <c r="Q136" s="121"/>
    </row>
    <row r="137" spans="1:20" s="123" customFormat="1" ht="12" customHeight="1">
      <c r="A137" s="430">
        <v>114</v>
      </c>
      <c r="B137" s="431" t="s">
        <v>110</v>
      </c>
      <c r="C137" s="432" t="s">
        <v>139</v>
      </c>
      <c r="D137" s="393">
        <v>159508902.55000001</v>
      </c>
      <c r="E137" s="205">
        <f t="shared" si="31"/>
        <v>5.1205816546114917E-3</v>
      </c>
      <c r="F137" s="392">
        <v>146.58886899999999</v>
      </c>
      <c r="G137" s="392">
        <v>152.54738</v>
      </c>
      <c r="H137" s="401">
        <v>8.3999999999999995E-3</v>
      </c>
      <c r="I137" s="393">
        <v>162994676.41</v>
      </c>
      <c r="J137" s="206">
        <v>1.4052378000000001</v>
      </c>
      <c r="K137" s="392">
        <v>148.448679</v>
      </c>
      <c r="L137" s="392">
        <v>154.393483</v>
      </c>
      <c r="M137" s="401">
        <v>9.7999999999999997E-3</v>
      </c>
      <c r="N137" s="84">
        <f t="shared" si="34"/>
        <v>2.1853161825292643E-2</v>
      </c>
      <c r="O137" s="84">
        <f t="shared" ref="O137:O142" si="35">((L137-G137)/G137)</f>
        <v>1.2101833541815004E-2</v>
      </c>
      <c r="P137" s="242">
        <f t="shared" si="30"/>
        <v>1.4000000000000002E-3</v>
      </c>
      <c r="Q137" s="121"/>
      <c r="R137" s="122"/>
      <c r="T137" s="150"/>
    </row>
    <row r="138" spans="1:20" s="123" customFormat="1" ht="12" customHeight="1">
      <c r="A138" s="430">
        <v>115</v>
      </c>
      <c r="B138" s="431" t="s">
        <v>109</v>
      </c>
      <c r="C138" s="432" t="s">
        <v>153</v>
      </c>
      <c r="D138" s="393">
        <v>1041534961.77</v>
      </c>
      <c r="E138" s="205">
        <f>(D138/$D$144)</f>
        <v>3.3435530761075652E-2</v>
      </c>
      <c r="F138" s="392">
        <v>2.3672</v>
      </c>
      <c r="G138" s="392">
        <v>2.4165999999999999</v>
      </c>
      <c r="H138" s="401">
        <v>0.18405144541932297</v>
      </c>
      <c r="I138" s="365">
        <v>1040667012.08</v>
      </c>
      <c r="J138" s="206">
        <f>(I138/$I$144)</f>
        <v>3.3376202197089463E-2</v>
      </c>
      <c r="K138" s="392">
        <v>2.3652000000000002</v>
      </c>
      <c r="L138" s="392">
        <v>2.4144000000000001</v>
      </c>
      <c r="M138" s="401">
        <v>-4.7469289793210745E-2</v>
      </c>
      <c r="N138" s="84">
        <f t="shared" si="34"/>
        <v>-8.333370667893197E-4</v>
      </c>
      <c r="O138" s="84">
        <f t="shared" si="35"/>
        <v>-9.1036994123965811E-4</v>
      </c>
      <c r="P138" s="242">
        <f t="shared" si="30"/>
        <v>-0.23152073521253372</v>
      </c>
      <c r="Q138" s="121"/>
      <c r="R138" s="129"/>
      <c r="T138" s="150"/>
    </row>
    <row r="139" spans="1:20" s="123" customFormat="1" ht="12" customHeight="1">
      <c r="A139" s="430">
        <v>116</v>
      </c>
      <c r="B139" s="431" t="s">
        <v>171</v>
      </c>
      <c r="C139" s="432" t="s">
        <v>203</v>
      </c>
      <c r="D139" s="393">
        <v>19966931.129999999</v>
      </c>
      <c r="E139" s="205">
        <f>(D139/$D$144)</f>
        <v>6.4098178602363593E-4</v>
      </c>
      <c r="F139" s="392">
        <v>1.25</v>
      </c>
      <c r="G139" s="392">
        <v>1.25</v>
      </c>
      <c r="H139" s="401">
        <v>9.3080000000000003E-3</v>
      </c>
      <c r="I139" s="393">
        <v>20012283.399999999</v>
      </c>
      <c r="J139" s="206">
        <f>(I139/$I$144)</f>
        <v>6.4183260296571247E-4</v>
      </c>
      <c r="K139" s="392">
        <v>1.25</v>
      </c>
      <c r="L139" s="392">
        <v>1.25</v>
      </c>
      <c r="M139" s="401" t="s">
        <v>288</v>
      </c>
      <c r="N139" s="84">
        <f t="shared" si="34"/>
        <v>2.2713690804421357E-3</v>
      </c>
      <c r="O139" s="84">
        <f t="shared" si="35"/>
        <v>0</v>
      </c>
      <c r="P139" s="242" t="e">
        <f t="shared" si="30"/>
        <v>#VALUE!</v>
      </c>
      <c r="Q139" s="121"/>
      <c r="R139" s="122"/>
      <c r="T139" s="150"/>
    </row>
    <row r="140" spans="1:20" s="123" customFormat="1" ht="12" customHeight="1">
      <c r="A140" s="430">
        <v>117</v>
      </c>
      <c r="B140" s="431" t="s">
        <v>184</v>
      </c>
      <c r="C140" s="432" t="s">
        <v>229</v>
      </c>
      <c r="D140" s="393">
        <v>226052034.74000001</v>
      </c>
      <c r="E140" s="205">
        <f>(D140/$D$144)</f>
        <v>7.2567604915619397E-3</v>
      </c>
      <c r="F140" s="392">
        <v>1.1265000000000001</v>
      </c>
      <c r="G140" s="392">
        <v>1.1265000000000001</v>
      </c>
      <c r="H140" s="401">
        <v>0.6751705268025745</v>
      </c>
      <c r="I140" s="393">
        <v>225812191.31</v>
      </c>
      <c r="J140" s="206">
        <f>(I140/$I$144)</f>
        <v>7.2422333640292519E-3</v>
      </c>
      <c r="K140" s="373">
        <v>1.1254</v>
      </c>
      <c r="L140" s="373">
        <v>1.1254</v>
      </c>
      <c r="M140" s="374">
        <v>-5.0916238665908921E-2</v>
      </c>
      <c r="N140" s="84">
        <f t="shared" si="34"/>
        <v>-1.0610098257946216E-3</v>
      </c>
      <c r="O140" s="84">
        <f t="shared" si="35"/>
        <v>-9.7647581003115921E-4</v>
      </c>
      <c r="P140" s="242">
        <f>M140-H140</f>
        <v>-0.72608676546848339</v>
      </c>
      <c r="Q140" s="121"/>
      <c r="R140" s="122"/>
      <c r="S140" s="151"/>
      <c r="T140" s="150"/>
    </row>
    <row r="141" spans="1:20" s="367" customFormat="1" ht="12" customHeight="1">
      <c r="A141" s="430">
        <v>118</v>
      </c>
      <c r="B141" s="431" t="s">
        <v>194</v>
      </c>
      <c r="C141" s="432" t="s">
        <v>196</v>
      </c>
      <c r="D141" s="392">
        <v>3432190.96652241</v>
      </c>
      <c r="E141" s="369">
        <f>(D141/$D$144)</f>
        <v>1.1018077246684648E-4</v>
      </c>
      <c r="F141" s="392">
        <v>98.703180501155146</v>
      </c>
      <c r="G141" s="392">
        <v>102.99</v>
      </c>
      <c r="H141" s="401">
        <v>2.0020001356289906E-2</v>
      </c>
      <c r="I141" s="372">
        <v>3734808.11</v>
      </c>
      <c r="J141" s="370">
        <f>(I141/$I$144)</f>
        <v>1.1978251371448963E-4</v>
      </c>
      <c r="K141" s="373">
        <v>102.747</v>
      </c>
      <c r="L141" s="373">
        <v>102.99</v>
      </c>
      <c r="M141" s="374">
        <v>1.9754000000000001E-2</v>
      </c>
      <c r="N141" s="366">
        <f t="shared" si="34"/>
        <v>8.8170252305106958E-2</v>
      </c>
      <c r="O141" s="366">
        <f t="shared" si="35"/>
        <v>0</v>
      </c>
      <c r="P141" s="371">
        <f>M141-H141</f>
        <v>-2.6600135628990565E-4</v>
      </c>
      <c r="Q141" s="121"/>
      <c r="R141" s="122"/>
      <c r="S141" s="368"/>
      <c r="T141" s="150"/>
    </row>
    <row r="142" spans="1:20" s="397" customFormat="1" ht="12" customHeight="1">
      <c r="A142" s="430">
        <v>119</v>
      </c>
      <c r="B142" s="431" t="s">
        <v>105</v>
      </c>
      <c r="C142" s="432" t="s">
        <v>256</v>
      </c>
      <c r="D142" s="387">
        <v>165484066.63</v>
      </c>
      <c r="E142" s="400">
        <f>(D142/$D$144)</f>
        <v>5.3123973782620926E-3</v>
      </c>
      <c r="F142" s="392">
        <v>104.74</v>
      </c>
      <c r="G142" s="392">
        <v>106.51</v>
      </c>
      <c r="H142" s="401">
        <v>1.5900000000000001E-2</v>
      </c>
      <c r="I142" s="387">
        <v>165720772.75999999</v>
      </c>
      <c r="J142" s="370">
        <f>(I142/$I$144)</f>
        <v>5.3149854426926685E-3</v>
      </c>
      <c r="K142" s="392">
        <v>104.89</v>
      </c>
      <c r="L142" s="392">
        <v>106.73</v>
      </c>
      <c r="M142" s="401">
        <v>1.77E-2</v>
      </c>
      <c r="N142" s="396">
        <f t="shared" si="34"/>
        <v>1.4303862288400136E-3</v>
      </c>
      <c r="O142" s="396">
        <f t="shared" si="35"/>
        <v>2.0655337526992662E-3</v>
      </c>
      <c r="P142" s="403">
        <f>M142-H142</f>
        <v>1.7999999999999995E-3</v>
      </c>
      <c r="Q142" s="121"/>
      <c r="R142" s="122"/>
      <c r="S142" s="368"/>
      <c r="T142" s="150"/>
    </row>
    <row r="143" spans="1:20" s="123" customFormat="1" ht="12" customHeight="1">
      <c r="A143" s="430">
        <v>120</v>
      </c>
      <c r="B143" s="431" t="s">
        <v>269</v>
      </c>
      <c r="C143" s="432" t="s">
        <v>271</v>
      </c>
      <c r="D143" s="387">
        <v>57023122.920000002</v>
      </c>
      <c r="E143" s="205">
        <f t="shared" si="31"/>
        <v>1.8305658959773721E-3</v>
      </c>
      <c r="F143" s="392">
        <v>105.9706</v>
      </c>
      <c r="G143" s="392">
        <v>106.3028</v>
      </c>
      <c r="H143" s="401">
        <v>2.3050999999999999E-2</v>
      </c>
      <c r="I143" s="387">
        <v>57116513.280000001</v>
      </c>
      <c r="J143" s="206">
        <f t="shared" si="28"/>
        <v>1.8318369602355366E-3</v>
      </c>
      <c r="K143" s="392">
        <v>106.14449999999999</v>
      </c>
      <c r="L143" s="392">
        <v>106.4761</v>
      </c>
      <c r="M143" s="401">
        <v>4.5580000000000002E-2</v>
      </c>
      <c r="N143" s="84">
        <f>((I143-D143)/D143)</f>
        <v>1.6377629848687951E-3</v>
      </c>
      <c r="O143" s="84">
        <f t="shared" si="29"/>
        <v>1.6302486858295131E-3</v>
      </c>
      <c r="P143" s="242">
        <f t="shared" si="30"/>
        <v>2.2529000000000004E-2</v>
      </c>
      <c r="Q143" s="121"/>
      <c r="R143" s="122"/>
      <c r="S143" s="151"/>
      <c r="T143" s="150"/>
    </row>
    <row r="144" spans="1:20" s="123" customFormat="1" ht="12" customHeight="1">
      <c r="A144" s="316"/>
      <c r="B144" s="317"/>
      <c r="C144" s="266" t="s">
        <v>46</v>
      </c>
      <c r="D144" s="232">
        <f>SUM(D120:D143)</f>
        <v>31150543689.963333</v>
      </c>
      <c r="E144" s="285">
        <f>(D144/$D$166)</f>
        <v>2.0893476487133907E-2</v>
      </c>
      <c r="F144" s="287"/>
      <c r="G144" s="195"/>
      <c r="H144" s="302"/>
      <c r="I144" s="232">
        <f>SUM(I120:I143)</f>
        <v>31179910941.77726</v>
      </c>
      <c r="J144" s="285">
        <f>(I144/$I$166)</f>
        <v>2.0610046987637808E-2</v>
      </c>
      <c r="K144" s="287"/>
      <c r="L144" s="195"/>
      <c r="M144" s="302"/>
      <c r="N144" s="289">
        <f>((I144-D144)/D144)</f>
        <v>9.4275246384828871E-4</v>
      </c>
      <c r="O144" s="289"/>
      <c r="P144" s="290">
        <f t="shared" si="30"/>
        <v>0</v>
      </c>
      <c r="Q144" s="121"/>
      <c r="R144" s="122"/>
      <c r="S144" s="151"/>
      <c r="T144" s="150"/>
    </row>
    <row r="145" spans="1:23" s="123" customFormat="1" ht="5.25" customHeight="1">
      <c r="A145" s="447"/>
      <c r="B145" s="448"/>
      <c r="C145" s="448"/>
      <c r="D145" s="448"/>
      <c r="E145" s="448"/>
      <c r="F145" s="448"/>
      <c r="G145" s="448"/>
      <c r="H145" s="448"/>
      <c r="I145" s="448"/>
      <c r="J145" s="448"/>
      <c r="K145" s="448"/>
      <c r="L145" s="448"/>
      <c r="M145" s="448"/>
      <c r="N145" s="448"/>
      <c r="O145" s="448"/>
      <c r="P145" s="449"/>
      <c r="R145" s="122"/>
      <c r="S145" s="151"/>
      <c r="T145" s="150"/>
    </row>
    <row r="146" spans="1:23" s="123" customFormat="1" ht="12" customHeight="1">
      <c r="A146" s="441" t="s">
        <v>71</v>
      </c>
      <c r="B146" s="442"/>
      <c r="C146" s="442"/>
      <c r="D146" s="442"/>
      <c r="E146" s="442"/>
      <c r="F146" s="442"/>
      <c r="G146" s="442"/>
      <c r="H146" s="442"/>
      <c r="I146" s="442"/>
      <c r="J146" s="442"/>
      <c r="K146" s="442"/>
      <c r="L146" s="442"/>
      <c r="M146" s="442"/>
      <c r="N146" s="442"/>
      <c r="O146" s="442"/>
      <c r="P146" s="443"/>
      <c r="S146" s="152"/>
      <c r="T146" s="150"/>
    </row>
    <row r="147" spans="1:23" s="123" customFormat="1" ht="12" customHeight="1">
      <c r="A147" s="430">
        <v>121</v>
      </c>
      <c r="B147" s="431" t="s">
        <v>206</v>
      </c>
      <c r="C147" s="432" t="s">
        <v>264</v>
      </c>
      <c r="D147" s="387">
        <v>603188613.46000004</v>
      </c>
      <c r="E147" s="205">
        <f>(D147/$D$150)</f>
        <v>0.19778050728634014</v>
      </c>
      <c r="F147" s="388">
        <v>16.360600000000002</v>
      </c>
      <c r="G147" s="388">
        <v>16.522099999999998</v>
      </c>
      <c r="H147" s="401">
        <v>3.5000000000000003E-2</v>
      </c>
      <c r="I147" s="387">
        <v>603836308.66999996</v>
      </c>
      <c r="J147" s="205">
        <f>(I147/$I$150)</f>
        <v>0.19704456445021193</v>
      </c>
      <c r="K147" s="388">
        <v>16.402999999999999</v>
      </c>
      <c r="L147" s="388">
        <v>16.540700000000001</v>
      </c>
      <c r="M147" s="376">
        <v>3.6900000000000002E-2</v>
      </c>
      <c r="N147" s="84">
        <f>((I147-D147)/D147)</f>
        <v>1.0737855382989094E-3</v>
      </c>
      <c r="O147" s="120">
        <f>((L147-G147)/G147)</f>
        <v>1.1257648846092711E-3</v>
      </c>
      <c r="P147" s="242">
        <f>M147-H147</f>
        <v>1.8999999999999989E-3</v>
      </c>
      <c r="Q147" s="121"/>
      <c r="S147" s="124"/>
      <c r="T147" s="150"/>
    </row>
    <row r="148" spans="1:23" s="123" customFormat="1" ht="11.25" customHeight="1">
      <c r="A148" s="430">
        <v>122</v>
      </c>
      <c r="B148" s="431" t="s">
        <v>5</v>
      </c>
      <c r="C148" s="432" t="s">
        <v>29</v>
      </c>
      <c r="D148" s="387">
        <v>1907133816.53</v>
      </c>
      <c r="E148" s="205">
        <f>(D148/$D$150)</f>
        <v>0.62533324615095809</v>
      </c>
      <c r="F148" s="388">
        <v>1.51</v>
      </c>
      <c r="G148" s="388">
        <v>1.53</v>
      </c>
      <c r="H148" s="401">
        <v>6.25E-2</v>
      </c>
      <c r="I148" s="387">
        <v>1919307131.02</v>
      </c>
      <c r="J148" s="205">
        <f>(I148/$I$150)</f>
        <v>0.62631052861166092</v>
      </c>
      <c r="K148" s="375">
        <v>1.51</v>
      </c>
      <c r="L148" s="375">
        <v>1.53</v>
      </c>
      <c r="M148" s="376">
        <v>6.25E-2</v>
      </c>
      <c r="N148" s="84">
        <f>((I148-D148)/D148)</f>
        <v>6.3830416012176658E-3</v>
      </c>
      <c r="O148" s="84">
        <f>((L148-G148)/G148)</f>
        <v>0</v>
      </c>
      <c r="P148" s="242">
        <f>M148-H148</f>
        <v>0</v>
      </c>
      <c r="Q148" s="121"/>
    </row>
    <row r="149" spans="1:23" s="123" customFormat="1" ht="12" customHeight="1">
      <c r="A149" s="430">
        <v>123</v>
      </c>
      <c r="B149" s="431" t="s">
        <v>7</v>
      </c>
      <c r="C149" s="432" t="s">
        <v>30</v>
      </c>
      <c r="D149" s="388">
        <v>539465548.28999996</v>
      </c>
      <c r="E149" s="205">
        <f>(D149/$D$150)</f>
        <v>0.17688624656270183</v>
      </c>
      <c r="F149" s="388" t="s">
        <v>282</v>
      </c>
      <c r="G149" s="388" t="s">
        <v>283</v>
      </c>
      <c r="H149" s="377">
        <v>0.14860000000000001</v>
      </c>
      <c r="I149" s="388">
        <v>541322257.98000002</v>
      </c>
      <c r="J149" s="205">
        <f>(I149/$I$150)</f>
        <v>0.17664490693812715</v>
      </c>
      <c r="K149" s="388">
        <v>46.483699999999999</v>
      </c>
      <c r="L149" s="388">
        <v>47.885199999999998</v>
      </c>
      <c r="M149" s="377">
        <v>0.18149999999999999</v>
      </c>
      <c r="N149" s="84">
        <f>((I149-D149)/D149)</f>
        <v>3.4417576727289868E-3</v>
      </c>
      <c r="O149" s="84" t="e">
        <f>((L149-G149)/G149)</f>
        <v>#VALUE!</v>
      </c>
      <c r="P149" s="242">
        <f>M149-H149</f>
        <v>3.2899999999999985E-2</v>
      </c>
      <c r="Q149" s="121"/>
      <c r="U149" s="193"/>
      <c r="V149" s="194"/>
      <c r="W149" s="121"/>
    </row>
    <row r="150" spans="1:23" s="123" customFormat="1" ht="12.75" customHeight="1">
      <c r="A150" s="229"/>
      <c r="B150" s="13"/>
      <c r="C150" s="312" t="s">
        <v>46</v>
      </c>
      <c r="D150" s="232">
        <f>SUM(D147:D149)</f>
        <v>3049787978.2799997</v>
      </c>
      <c r="E150" s="285">
        <f>(D150/$D$166)</f>
        <v>2.045571789986688E-3</v>
      </c>
      <c r="F150" s="13"/>
      <c r="G150" s="13"/>
      <c r="H150" s="301"/>
      <c r="I150" s="232">
        <f>SUM(I147:I149)</f>
        <v>3064465697.6700001</v>
      </c>
      <c r="J150" s="285">
        <f>(I150/$I$166)</f>
        <v>2.0256241956213526E-3</v>
      </c>
      <c r="K150" s="287"/>
      <c r="L150" s="195"/>
      <c r="M150" s="302"/>
      <c r="N150" s="289">
        <f>((I150-D150)/D150)</f>
        <v>4.8127015695950742E-3</v>
      </c>
      <c r="O150" s="289"/>
      <c r="P150" s="290">
        <f>M150-H150</f>
        <v>0</v>
      </c>
      <c r="Q150" s="121"/>
      <c r="T150" s="122"/>
    </row>
    <row r="151" spans="1:23" s="123" customFormat="1" ht="4.5" customHeight="1">
      <c r="A151" s="447"/>
      <c r="B151" s="448"/>
      <c r="C151" s="448"/>
      <c r="D151" s="448"/>
      <c r="E151" s="448"/>
      <c r="F151" s="448"/>
      <c r="G151" s="448"/>
      <c r="H151" s="448"/>
      <c r="I151" s="448"/>
      <c r="J151" s="448"/>
      <c r="K151" s="448"/>
      <c r="L151" s="448"/>
      <c r="M151" s="448"/>
      <c r="N151" s="448"/>
      <c r="O151" s="448"/>
      <c r="P151" s="449"/>
      <c r="T151" s="122"/>
    </row>
    <row r="152" spans="1:23" s="123" customFormat="1" ht="12.75" customHeight="1">
      <c r="A152" s="441" t="s">
        <v>214</v>
      </c>
      <c r="B152" s="442"/>
      <c r="C152" s="442"/>
      <c r="D152" s="442"/>
      <c r="E152" s="442"/>
      <c r="F152" s="442"/>
      <c r="G152" s="442"/>
      <c r="H152" s="442"/>
      <c r="I152" s="442"/>
      <c r="J152" s="442"/>
      <c r="K152" s="442"/>
      <c r="L152" s="442"/>
      <c r="M152" s="442"/>
      <c r="N152" s="442"/>
      <c r="O152" s="442"/>
      <c r="P152" s="443"/>
      <c r="T152" s="122"/>
    </row>
    <row r="153" spans="1:23" s="123" customFormat="1" ht="12.75" customHeight="1">
      <c r="A153" s="438" t="s">
        <v>215</v>
      </c>
      <c r="B153" s="439"/>
      <c r="C153" s="439"/>
      <c r="D153" s="439"/>
      <c r="E153" s="439"/>
      <c r="F153" s="439"/>
      <c r="G153" s="439"/>
      <c r="H153" s="439"/>
      <c r="I153" s="439"/>
      <c r="J153" s="439"/>
      <c r="K153" s="439"/>
      <c r="L153" s="439"/>
      <c r="M153" s="439"/>
      <c r="N153" s="439"/>
      <c r="O153" s="439"/>
      <c r="P153" s="440"/>
      <c r="T153" s="122"/>
    </row>
    <row r="154" spans="1:23" s="123" customFormat="1" ht="12" customHeight="1">
      <c r="A154" s="430">
        <v>124</v>
      </c>
      <c r="B154" s="431" t="s">
        <v>27</v>
      </c>
      <c r="C154" s="432" t="s">
        <v>138</v>
      </c>
      <c r="D154" s="378">
        <v>3655398927.79</v>
      </c>
      <c r="E154" s="205">
        <f>(D154/$D$165)</f>
        <v>0.15770799690100934</v>
      </c>
      <c r="F154" s="380">
        <v>1.81</v>
      </c>
      <c r="G154" s="380">
        <v>1.82</v>
      </c>
      <c r="H154" s="384">
        <v>2.5700000000000001E-2</v>
      </c>
      <c r="I154" s="378">
        <v>3670464321.6900001</v>
      </c>
      <c r="J154" s="205">
        <f>(I154/$I$165)</f>
        <v>0.15417730776101121</v>
      </c>
      <c r="K154" s="380">
        <v>1.81</v>
      </c>
      <c r="L154" s="380">
        <v>1.83</v>
      </c>
      <c r="M154" s="384">
        <v>2.9899999999999999E-2</v>
      </c>
      <c r="N154" s="120">
        <f>((I154-D154)/D154)</f>
        <v>4.1214089618143018E-3</v>
      </c>
      <c r="O154" s="120">
        <f>((L154-G154)/G154)</f>
        <v>5.4945054945054993E-3</v>
      </c>
      <c r="P154" s="242">
        <f>M154-H154</f>
        <v>4.1999999999999989E-3</v>
      </c>
      <c r="Q154" s="121"/>
      <c r="T154" s="122"/>
    </row>
    <row r="155" spans="1:23" s="123" customFormat="1" ht="12.75" customHeight="1">
      <c r="A155" s="430">
        <v>125</v>
      </c>
      <c r="B155" s="431" t="s">
        <v>5</v>
      </c>
      <c r="C155" s="432" t="s">
        <v>70</v>
      </c>
      <c r="D155" s="378">
        <v>311533840.92000002</v>
      </c>
      <c r="E155" s="205">
        <f>(D155/$D$165)</f>
        <v>1.3440770484680042E-2</v>
      </c>
      <c r="F155" s="380">
        <v>274.06</v>
      </c>
      <c r="G155" s="380">
        <v>277.17</v>
      </c>
      <c r="H155" s="384">
        <v>4.3999999999999997E-2</v>
      </c>
      <c r="I155" s="378">
        <v>313287527.64999998</v>
      </c>
      <c r="J155" s="205">
        <f>(I155/$I$165)</f>
        <v>1.3159595989735881E-2</v>
      </c>
      <c r="K155" s="380">
        <v>275.35000000000002</v>
      </c>
      <c r="L155" s="380">
        <v>278.39999999999998</v>
      </c>
      <c r="M155" s="384">
        <v>4.8599999999999997E-2</v>
      </c>
      <c r="N155" s="84">
        <f>((I155-D155)/D155)</f>
        <v>5.6292013889120167E-3</v>
      </c>
      <c r="O155" s="84">
        <f>((L155-G155)/G155)</f>
        <v>4.4377097088428089E-3</v>
      </c>
      <c r="P155" s="242">
        <f>M155-H155</f>
        <v>4.5999999999999999E-3</v>
      </c>
      <c r="Q155" s="121"/>
      <c r="R155" s="200"/>
    </row>
    <row r="156" spans="1:23" s="123" customFormat="1" ht="6" customHeight="1">
      <c r="A156" s="447"/>
      <c r="B156" s="448"/>
      <c r="C156" s="448"/>
      <c r="D156" s="448"/>
      <c r="E156" s="448"/>
      <c r="F156" s="448"/>
      <c r="G156" s="448"/>
      <c r="H156" s="448"/>
      <c r="I156" s="448"/>
      <c r="J156" s="448"/>
      <c r="K156" s="448"/>
      <c r="L156" s="448"/>
      <c r="M156" s="448"/>
      <c r="N156" s="448"/>
      <c r="O156" s="448"/>
      <c r="P156" s="449"/>
      <c r="R156" s="200"/>
    </row>
    <row r="157" spans="1:23" s="123" customFormat="1" ht="12" customHeight="1">
      <c r="A157" s="438" t="s">
        <v>216</v>
      </c>
      <c r="B157" s="439"/>
      <c r="C157" s="439"/>
      <c r="D157" s="439"/>
      <c r="E157" s="439"/>
      <c r="F157" s="439"/>
      <c r="G157" s="439"/>
      <c r="H157" s="439"/>
      <c r="I157" s="439"/>
      <c r="J157" s="439"/>
      <c r="K157" s="439"/>
      <c r="L157" s="439"/>
      <c r="M157" s="439"/>
      <c r="N157" s="439"/>
      <c r="O157" s="439"/>
      <c r="P157" s="440"/>
      <c r="R157" s="200"/>
    </row>
    <row r="158" spans="1:23" s="123" customFormat="1" ht="12" customHeight="1">
      <c r="A158" s="430">
        <v>126</v>
      </c>
      <c r="B158" s="431" t="s">
        <v>5</v>
      </c>
      <c r="C158" s="432" t="s">
        <v>140</v>
      </c>
      <c r="D158" s="393">
        <v>8548497294.0100002</v>
      </c>
      <c r="E158" s="205">
        <f t="shared" ref="E158:E164" si="36">(D158/$D$165)</f>
        <v>0.36881511741513184</v>
      </c>
      <c r="F158" s="394">
        <v>121.7</v>
      </c>
      <c r="G158" s="394">
        <v>121.7</v>
      </c>
      <c r="H158" s="401">
        <v>5.5999999999999999E-3</v>
      </c>
      <c r="I158" s="393">
        <v>8487547879.2299995</v>
      </c>
      <c r="J158" s="205">
        <f t="shared" ref="J158:J164" si="37">(I158/$I$165)</f>
        <v>0.35651818593617224</v>
      </c>
      <c r="K158" s="394">
        <v>121.87</v>
      </c>
      <c r="L158" s="394">
        <v>121.87</v>
      </c>
      <c r="M158" s="386">
        <v>7.0000000000000001E-3</v>
      </c>
      <c r="N158" s="84">
        <f t="shared" ref="N158:N166" si="38">((I158-D158)/D158)</f>
        <v>-7.1298396295578666E-3</v>
      </c>
      <c r="O158" s="84">
        <f t="shared" ref="O158:O164" si="39">((L158-G158)/G158)</f>
        <v>1.3968775677896607E-3</v>
      </c>
      <c r="P158" s="242">
        <f t="shared" ref="P158:P165" si="40">M158-H158</f>
        <v>1.4000000000000002E-3</v>
      </c>
      <c r="Q158" s="121"/>
      <c r="R158" s="200"/>
    </row>
    <row r="159" spans="1:23" s="123" customFormat="1" ht="12" customHeight="1">
      <c r="A159" s="430">
        <v>127</v>
      </c>
      <c r="B159" s="431" t="s">
        <v>201</v>
      </c>
      <c r="C159" s="432" t="s">
        <v>202</v>
      </c>
      <c r="D159" s="393">
        <v>7529804652.3900003</v>
      </c>
      <c r="E159" s="205">
        <f t="shared" si="36"/>
        <v>0.32486479102358307</v>
      </c>
      <c r="F159" s="393">
        <v>124.36</v>
      </c>
      <c r="G159" s="393">
        <v>124.36</v>
      </c>
      <c r="H159" s="401">
        <v>0.13189999999999999</v>
      </c>
      <c r="I159" s="393">
        <v>8141366291.6800003</v>
      </c>
      <c r="J159" s="205">
        <f t="shared" si="37"/>
        <v>0.34197687985413494</v>
      </c>
      <c r="K159" s="393">
        <v>124.67</v>
      </c>
      <c r="L159" s="393">
        <v>124.67</v>
      </c>
      <c r="M159" s="401">
        <v>0.12870000000000001</v>
      </c>
      <c r="N159" s="84">
        <f t="shared" si="38"/>
        <v>8.121879218950083E-2</v>
      </c>
      <c r="O159" s="84">
        <f t="shared" si="39"/>
        <v>2.4927629462849973E-3</v>
      </c>
      <c r="P159" s="242">
        <f t="shared" si="40"/>
        <v>-3.1999999999999806E-3</v>
      </c>
      <c r="Q159" s="121"/>
      <c r="R159" s="200"/>
    </row>
    <row r="160" spans="1:23" s="123" customFormat="1" ht="12" customHeight="1">
      <c r="A160" s="430">
        <v>128</v>
      </c>
      <c r="B160" s="431" t="s">
        <v>45</v>
      </c>
      <c r="C160" s="432" t="s">
        <v>176</v>
      </c>
      <c r="D160" s="393">
        <v>2215642157.8800001</v>
      </c>
      <c r="E160" s="205">
        <f t="shared" si="36"/>
        <v>9.5591341320423698E-2</v>
      </c>
      <c r="F160" s="394">
        <v>1.1136999999999999</v>
      </c>
      <c r="G160" s="394">
        <v>1.1136999999999999</v>
      </c>
      <c r="H160" s="401">
        <v>9.9699999999999997E-2</v>
      </c>
      <c r="I160" s="393">
        <v>2229913614.5100002</v>
      </c>
      <c r="J160" s="205">
        <f t="shared" si="37"/>
        <v>9.3667189623159092E-2</v>
      </c>
      <c r="K160" s="394">
        <v>1.1157999999999999</v>
      </c>
      <c r="L160" s="394">
        <v>1.1157999999999999</v>
      </c>
      <c r="M160" s="386">
        <v>0.1003</v>
      </c>
      <c r="N160" s="84">
        <f t="shared" si="38"/>
        <v>6.4412281465412793E-3</v>
      </c>
      <c r="O160" s="84">
        <f t="shared" si="39"/>
        <v>1.8856065367693193E-3</v>
      </c>
      <c r="P160" s="242">
        <f t="shared" si="40"/>
        <v>6.0000000000000331E-4</v>
      </c>
      <c r="Q160" s="121"/>
      <c r="R160" s="200"/>
    </row>
    <row r="161" spans="1:18" s="123" customFormat="1" ht="12" customHeight="1">
      <c r="A161" s="430">
        <v>129</v>
      </c>
      <c r="B161" s="431" t="s">
        <v>188</v>
      </c>
      <c r="C161" s="432" t="s">
        <v>189</v>
      </c>
      <c r="D161" s="393">
        <v>339471323</v>
      </c>
      <c r="E161" s="205">
        <f t="shared" si="36"/>
        <v>1.4646101126924996E-2</v>
      </c>
      <c r="F161" s="394">
        <v>101.48</v>
      </c>
      <c r="G161" s="394">
        <v>101.48</v>
      </c>
      <c r="H161" s="401">
        <v>8.8300000000000003E-2</v>
      </c>
      <c r="I161" s="393">
        <v>359488079.36000001</v>
      </c>
      <c r="J161" s="205">
        <f t="shared" si="37"/>
        <v>1.5100243290849408E-2</v>
      </c>
      <c r="K161" s="394">
        <v>101.63</v>
      </c>
      <c r="L161" s="394">
        <v>101.63</v>
      </c>
      <c r="M161" s="386">
        <v>8.9399999999999993E-2</v>
      </c>
      <c r="N161" s="84">
        <f t="shared" si="38"/>
        <v>5.8964498630124387E-2</v>
      </c>
      <c r="O161" s="84">
        <f t="shared" si="39"/>
        <v>1.4781237682301091E-3</v>
      </c>
      <c r="P161" s="242">
        <f t="shared" si="40"/>
        <v>1.0999999999999899E-3</v>
      </c>
      <c r="Q161" s="121"/>
      <c r="R161" s="200"/>
    </row>
    <row r="162" spans="1:18" s="123" customFormat="1" ht="12" customHeight="1">
      <c r="A162" s="430">
        <v>130</v>
      </c>
      <c r="B162" s="431" t="s">
        <v>250</v>
      </c>
      <c r="C162" s="432" t="s">
        <v>249</v>
      </c>
      <c r="D162" s="393">
        <v>472284192.94999999</v>
      </c>
      <c r="E162" s="205">
        <f t="shared" si="36"/>
        <v>2.0376160170070854E-2</v>
      </c>
      <c r="F162" s="393">
        <v>1010.85</v>
      </c>
      <c r="G162" s="393">
        <v>1010.85</v>
      </c>
      <c r="H162" s="401">
        <v>1.09E-2</v>
      </c>
      <c r="I162" s="393">
        <v>498886405.76999998</v>
      </c>
      <c r="J162" s="205">
        <f t="shared" si="37"/>
        <v>2.0955649252781993E-2</v>
      </c>
      <c r="K162" s="393">
        <v>1045.94</v>
      </c>
      <c r="L162" s="393">
        <v>1045.94</v>
      </c>
      <c r="M162" s="386">
        <v>4.5900000000000003E-2</v>
      </c>
      <c r="N162" s="84">
        <f t="shared" si="38"/>
        <v>5.6326705862917437E-2</v>
      </c>
      <c r="O162" s="84">
        <f t="shared" si="39"/>
        <v>3.4713360043527756E-2</v>
      </c>
      <c r="P162" s="242">
        <f t="shared" si="40"/>
        <v>3.5000000000000003E-2</v>
      </c>
      <c r="Q162" s="121"/>
      <c r="R162" s="200"/>
    </row>
    <row r="163" spans="1:18" s="381" customFormat="1" ht="12" customHeight="1">
      <c r="A163" s="430">
        <v>131</v>
      </c>
      <c r="B163" s="431" t="s">
        <v>94</v>
      </c>
      <c r="C163" s="432" t="s">
        <v>252</v>
      </c>
      <c r="D163" s="393">
        <v>54381270.920000002</v>
      </c>
      <c r="E163" s="383">
        <f>(D163/$D$165)</f>
        <v>2.346217601729574E-3</v>
      </c>
      <c r="F163" s="393">
        <v>103.87</v>
      </c>
      <c r="G163" s="393">
        <v>103.87</v>
      </c>
      <c r="H163" s="401">
        <v>6.0330000000000002E-2</v>
      </c>
      <c r="I163" s="393">
        <v>54515641.07</v>
      </c>
      <c r="J163" s="383">
        <f>(I163/$I$165)</f>
        <v>2.2899213926068748E-3</v>
      </c>
      <c r="K163" s="393">
        <v>104.03</v>
      </c>
      <c r="L163" s="393">
        <v>104.03</v>
      </c>
      <c r="M163" s="401">
        <v>6.0380000000000003E-2</v>
      </c>
      <c r="N163" s="379">
        <f>((I163-D163)/D163)</f>
        <v>2.4708902114051311E-3</v>
      </c>
      <c r="O163" s="379">
        <f>((L163-G163)/G163)</f>
        <v>1.5403870222393046E-3</v>
      </c>
      <c r="P163" s="385">
        <f>M163-H163</f>
        <v>5.0000000000001432E-5</v>
      </c>
      <c r="Q163" s="121"/>
      <c r="R163" s="382"/>
    </row>
    <row r="164" spans="1:18" s="123" customFormat="1" ht="12" customHeight="1">
      <c r="A164" s="430">
        <v>132</v>
      </c>
      <c r="B164" s="431" t="s">
        <v>105</v>
      </c>
      <c r="C164" s="436" t="s">
        <v>257</v>
      </c>
      <c r="D164" s="387">
        <v>51258841.340000004</v>
      </c>
      <c r="E164" s="205">
        <f t="shared" si="36"/>
        <v>2.211503956446547E-3</v>
      </c>
      <c r="F164" s="388">
        <v>98.53</v>
      </c>
      <c r="G164" s="388">
        <v>101.15</v>
      </c>
      <c r="H164" s="401">
        <v>7.1000000000000004E-3</v>
      </c>
      <c r="I164" s="387">
        <v>51304238.359999999</v>
      </c>
      <c r="J164" s="205">
        <f t="shared" si="37"/>
        <v>2.1550268995482297E-3</v>
      </c>
      <c r="K164" s="388">
        <v>98.62</v>
      </c>
      <c r="L164" s="388">
        <v>101.36</v>
      </c>
      <c r="M164" s="401">
        <v>8.6E-3</v>
      </c>
      <c r="N164" s="84">
        <f t="shared" si="38"/>
        <v>8.8564272646892849E-4</v>
      </c>
      <c r="O164" s="84">
        <f t="shared" si="39"/>
        <v>2.0761245674739866E-3</v>
      </c>
      <c r="P164" s="242">
        <f t="shared" si="40"/>
        <v>1.4999999999999996E-3</v>
      </c>
      <c r="Q164" s="121"/>
      <c r="R164" s="200"/>
    </row>
    <row r="165" spans="1:18" s="123" customFormat="1" ht="12" customHeight="1">
      <c r="A165" s="284"/>
      <c r="B165" s="13"/>
      <c r="C165" s="312" t="s">
        <v>46</v>
      </c>
      <c r="D165" s="82">
        <f>SUM(D154:D164)</f>
        <v>23178272501.200001</v>
      </c>
      <c r="E165" s="285">
        <f>(D165/$D$166)</f>
        <v>1.5546267709999468E-2</v>
      </c>
      <c r="F165" s="286"/>
      <c r="G165" s="75"/>
      <c r="H165" s="268"/>
      <c r="I165" s="82">
        <f>SUM(I154:I164)</f>
        <v>23806773999.320004</v>
      </c>
      <c r="J165" s="285">
        <f>(I165/$I$166)</f>
        <v>1.5736373707618156E-2</v>
      </c>
      <c r="K165" s="287"/>
      <c r="L165" s="75"/>
      <c r="M165" s="288"/>
      <c r="N165" s="289">
        <f t="shared" si="38"/>
        <v>2.7115976744490494E-2</v>
      </c>
      <c r="O165" s="289"/>
      <c r="P165" s="290">
        <f t="shared" si="40"/>
        <v>0</v>
      </c>
      <c r="Q165" s="121"/>
      <c r="R165" s="148" t="s">
        <v>181</v>
      </c>
    </row>
    <row r="166" spans="1:18" s="123" customFormat="1" ht="12" customHeight="1">
      <c r="A166" s="291"/>
      <c r="B166" s="292"/>
      <c r="C166" s="293" t="s">
        <v>32</v>
      </c>
      <c r="D166" s="294">
        <f>SUM(D22,D54,D87,D110,D117,D144,D150,D165)</f>
        <v>1490921997071.4626</v>
      </c>
      <c r="E166" s="295"/>
      <c r="F166" s="295"/>
      <c r="G166" s="296"/>
      <c r="H166" s="297"/>
      <c r="I166" s="294">
        <f>SUM(I22,I54,I87,I110,I117,I144,I150,I165)</f>
        <v>1512850065818.8408</v>
      </c>
      <c r="J166" s="295"/>
      <c r="K166" s="295"/>
      <c r="L166" s="296"/>
      <c r="M166" s="298"/>
      <c r="N166" s="299">
        <f t="shared" si="38"/>
        <v>1.4707723670621462E-2</v>
      </c>
      <c r="O166" s="299"/>
      <c r="P166" s="300"/>
      <c r="R166" s="149">
        <f>((I166-D166)/D166)</f>
        <v>1.4707723670621462E-2</v>
      </c>
    </row>
    <row r="167" spans="1:18" s="123" customFormat="1" ht="6.75" customHeight="1">
      <c r="A167" s="447"/>
      <c r="B167" s="448"/>
      <c r="C167" s="448"/>
      <c r="D167" s="448"/>
      <c r="E167" s="448"/>
      <c r="F167" s="448"/>
      <c r="G167" s="448"/>
      <c r="H167" s="448"/>
      <c r="I167" s="448"/>
      <c r="J167" s="448"/>
      <c r="K167" s="448"/>
      <c r="L167" s="448"/>
      <c r="M167" s="448"/>
      <c r="N167" s="448"/>
      <c r="O167" s="448"/>
      <c r="P167" s="449"/>
      <c r="R167" s="200"/>
    </row>
    <row r="168" spans="1:18" s="123" customFormat="1" ht="12" customHeight="1">
      <c r="A168" s="455" t="s">
        <v>217</v>
      </c>
      <c r="B168" s="456"/>
      <c r="C168" s="456"/>
      <c r="D168" s="456"/>
      <c r="E168" s="456"/>
      <c r="F168" s="456"/>
      <c r="G168" s="456"/>
      <c r="H168" s="456"/>
      <c r="I168" s="456"/>
      <c r="J168" s="456"/>
      <c r="K168" s="456"/>
      <c r="L168" s="456"/>
      <c r="M168" s="456"/>
      <c r="N168" s="456"/>
      <c r="O168" s="456"/>
      <c r="P168" s="457"/>
      <c r="R168" s="200"/>
    </row>
    <row r="169" spans="1:18" s="123" customFormat="1" ht="25.5" customHeight="1">
      <c r="A169" s="263"/>
      <c r="B169" s="264"/>
      <c r="C169" s="264"/>
      <c r="D169" s="280" t="s">
        <v>222</v>
      </c>
      <c r="E169" s="281"/>
      <c r="F169" s="281"/>
      <c r="G169" s="333" t="s">
        <v>223</v>
      </c>
      <c r="H169" s="282"/>
      <c r="I169" s="283" t="s">
        <v>222</v>
      </c>
      <c r="J169" s="281"/>
      <c r="K169" s="279" t="s">
        <v>233</v>
      </c>
      <c r="L169" s="279" t="s">
        <v>234</v>
      </c>
      <c r="M169" s="333"/>
      <c r="N169" s="453" t="s">
        <v>67</v>
      </c>
      <c r="O169" s="453"/>
      <c r="P169" s="454"/>
      <c r="R169" s="200"/>
    </row>
    <row r="170" spans="1:18" s="123" customFormat="1" ht="12" customHeight="1">
      <c r="A170" s="308" t="s">
        <v>1</v>
      </c>
      <c r="B170" s="309" t="s">
        <v>210</v>
      </c>
      <c r="C170" s="310" t="s">
        <v>2</v>
      </c>
      <c r="D170" s="213"/>
      <c r="E170" s="213"/>
      <c r="F170" s="213"/>
      <c r="G170" s="213"/>
      <c r="H170" s="213"/>
      <c r="I170" s="244"/>
      <c r="J170" s="245"/>
      <c r="K170" s="245"/>
      <c r="L170" s="246"/>
      <c r="M170" s="246"/>
      <c r="N170" s="327" t="s">
        <v>221</v>
      </c>
      <c r="O170" s="324" t="s">
        <v>224</v>
      </c>
      <c r="P170" s="329" t="s">
        <v>235</v>
      </c>
      <c r="R170" s="200"/>
    </row>
    <row r="171" spans="1:18" s="123" customFormat="1" ht="12" customHeight="1">
      <c r="A171" s="430">
        <v>1</v>
      </c>
      <c r="B171" s="431" t="s">
        <v>125</v>
      </c>
      <c r="C171" s="432" t="s">
        <v>239</v>
      </c>
      <c r="D171" s="393">
        <v>91117290437</v>
      </c>
      <c r="E171" s="205">
        <f>(D171/$D$175)</f>
        <v>0.90706404910897664</v>
      </c>
      <c r="F171" s="394">
        <v>107.59</v>
      </c>
      <c r="G171" s="394">
        <v>107.59</v>
      </c>
      <c r="H171" s="390">
        <v>0.13800000000000001</v>
      </c>
      <c r="I171" s="393">
        <v>91117290437</v>
      </c>
      <c r="J171" s="205">
        <f>(I171/$I$175)</f>
        <v>0.77871687281641511</v>
      </c>
      <c r="K171" s="389">
        <v>107.59</v>
      </c>
      <c r="L171" s="389">
        <v>107.59</v>
      </c>
      <c r="M171" s="390">
        <v>0.13800000000000001</v>
      </c>
      <c r="N171" s="84">
        <f>((I171-D171)/D171)</f>
        <v>0</v>
      </c>
      <c r="O171" s="84">
        <f>((L171-G171)/G171)</f>
        <v>0</v>
      </c>
      <c r="P171" s="242">
        <f>M171-H171</f>
        <v>0</v>
      </c>
      <c r="R171" s="200"/>
    </row>
    <row r="172" spans="1:18" s="397" customFormat="1" ht="12" customHeight="1">
      <c r="A172" s="430">
        <v>2</v>
      </c>
      <c r="B172" s="431" t="s">
        <v>43</v>
      </c>
      <c r="C172" s="432" t="s">
        <v>218</v>
      </c>
      <c r="D172" s="393">
        <v>7197170411.4300003</v>
      </c>
      <c r="E172" s="400">
        <f>(D172/$D$175)</f>
        <v>7.1647153950794726E-2</v>
      </c>
      <c r="F172" s="395">
        <v>106.7</v>
      </c>
      <c r="G172" s="395">
        <v>106.7</v>
      </c>
      <c r="H172" s="390"/>
      <c r="I172" s="393">
        <v>7547416201.8199997</v>
      </c>
      <c r="J172" s="400">
        <f>(I172/$I$175)</f>
        <v>6.4502580293351444E-2</v>
      </c>
      <c r="K172" s="395">
        <v>111.9</v>
      </c>
      <c r="L172" s="395">
        <v>111.9</v>
      </c>
      <c r="M172" s="390"/>
      <c r="N172" s="396">
        <f>((I172-D172)/D172)</f>
        <v>4.8664373686881944E-2</v>
      </c>
      <c r="O172" s="396">
        <f>((L172-G172)/G172)</f>
        <v>4.8734770384254944E-2</v>
      </c>
      <c r="P172" s="403">
        <f>M172-H172</f>
        <v>0</v>
      </c>
      <c r="R172" s="382"/>
    </row>
    <row r="173" spans="1:18" s="397" customFormat="1" ht="12" customHeight="1">
      <c r="A173" s="430">
        <v>3</v>
      </c>
      <c r="B173" s="431" t="s">
        <v>43</v>
      </c>
      <c r="C173" s="432" t="s">
        <v>284</v>
      </c>
      <c r="D173" s="393">
        <v>0</v>
      </c>
      <c r="E173" s="400"/>
      <c r="F173" s="395">
        <v>0</v>
      </c>
      <c r="G173" s="395">
        <v>0</v>
      </c>
      <c r="H173" s="390"/>
      <c r="I173" s="393">
        <v>16193647138.440001</v>
      </c>
      <c r="J173" s="400"/>
      <c r="K173" s="395">
        <v>103.51</v>
      </c>
      <c r="L173" s="395">
        <v>103.51</v>
      </c>
      <c r="M173" s="390"/>
      <c r="N173" s="396"/>
      <c r="O173" s="396"/>
      <c r="P173" s="403"/>
      <c r="R173" s="382"/>
    </row>
    <row r="174" spans="1:18" s="123" customFormat="1" ht="12" customHeight="1">
      <c r="A174" s="430">
        <v>4</v>
      </c>
      <c r="B174" s="431" t="s">
        <v>45</v>
      </c>
      <c r="C174" s="432" t="s">
        <v>266</v>
      </c>
      <c r="D174" s="393">
        <v>2138523179</v>
      </c>
      <c r="E174" s="205">
        <f>(D174/$D$175)</f>
        <v>2.1288796940228758E-2</v>
      </c>
      <c r="F174" s="395">
        <v>1000000</v>
      </c>
      <c r="G174" s="395">
        <v>1000000</v>
      </c>
      <c r="H174" s="390">
        <v>6.9599999999999995E-2</v>
      </c>
      <c r="I174" s="393">
        <v>2151169989</v>
      </c>
      <c r="J174" s="205">
        <f>(I174/$I$175)</f>
        <v>1.8384571783209798E-2</v>
      </c>
      <c r="K174" s="395">
        <v>1000000</v>
      </c>
      <c r="L174" s="395">
        <v>1000000</v>
      </c>
      <c r="M174" s="390">
        <v>7.5600000000000001E-2</v>
      </c>
      <c r="N174" s="84">
        <f>((I174-D174)/D174)</f>
        <v>5.9138054355407105E-3</v>
      </c>
      <c r="O174" s="84">
        <f>((L174-G174)/G174)</f>
        <v>0</v>
      </c>
      <c r="P174" s="242">
        <f>M174-H174</f>
        <v>6.0000000000000053E-3</v>
      </c>
      <c r="R174" s="148" t="s">
        <v>226</v>
      </c>
    </row>
    <row r="175" spans="1:18" s="123" customFormat="1" ht="12" customHeight="1">
      <c r="A175" s="265"/>
      <c r="B175" s="266"/>
      <c r="C175" s="266" t="s">
        <v>219</v>
      </c>
      <c r="D175" s="83">
        <f>SUM(D171:D174)</f>
        <v>100452984027.42999</v>
      </c>
      <c r="E175" s="267"/>
      <c r="F175" s="80"/>
      <c r="G175" s="80"/>
      <c r="H175" s="243"/>
      <c r="I175" s="83">
        <f>SUM(I171:I174)</f>
        <v>117009523766.26001</v>
      </c>
      <c r="J175" s="248"/>
      <c r="K175" s="80"/>
      <c r="L175" s="80"/>
      <c r="M175" s="243"/>
      <c r="N175" s="84">
        <f>((I175-D175)/D175)</f>
        <v>0.16481879457467424</v>
      </c>
      <c r="O175" s="230"/>
      <c r="P175" s="242">
        <f>M175-H175</f>
        <v>0</v>
      </c>
      <c r="R175" s="149">
        <f>((I175-D175)/D175)</f>
        <v>0.16481879457467424</v>
      </c>
    </row>
    <row r="176" spans="1:18" s="123" customFormat="1" ht="7.5" customHeight="1">
      <c r="A176" s="458"/>
      <c r="B176" s="459"/>
      <c r="C176" s="459"/>
      <c r="D176" s="459"/>
      <c r="E176" s="459"/>
      <c r="F176" s="459"/>
      <c r="G176" s="459"/>
      <c r="H176" s="459"/>
      <c r="I176" s="459"/>
      <c r="J176" s="459"/>
      <c r="K176" s="459"/>
      <c r="L176" s="459"/>
      <c r="M176" s="459"/>
      <c r="N176" s="459"/>
      <c r="O176" s="459"/>
      <c r="P176" s="460"/>
      <c r="R176" s="200"/>
    </row>
    <row r="177" spans="1:18" s="123" customFormat="1" ht="12" customHeight="1">
      <c r="A177" s="455" t="s">
        <v>240</v>
      </c>
      <c r="B177" s="456"/>
      <c r="C177" s="456"/>
      <c r="D177" s="456"/>
      <c r="E177" s="456"/>
      <c r="F177" s="456"/>
      <c r="G177" s="456"/>
      <c r="H177" s="456"/>
      <c r="I177" s="456"/>
      <c r="J177" s="456"/>
      <c r="K177" s="456"/>
      <c r="L177" s="456"/>
      <c r="M177" s="456"/>
      <c r="N177" s="456"/>
      <c r="O177" s="456"/>
      <c r="P177" s="457"/>
      <c r="R177" s="200"/>
    </row>
    <row r="178" spans="1:18" s="123" customFormat="1" ht="25.5" customHeight="1">
      <c r="A178" s="274"/>
      <c r="B178" s="275" t="s">
        <v>210</v>
      </c>
      <c r="C178" s="276" t="s">
        <v>50</v>
      </c>
      <c r="D178" s="276" t="s">
        <v>78</v>
      </c>
      <c r="E178" s="277" t="s">
        <v>66</v>
      </c>
      <c r="F178" s="277"/>
      <c r="G178" s="277" t="s">
        <v>79</v>
      </c>
      <c r="H178" s="278"/>
      <c r="I178" s="279" t="s">
        <v>78</v>
      </c>
      <c r="J178" s="277" t="s">
        <v>66</v>
      </c>
      <c r="K178" s="279" t="s">
        <v>233</v>
      </c>
      <c r="L178" s="279" t="s">
        <v>234</v>
      </c>
      <c r="M178" s="277"/>
      <c r="N178" s="453" t="s">
        <v>67</v>
      </c>
      <c r="O178" s="453"/>
      <c r="P178" s="454"/>
      <c r="R178" s="200"/>
    </row>
    <row r="179" spans="1:18" s="123" customFormat="1" ht="12" customHeight="1">
      <c r="A179" s="201"/>
      <c r="B179" s="71"/>
      <c r="C179" s="71"/>
      <c r="D179" s="213"/>
      <c r="E179" s="213"/>
      <c r="F179" s="213"/>
      <c r="G179" s="213"/>
      <c r="H179" s="237"/>
      <c r="I179" s="233"/>
      <c r="J179" s="213"/>
      <c r="K179" s="213"/>
      <c r="L179" s="213"/>
      <c r="M179" s="236"/>
      <c r="N179" s="324" t="s">
        <v>128</v>
      </c>
      <c r="O179" s="328" t="s">
        <v>127</v>
      </c>
      <c r="P179" s="329" t="s">
        <v>235</v>
      </c>
      <c r="R179" s="200"/>
    </row>
    <row r="180" spans="1:18" s="123" customFormat="1" ht="12" customHeight="1">
      <c r="A180" s="430">
        <v>1</v>
      </c>
      <c r="B180" s="431" t="s">
        <v>33</v>
      </c>
      <c r="C180" s="432" t="s">
        <v>34</v>
      </c>
      <c r="D180" s="391">
        <v>2884581000</v>
      </c>
      <c r="E180" s="207">
        <f t="shared" ref="E180:E191" si="41">(D180/$D$192)</f>
        <v>0.38272216435348932</v>
      </c>
      <c r="F180" s="395">
        <v>19.22</v>
      </c>
      <c r="G180" s="395">
        <v>19.420000000000002</v>
      </c>
      <c r="H180" s="402"/>
      <c r="I180" s="391">
        <v>3881045000</v>
      </c>
      <c r="J180" s="207">
        <f t="shared" ref="J180:J190" si="42">(I180/$I$192)</f>
        <v>0.44817330925364468</v>
      </c>
      <c r="K180" s="395">
        <v>19.77</v>
      </c>
      <c r="L180" s="395">
        <v>19.97</v>
      </c>
      <c r="M180" s="402"/>
      <c r="N180" s="84">
        <f>((I180-D180)/D180)</f>
        <v>0.34544497103738808</v>
      </c>
      <c r="O180" s="84">
        <f t="shared" ref="O180:O191" si="43">((L180-G180)/G180)</f>
        <v>2.832131822863013E-2</v>
      </c>
      <c r="P180" s="242">
        <f t="shared" ref="P180:P192" si="44">M180-H180</f>
        <v>0</v>
      </c>
      <c r="R180" s="200"/>
    </row>
    <row r="181" spans="1:18" s="123" customFormat="1" ht="12" customHeight="1">
      <c r="A181" s="430">
        <v>2</v>
      </c>
      <c r="B181" s="431" t="s">
        <v>33</v>
      </c>
      <c r="C181" s="432" t="s">
        <v>64</v>
      </c>
      <c r="D181" s="81">
        <v>374046407.26999998</v>
      </c>
      <c r="E181" s="207">
        <f t="shared" si="41"/>
        <v>4.9627953092328182E-2</v>
      </c>
      <c r="F181" s="395">
        <v>4.41</v>
      </c>
      <c r="G181" s="395">
        <v>4.51</v>
      </c>
      <c r="H181" s="402"/>
      <c r="I181" s="81">
        <v>461806726.06</v>
      </c>
      <c r="J181" s="207">
        <f t="shared" si="42"/>
        <v>5.3328278505892501E-2</v>
      </c>
      <c r="K181" s="395">
        <v>4.4800000000000004</v>
      </c>
      <c r="L181" s="395">
        <v>4.58</v>
      </c>
      <c r="M181" s="402"/>
      <c r="N181" s="84">
        <f t="shared" ref="N181:N191" si="45">((I181-D181)/D181)</f>
        <v>0.23462414578587706</v>
      </c>
      <c r="O181" s="84">
        <f t="shared" si="43"/>
        <v>1.552106430155217E-2</v>
      </c>
      <c r="P181" s="242">
        <f t="shared" si="44"/>
        <v>0</v>
      </c>
      <c r="R181" s="200"/>
    </row>
    <row r="182" spans="1:18" s="123" customFormat="1" ht="12" customHeight="1">
      <c r="A182" s="430">
        <v>3</v>
      </c>
      <c r="B182" s="431" t="s">
        <v>33</v>
      </c>
      <c r="C182" s="432" t="s">
        <v>54</v>
      </c>
      <c r="D182" s="391">
        <v>162305285.12</v>
      </c>
      <c r="E182" s="207">
        <f t="shared" si="41"/>
        <v>2.1534437759638776E-2</v>
      </c>
      <c r="F182" s="395">
        <v>6.17</v>
      </c>
      <c r="G182" s="395">
        <v>6.27</v>
      </c>
      <c r="H182" s="402"/>
      <c r="I182" s="391">
        <v>159737163.52000001</v>
      </c>
      <c r="J182" s="207">
        <f t="shared" si="42"/>
        <v>1.8446045636046213E-2</v>
      </c>
      <c r="K182" s="395">
        <v>6.1</v>
      </c>
      <c r="L182" s="395">
        <v>6.2</v>
      </c>
      <c r="M182" s="402"/>
      <c r="N182" s="84">
        <f t="shared" si="45"/>
        <v>-1.5822784810126545E-2</v>
      </c>
      <c r="O182" s="84">
        <f t="shared" si="43"/>
        <v>-1.1164274322168963E-2</v>
      </c>
      <c r="P182" s="242">
        <f t="shared" si="44"/>
        <v>0</v>
      </c>
      <c r="R182" s="200"/>
    </row>
    <row r="183" spans="1:18" s="123" customFormat="1" ht="12" customHeight="1">
      <c r="A183" s="430">
        <v>4</v>
      </c>
      <c r="B183" s="431" t="s">
        <v>33</v>
      </c>
      <c r="C183" s="432" t="s">
        <v>55</v>
      </c>
      <c r="D183" s="81">
        <v>257162956.88999999</v>
      </c>
      <c r="E183" s="207">
        <f t="shared" si="41"/>
        <v>3.4120020707507907E-2</v>
      </c>
      <c r="F183" s="395">
        <v>24.42</v>
      </c>
      <c r="G183" s="395">
        <v>24.62</v>
      </c>
      <c r="H183" s="402"/>
      <c r="I183" s="81">
        <v>258426139.65000001</v>
      </c>
      <c r="J183" s="207">
        <v>0.24610000000000001</v>
      </c>
      <c r="K183" s="395">
        <v>24.81</v>
      </c>
      <c r="L183" s="395">
        <v>24.65</v>
      </c>
      <c r="M183" s="402"/>
      <c r="N183" s="84">
        <f t="shared" si="45"/>
        <v>4.9119934506754778E-3</v>
      </c>
      <c r="O183" s="84">
        <f t="shared" si="43"/>
        <v>1.2185215272135493E-3</v>
      </c>
      <c r="P183" s="242">
        <f t="shared" si="44"/>
        <v>0</v>
      </c>
      <c r="R183" s="200"/>
    </row>
    <row r="184" spans="1:18" s="123" customFormat="1" ht="12" customHeight="1">
      <c r="A184" s="430">
        <v>5</v>
      </c>
      <c r="B184" s="431" t="s">
        <v>33</v>
      </c>
      <c r="C184" s="432" t="s">
        <v>98</v>
      </c>
      <c r="D184" s="391">
        <v>575332271.37</v>
      </c>
      <c r="E184" s="207">
        <f t="shared" si="41"/>
        <v>7.6334279439937883E-2</v>
      </c>
      <c r="F184" s="395">
        <v>140.30000000000001</v>
      </c>
      <c r="G184" s="395">
        <v>142.30000000000001</v>
      </c>
      <c r="H184" s="402"/>
      <c r="I184" s="391">
        <v>573572091.87</v>
      </c>
      <c r="J184" s="207">
        <f t="shared" si="42"/>
        <v>6.6234661672027351E-2</v>
      </c>
      <c r="K184" s="395">
        <v>140.15</v>
      </c>
      <c r="L184" s="395">
        <v>142.15</v>
      </c>
      <c r="M184" s="402"/>
      <c r="N184" s="84">
        <f t="shared" si="45"/>
        <v>-3.0594138163127942E-3</v>
      </c>
      <c r="O184" s="84">
        <f t="shared" si="43"/>
        <v>-1.0541110330288522E-3</v>
      </c>
      <c r="P184" s="242">
        <f t="shared" si="44"/>
        <v>0</v>
      </c>
      <c r="R184" s="200"/>
    </row>
    <row r="185" spans="1:18" s="123" customFormat="1" ht="12" customHeight="1">
      <c r="A185" s="430">
        <v>6</v>
      </c>
      <c r="B185" s="431" t="s">
        <v>35</v>
      </c>
      <c r="C185" s="432" t="s">
        <v>36</v>
      </c>
      <c r="D185" s="391">
        <v>656544429.39999998</v>
      </c>
      <c r="E185" s="207">
        <f t="shared" si="41"/>
        <v>8.7109394748906221E-2</v>
      </c>
      <c r="F185" s="395">
        <v>12295.3</v>
      </c>
      <c r="G185" s="395">
        <v>12295.3</v>
      </c>
      <c r="H185" s="402"/>
      <c r="I185" s="391">
        <v>655567246</v>
      </c>
      <c r="J185" s="207">
        <f t="shared" si="42"/>
        <v>7.5703255715436998E-2</v>
      </c>
      <c r="K185" s="395">
        <v>12277</v>
      </c>
      <c r="L185" s="395">
        <v>12277</v>
      </c>
      <c r="M185" s="402"/>
      <c r="N185" s="84">
        <f t="shared" si="45"/>
        <v>-1.4883736061746808E-3</v>
      </c>
      <c r="O185" s="84">
        <f t="shared" si="43"/>
        <v>-1.4883736061746581E-3</v>
      </c>
      <c r="P185" s="242">
        <f t="shared" si="44"/>
        <v>0</v>
      </c>
      <c r="R185" s="200"/>
    </row>
    <row r="186" spans="1:18" s="123" customFormat="1" ht="12" customHeight="1">
      <c r="A186" s="430">
        <v>7</v>
      </c>
      <c r="B186" s="431" t="s">
        <v>27</v>
      </c>
      <c r="C186" s="432" t="s">
        <v>102</v>
      </c>
      <c r="D186" s="391">
        <v>542561141.20000005</v>
      </c>
      <c r="E186" s="207">
        <f t="shared" si="41"/>
        <v>7.1986251817564892E-2</v>
      </c>
      <c r="F186" s="395">
        <v>16.239999999999998</v>
      </c>
      <c r="G186" s="395">
        <v>16.239999999999998</v>
      </c>
      <c r="H186" s="402">
        <v>4.6399999999999997E-2</v>
      </c>
      <c r="I186" s="391">
        <v>558941668.99000001</v>
      </c>
      <c r="J186" s="207">
        <f t="shared" si="42"/>
        <v>6.4545177257930159E-2</v>
      </c>
      <c r="K186" s="395">
        <v>16.73</v>
      </c>
      <c r="L186" s="395">
        <v>16.73</v>
      </c>
      <c r="M186" s="402">
        <v>7.8E-2</v>
      </c>
      <c r="N186" s="84">
        <f t="shared" si="45"/>
        <v>3.0191118652122078E-2</v>
      </c>
      <c r="O186" s="84">
        <f t="shared" si="43"/>
        <v>3.0172413793103574E-2</v>
      </c>
      <c r="P186" s="242">
        <f t="shared" si="44"/>
        <v>3.1600000000000003E-2</v>
      </c>
      <c r="R186" s="200"/>
    </row>
    <row r="187" spans="1:18" s="123" customFormat="1" ht="12" customHeight="1">
      <c r="A187" s="430">
        <v>8</v>
      </c>
      <c r="B187" s="431" t="s">
        <v>43</v>
      </c>
      <c r="C187" s="432" t="s">
        <v>44</v>
      </c>
      <c r="D187" s="391">
        <v>465985818.86000001</v>
      </c>
      <c r="E187" s="207">
        <f t="shared" si="41"/>
        <v>6.1826345369442641E-2</v>
      </c>
      <c r="F187" s="395">
        <v>107.37</v>
      </c>
      <c r="G187" s="395">
        <v>109.23</v>
      </c>
      <c r="H187" s="402">
        <v>4.2799999999999998E-2</v>
      </c>
      <c r="I187" s="391">
        <v>478721776.20999998</v>
      </c>
      <c r="J187" s="207">
        <f t="shared" si="42"/>
        <v>5.5281585927454691E-2</v>
      </c>
      <c r="K187" s="395">
        <v>110.3</v>
      </c>
      <c r="L187" s="395">
        <v>112.21</v>
      </c>
      <c r="M187" s="402">
        <v>7.1199999999999999E-2</v>
      </c>
      <c r="N187" s="84">
        <f t="shared" si="45"/>
        <v>2.7331212312764249E-2</v>
      </c>
      <c r="O187" s="84">
        <f t="shared" si="43"/>
        <v>2.7281882266776431E-2</v>
      </c>
      <c r="P187" s="242">
        <f t="shared" si="44"/>
        <v>2.8400000000000002E-2</v>
      </c>
      <c r="R187" s="200"/>
    </row>
    <row r="188" spans="1:18" s="123" customFormat="1" ht="12" customHeight="1">
      <c r="A188" s="430">
        <v>9</v>
      </c>
      <c r="B188" s="431" t="s">
        <v>43</v>
      </c>
      <c r="C188" s="432" t="s">
        <v>100</v>
      </c>
      <c r="D188" s="391">
        <v>640673529.03999996</v>
      </c>
      <c r="E188" s="207">
        <f t="shared" si="41"/>
        <v>8.5003665932132558E-2</v>
      </c>
      <c r="F188" s="395">
        <v>140.09</v>
      </c>
      <c r="G188" s="395">
        <v>137.69</v>
      </c>
      <c r="H188" s="402">
        <v>4.1700000000000001E-2</v>
      </c>
      <c r="I188" s="391">
        <v>659082179.95000005</v>
      </c>
      <c r="J188" s="207">
        <f t="shared" si="42"/>
        <v>7.6109151442020809E-2</v>
      </c>
      <c r="K188" s="395">
        <v>141.65</v>
      </c>
      <c r="L188" s="395">
        <v>144.12</v>
      </c>
      <c r="M188" s="402">
        <v>7.17E-2</v>
      </c>
      <c r="N188" s="84">
        <f>((I188-D188)/D188)</f>
        <v>2.8733278457101285E-2</v>
      </c>
      <c r="O188" s="84">
        <f t="shared" si="43"/>
        <v>4.6699106688938972E-2</v>
      </c>
      <c r="P188" s="242">
        <f t="shared" si="44"/>
        <v>0.03</v>
      </c>
      <c r="R188" s="200"/>
    </row>
    <row r="189" spans="1:18" s="123" customFormat="1" ht="12" customHeight="1">
      <c r="A189" s="430">
        <v>10</v>
      </c>
      <c r="B189" s="431" t="s">
        <v>93</v>
      </c>
      <c r="C189" s="432" t="s">
        <v>244</v>
      </c>
      <c r="D189" s="391">
        <v>541250290.91999996</v>
      </c>
      <c r="E189" s="207">
        <f t="shared" si="41"/>
        <v>7.1812330039564887E-2</v>
      </c>
      <c r="F189" s="395">
        <v>124.61</v>
      </c>
      <c r="G189" s="395">
        <v>127.58</v>
      </c>
      <c r="H189" s="402"/>
      <c r="I189" s="391">
        <v>551574995.07993412</v>
      </c>
      <c r="J189" s="207">
        <f t="shared" si="42"/>
        <v>6.3694492294352908E-2</v>
      </c>
      <c r="K189" s="395">
        <v>126.99</v>
      </c>
      <c r="L189" s="395">
        <v>129.96</v>
      </c>
      <c r="M189" s="402"/>
      <c r="N189" s="84">
        <f>((I189-D189)/D189)</f>
        <v>1.9075655631306102E-2</v>
      </c>
      <c r="O189" s="84">
        <f t="shared" si="43"/>
        <v>1.865496159272621E-2</v>
      </c>
      <c r="P189" s="242">
        <f t="shared" si="44"/>
        <v>0</v>
      </c>
      <c r="R189" s="200"/>
    </row>
    <row r="190" spans="1:18" s="123" customFormat="1" ht="12" customHeight="1">
      <c r="A190" s="430">
        <v>11</v>
      </c>
      <c r="B190" s="431" t="s">
        <v>59</v>
      </c>
      <c r="C190" s="432" t="s">
        <v>199</v>
      </c>
      <c r="D190" s="391">
        <v>244737027.19</v>
      </c>
      <c r="E190" s="207">
        <f t="shared" si="41"/>
        <v>3.2471365769793106E-2</v>
      </c>
      <c r="F190" s="395">
        <v>16.399999999999999</v>
      </c>
      <c r="G190" s="395">
        <v>16.5</v>
      </c>
      <c r="H190" s="402"/>
      <c r="I190" s="391">
        <v>236249253.47</v>
      </c>
      <c r="J190" s="207">
        <f t="shared" si="42"/>
        <v>2.7281469227064616E-2</v>
      </c>
      <c r="K190" s="395">
        <v>16.399999999999999</v>
      </c>
      <c r="L190" s="395">
        <v>16.5</v>
      </c>
      <c r="M190" s="402"/>
      <c r="N190" s="84">
        <f>((I190-D190)/D190)</f>
        <v>-3.4681199724676606E-2</v>
      </c>
      <c r="O190" s="84">
        <f t="shared" si="43"/>
        <v>0</v>
      </c>
      <c r="P190" s="242">
        <f t="shared" si="44"/>
        <v>0</v>
      </c>
      <c r="R190" s="200"/>
    </row>
    <row r="191" spans="1:18" s="123" customFormat="1" ht="12" customHeight="1">
      <c r="A191" s="430">
        <v>12</v>
      </c>
      <c r="B191" s="431" t="s">
        <v>59</v>
      </c>
      <c r="C191" s="432" t="s">
        <v>200</v>
      </c>
      <c r="D191" s="391">
        <v>191830417.69</v>
      </c>
      <c r="E191" s="207">
        <f t="shared" si="41"/>
        <v>2.5451790969693928E-2</v>
      </c>
      <c r="F191" s="395">
        <v>17.399999999999999</v>
      </c>
      <c r="G191" s="395">
        <v>17.5</v>
      </c>
      <c r="H191" s="402"/>
      <c r="I191" s="391">
        <v>184972621.69999999</v>
      </c>
      <c r="J191" s="207">
        <f>(I191/$I$192)</f>
        <v>2.136017283711256E-2</v>
      </c>
      <c r="K191" s="395">
        <v>17.399999999999999</v>
      </c>
      <c r="L191" s="395">
        <v>17.5</v>
      </c>
      <c r="M191" s="402"/>
      <c r="N191" s="84">
        <f t="shared" si="45"/>
        <v>-3.5749262669501562E-2</v>
      </c>
      <c r="O191" s="84">
        <f t="shared" si="43"/>
        <v>0</v>
      </c>
      <c r="P191" s="242">
        <f t="shared" si="44"/>
        <v>0</v>
      </c>
      <c r="R191" s="202"/>
    </row>
    <row r="192" spans="1:18" s="123" customFormat="1" ht="12" customHeight="1">
      <c r="A192" s="265"/>
      <c r="B192" s="266"/>
      <c r="C192" s="266" t="s">
        <v>37</v>
      </c>
      <c r="D192" s="83">
        <f>SUM(D180:D191)</f>
        <v>7537010574.9499979</v>
      </c>
      <c r="E192" s="267"/>
      <c r="F192" s="247"/>
      <c r="G192" s="80"/>
      <c r="H192" s="243"/>
      <c r="I192" s="83">
        <f>SUM(I180:I191)</f>
        <v>8659696862.4999352</v>
      </c>
      <c r="J192" s="248"/>
      <c r="K192" s="247"/>
      <c r="L192" s="80"/>
      <c r="M192" s="243"/>
      <c r="N192" s="84">
        <f>((I192-D192)/D192)</f>
        <v>0.14895644319264942</v>
      </c>
      <c r="O192" s="230"/>
      <c r="P192" s="403">
        <f t="shared" si="44"/>
        <v>0</v>
      </c>
      <c r="R192" s="148" t="s">
        <v>180</v>
      </c>
    </row>
    <row r="193" spans="1:18" s="123" customFormat="1" ht="12" customHeight="1" thickBot="1">
      <c r="A193" s="269"/>
      <c r="B193" s="270"/>
      <c r="C193" s="270" t="s">
        <v>47</v>
      </c>
      <c r="D193" s="271">
        <f>SUM(D166,D175,D192)</f>
        <v>1598911991673.8425</v>
      </c>
      <c r="E193" s="271"/>
      <c r="F193" s="271"/>
      <c r="G193" s="272"/>
      <c r="H193" s="273"/>
      <c r="I193" s="271">
        <f>SUM(I166,I175,I192)</f>
        <v>1638519286447.6008</v>
      </c>
      <c r="J193" s="249"/>
      <c r="K193" s="249"/>
      <c r="L193" s="250"/>
      <c r="M193" s="251"/>
      <c r="N193" s="226"/>
      <c r="O193" s="231"/>
      <c r="P193" s="227"/>
      <c r="R193" s="149">
        <f>((I192-D192)/D192)</f>
        <v>0.14895644319264942</v>
      </c>
    </row>
    <row r="194" spans="1:18" ht="12" customHeight="1">
      <c r="A194" s="252"/>
      <c r="B194" s="253"/>
      <c r="C194" s="101"/>
      <c r="D194" s="68"/>
      <c r="E194" s="68"/>
      <c r="F194" s="68"/>
      <c r="G194" s="254"/>
      <c r="H194" s="255"/>
      <c r="I194" s="8"/>
      <c r="J194" s="68"/>
      <c r="K194" s="68"/>
      <c r="L194" s="256"/>
      <c r="M194" s="257"/>
    </row>
    <row r="195" spans="1:18" ht="12" customHeight="1">
      <c r="A195" s="257"/>
      <c r="B195" s="259"/>
      <c r="C195" s="256"/>
      <c r="D195" s="256"/>
      <c r="E195" s="256"/>
      <c r="F195" s="256"/>
      <c r="G195" s="256"/>
      <c r="H195" s="258"/>
      <c r="I195" s="260"/>
      <c r="J195" s="256"/>
      <c r="K195" s="256"/>
      <c r="L195" s="256"/>
      <c r="M195" s="257"/>
    </row>
    <row r="196" spans="1:18" ht="12" customHeight="1">
      <c r="A196" s="257"/>
      <c r="B196" s="256"/>
      <c r="C196" s="259"/>
      <c r="D196" s="256"/>
      <c r="E196" s="256"/>
      <c r="F196" s="256"/>
      <c r="G196" s="256"/>
      <c r="H196" s="258"/>
      <c r="I196" s="260"/>
      <c r="J196" s="256"/>
      <c r="K196" s="256"/>
      <c r="L196" s="256"/>
      <c r="M196" s="257"/>
    </row>
    <row r="197" spans="1:18" ht="12" customHeight="1">
      <c r="A197" s="257"/>
      <c r="B197" s="261"/>
      <c r="C197" s="262"/>
      <c r="D197" s="256"/>
      <c r="E197" s="256"/>
      <c r="F197" s="256"/>
      <c r="G197" s="256"/>
      <c r="H197" s="258"/>
      <c r="I197" s="260"/>
      <c r="J197" s="256"/>
      <c r="K197" s="256"/>
      <c r="L197" s="256"/>
      <c r="M197" s="257"/>
    </row>
    <row r="198" spans="1:18" ht="12" customHeight="1">
      <c r="A198" s="257"/>
      <c r="B198" s="261"/>
      <c r="C198" s="261"/>
      <c r="D198" s="256"/>
      <c r="E198" s="256"/>
      <c r="F198" s="256"/>
      <c r="G198" s="256"/>
      <c r="H198" s="258"/>
      <c r="I198" s="260"/>
      <c r="J198" s="256"/>
      <c r="K198" s="256"/>
      <c r="L198" s="256"/>
      <c r="M198" s="257"/>
    </row>
    <row r="199" spans="1:18" ht="12" customHeight="1">
      <c r="A199" s="257"/>
      <c r="B199" s="261"/>
      <c r="C199" s="261"/>
      <c r="D199" s="256"/>
      <c r="E199" s="256"/>
      <c r="F199" s="256"/>
      <c r="G199" s="256"/>
      <c r="H199" s="258"/>
      <c r="I199" s="260"/>
      <c r="J199" s="256"/>
      <c r="K199" s="256"/>
      <c r="L199" s="256"/>
      <c r="M199" s="257"/>
    </row>
    <row r="200" spans="1:18" ht="12" customHeight="1">
      <c r="A200" s="257"/>
      <c r="B200" s="261"/>
      <c r="C200" s="261"/>
      <c r="D200" s="256"/>
      <c r="E200" s="256"/>
      <c r="F200" s="256"/>
      <c r="G200" s="256"/>
      <c r="H200" s="258"/>
      <c r="I200" s="260"/>
      <c r="J200" s="256"/>
      <c r="K200" s="256"/>
      <c r="L200" s="256"/>
      <c r="M200" s="257"/>
    </row>
    <row r="201" spans="1:18" ht="12" customHeight="1">
      <c r="A201" s="257"/>
      <c r="B201" s="261"/>
      <c r="C201" s="262"/>
      <c r="D201" s="256"/>
      <c r="E201" s="256"/>
      <c r="F201" s="256"/>
      <c r="G201" s="256"/>
      <c r="H201" s="258"/>
      <c r="I201" s="260"/>
      <c r="J201" s="256"/>
      <c r="K201" s="256"/>
      <c r="L201" s="256"/>
      <c r="M201" s="257"/>
    </row>
    <row r="202" spans="1:18" ht="12" customHeight="1">
      <c r="B202" s="261"/>
      <c r="C202" s="261"/>
      <c r="D202" s="256"/>
      <c r="E202" s="256"/>
      <c r="F202" s="256"/>
      <c r="G202" s="256"/>
      <c r="H202" s="258"/>
      <c r="I202" s="260"/>
      <c r="J202" s="256"/>
      <c r="K202" s="256"/>
      <c r="L202" s="256"/>
      <c r="M202" s="257"/>
    </row>
    <row r="203" spans="1:18" ht="12" customHeight="1">
      <c r="B203" s="5"/>
      <c r="C203" s="5"/>
    </row>
    <row r="204" spans="1:18" ht="12" customHeight="1">
      <c r="B204" s="5"/>
      <c r="C204" s="5"/>
    </row>
    <row r="205" spans="1:18" ht="12" customHeight="1">
      <c r="B205" s="5"/>
      <c r="C205" s="7"/>
    </row>
    <row r="206" spans="1:18" ht="12" customHeight="1">
      <c r="B206" s="5"/>
      <c r="C206" s="5"/>
    </row>
    <row r="207" spans="1:18" ht="12" customHeight="1">
      <c r="B207" s="5"/>
      <c r="C207" s="5"/>
    </row>
    <row r="208" spans="1:18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5"/>
      <c r="C228" s="5"/>
    </row>
    <row r="229" spans="2:3" ht="12" customHeight="1">
      <c r="B229" s="5"/>
      <c r="C229" s="5"/>
    </row>
    <row r="230" spans="2:3" ht="12" customHeight="1">
      <c r="B230" s="5"/>
      <c r="C230" s="5"/>
    </row>
    <row r="231" spans="2:3" ht="12" customHeight="1">
      <c r="B231" s="5"/>
      <c r="C231" s="5"/>
    </row>
    <row r="232" spans="2:3" ht="12" customHeight="1">
      <c r="B232" s="5"/>
      <c r="C232" s="5"/>
    </row>
    <row r="233" spans="2:3" ht="12" customHeight="1">
      <c r="B233" s="5"/>
      <c r="C233" s="5"/>
    </row>
    <row r="234" spans="2:3" ht="12" customHeight="1">
      <c r="B234" s="5"/>
      <c r="C234" s="5"/>
    </row>
    <row r="235" spans="2:3" ht="12" customHeight="1">
      <c r="B235" s="5"/>
      <c r="C235" s="5"/>
    </row>
    <row r="236" spans="2:3" ht="12" customHeight="1">
      <c r="B236" s="5"/>
      <c r="C236" s="5"/>
    </row>
    <row r="237" spans="2:3" ht="12" customHeight="1">
      <c r="B237" s="5"/>
      <c r="C237" s="5"/>
    </row>
    <row r="238" spans="2:3" ht="12" customHeight="1">
      <c r="B238" s="6"/>
      <c r="C238" s="6"/>
    </row>
    <row r="239" spans="2:3" ht="12" customHeight="1">
      <c r="B239" s="6"/>
      <c r="C239" s="6"/>
    </row>
    <row r="240" spans="2:3" ht="12" customHeight="1">
      <c r="B240" s="6"/>
      <c r="C240" s="6"/>
    </row>
  </sheetData>
  <protectedRanges>
    <protectedRange password="CADF" sqref="E47" name="Yield_1_1_2_1_1_1"/>
    <protectedRange password="CADF" sqref="E52" name="Yield_1_1_1_1"/>
    <protectedRange password="CADF" sqref="I19 D19" name="Fund Name_1_1_1_3_1_1"/>
    <protectedRange password="CADF" sqref="M19 H19" name="Yield_1_1_2_1_3"/>
    <protectedRange password="CADF" sqref="K19:L19 F19:G19" name="Fund Name_1_1_1_1_1_1"/>
    <protectedRange password="CADF" sqref="I47 D47" name="Yield_2_1_2_3_1"/>
    <protectedRange password="CADF" sqref="I52 D52" name="Yield_2_1_2_4_1"/>
    <protectedRange password="CADF" sqref="M52 H52" name="Yield_1_1_1_1_1"/>
    <protectedRange password="CADF" sqref="I77 D77" name="Yield_2_1_2_1_1"/>
    <protectedRange password="CADF" sqref="M77 H77" name="Yield_1_1_2_1_2_1"/>
    <protectedRange password="CADF" sqref="K77:L77 F77:G77" name="Fund Name_2_2_1_1"/>
    <protectedRange password="CADF" sqref="K76 F76" name="BidOffer Prices_2_1_1_1_1_1_1_1_2"/>
    <protectedRange password="CADF" sqref="L76 G76" name="BidOffer Prices_2_1_1_1_1_1_1_1_1_1"/>
    <protectedRange password="CADF" sqref="I141:I143 D141:D143" name="Fund Name_1_1_1_2"/>
    <protectedRange password="CADF" sqref="M141:M143 H141:H143" name="Yield_1_1_2_2"/>
    <protectedRange password="CADF" sqref="K141:L143 F141:G143" name="Fund Name_1_1_1_1_2"/>
    <protectedRange password="CADF" sqref="M47 H47" name="Yield_1_1_2_1_1_1_1_1"/>
    <protectedRange password="CADF" sqref="I94 D94" name="Yield_2_1_2_6_3"/>
  </protectedRanges>
  <mergeCells count="42">
    <mergeCell ref="A1:P1"/>
    <mergeCell ref="A56:P56"/>
    <mergeCell ref="A23:P23"/>
    <mergeCell ref="A55:P55"/>
    <mergeCell ref="A24:P24"/>
    <mergeCell ref="D2:H2"/>
    <mergeCell ref="I2:M2"/>
    <mergeCell ref="N2:O2"/>
    <mergeCell ref="A4:P4"/>
    <mergeCell ref="A5:P5"/>
    <mergeCell ref="A101:P101"/>
    <mergeCell ref="A90:P90"/>
    <mergeCell ref="A89:P89"/>
    <mergeCell ref="S70:T70"/>
    <mergeCell ref="S102:S103"/>
    <mergeCell ref="T31:U31"/>
    <mergeCell ref="T32:U32"/>
    <mergeCell ref="T30:U30"/>
    <mergeCell ref="T35:U35"/>
    <mergeCell ref="S40:S41"/>
    <mergeCell ref="U117:U119"/>
    <mergeCell ref="T71:T83"/>
    <mergeCell ref="R120:R121"/>
    <mergeCell ref="N178:P178"/>
    <mergeCell ref="A177:P177"/>
    <mergeCell ref="N169:P169"/>
    <mergeCell ref="A168:P168"/>
    <mergeCell ref="A157:P157"/>
    <mergeCell ref="A156:P156"/>
    <mergeCell ref="A167:P167"/>
    <mergeCell ref="A176:P176"/>
    <mergeCell ref="A88:P88"/>
    <mergeCell ref="A100:P100"/>
    <mergeCell ref="A111:P111"/>
    <mergeCell ref="A118:P118"/>
    <mergeCell ref="A152:P152"/>
    <mergeCell ref="A153:P153"/>
    <mergeCell ref="A146:P146"/>
    <mergeCell ref="A119:P119"/>
    <mergeCell ref="A112:P112"/>
    <mergeCell ref="A151:P151"/>
    <mergeCell ref="A145:P145"/>
  </mergeCells>
  <pageMargins left="0.44" right="0.49" top="0.17" bottom="0.69" header="0.33" footer="0.55000000000000004"/>
  <pageSetup paperSize="9" scale="95" orientation="landscape" r:id="rId1"/>
  <rowBreaks count="4" manualBreakCount="4">
    <brk id="45" max="16383" man="1"/>
    <brk id="89" max="16383" man="1"/>
    <brk id="99" max="16383" man="1"/>
    <brk id="137" max="16383" man="1"/>
  </rowBreaks>
  <colBreaks count="1" manualBreakCount="1">
    <brk id="8" max="18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11"/>
      <c r="F3" s="111"/>
      <c r="G3" s="111"/>
    </row>
    <row r="4" spans="1:7">
      <c r="E4" s="111"/>
      <c r="F4" s="111"/>
      <c r="G4" s="111"/>
    </row>
    <row r="5" spans="1:7">
      <c r="E5" s="111"/>
      <c r="F5" s="111"/>
      <c r="G5" s="111"/>
    </row>
    <row r="6" spans="1:7">
      <c r="E6" s="108" t="s">
        <v>69</v>
      </c>
      <c r="F6" s="109" t="s">
        <v>162</v>
      </c>
      <c r="G6" s="111"/>
    </row>
    <row r="7" spans="1:7">
      <c r="E7" s="208" t="s">
        <v>0</v>
      </c>
      <c r="F7" s="110">
        <f>'NAV Trend'!J2</f>
        <v>17133825597.439997</v>
      </c>
      <c r="G7" s="111"/>
    </row>
    <row r="8" spans="1:7">
      <c r="E8" s="208" t="s">
        <v>48</v>
      </c>
      <c r="F8" s="110">
        <f>'NAV Trend'!J3</f>
        <v>708387215249.38928</v>
      </c>
      <c r="G8" s="111"/>
    </row>
    <row r="9" spans="1:7">
      <c r="A9" s="111"/>
      <c r="B9" s="111"/>
      <c r="E9" s="208" t="s">
        <v>209</v>
      </c>
      <c r="F9" s="110">
        <f>'NAV Trend'!J4</f>
        <v>346326319129.15698</v>
      </c>
      <c r="G9" s="111"/>
    </row>
    <row r="10" spans="1:7">
      <c r="A10" s="478"/>
      <c r="B10" s="478"/>
      <c r="E10" s="208" t="s">
        <v>211</v>
      </c>
      <c r="F10" s="110">
        <f>'NAV Trend'!J5</f>
        <v>315407028595.76306</v>
      </c>
      <c r="G10" s="111"/>
    </row>
    <row r="11" spans="1:7">
      <c r="A11" s="104"/>
      <c r="B11" s="104"/>
      <c r="E11" s="208" t="s">
        <v>231</v>
      </c>
      <c r="F11" s="110">
        <f>'NAV Trend'!J6</f>
        <v>46289004330.269997</v>
      </c>
      <c r="G11" s="111"/>
    </row>
    <row r="12" spans="1:7">
      <c r="A12" s="105"/>
      <c r="B12" s="106"/>
      <c r="E12" s="208" t="s">
        <v>65</v>
      </c>
      <c r="F12" s="110">
        <f>'NAV Trend'!J7</f>
        <v>31150543689.963333</v>
      </c>
      <c r="G12" s="111"/>
    </row>
    <row r="13" spans="1:7">
      <c r="A13" s="105"/>
      <c r="B13" s="106"/>
      <c r="E13" s="208" t="s">
        <v>71</v>
      </c>
      <c r="F13" s="110">
        <f>'NAV Trend'!J8</f>
        <v>3049787978.2799997</v>
      </c>
      <c r="G13" s="111"/>
    </row>
    <row r="14" spans="1:7">
      <c r="A14" s="105"/>
      <c r="B14" s="106"/>
      <c r="E14" s="208" t="s">
        <v>225</v>
      </c>
      <c r="F14" s="209">
        <f>'NAV Trend'!J9</f>
        <v>23178272501.200001</v>
      </c>
      <c r="G14" s="111"/>
    </row>
    <row r="15" spans="1:7">
      <c r="A15" s="105"/>
      <c r="B15" s="106"/>
      <c r="E15" s="111"/>
      <c r="F15" s="111"/>
      <c r="G15" s="111"/>
    </row>
    <row r="16" spans="1:7">
      <c r="A16" s="105"/>
      <c r="B16" s="106"/>
      <c r="E16" s="111"/>
      <c r="F16" s="111"/>
      <c r="G16" s="111"/>
    </row>
    <row r="17" spans="1:13">
      <c r="A17" s="105"/>
      <c r="B17" s="106"/>
      <c r="E17" s="111"/>
      <c r="F17" s="111"/>
      <c r="G17" s="111"/>
    </row>
    <row r="18" spans="1:13">
      <c r="A18" s="105"/>
      <c r="B18" s="106"/>
      <c r="E18" s="111"/>
      <c r="F18" s="111"/>
      <c r="G18" s="111"/>
    </row>
    <row r="19" spans="1:13">
      <c r="A19" s="105"/>
      <c r="B19" s="106"/>
      <c r="E19" s="111"/>
      <c r="F19" s="111"/>
      <c r="G19" s="111"/>
    </row>
    <row r="24" spans="1:13" s="102" customFormat="1" ht="21.75" customHeight="1"/>
    <row r="25" spans="1:13" ht="30.75" customHeight="1">
      <c r="B25" s="112" t="s">
        <v>164</v>
      </c>
      <c r="M25" s="103"/>
    </row>
    <row r="26" spans="1:13" ht="68.25" customHeight="1">
      <c r="B26" s="479" t="s">
        <v>290</v>
      </c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10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H1" activePane="topRight" state="frozen"/>
      <selection activeCell="B1" sqref="B1"/>
      <selection pane="topRight" activeCell="L1" sqref="L1"/>
    </sheetView>
  </sheetViews>
  <sheetFormatPr defaultColWidth="8.85546875" defaultRowHeight="15"/>
  <cols>
    <col min="1" max="1" width="0.28515625" hidden="1" customWidth="1"/>
    <col min="2" max="2" width="32" customWidth="1"/>
    <col min="3" max="3" width="21.7109375" customWidth="1"/>
    <col min="4" max="4" width="22.28515625" customWidth="1"/>
    <col min="5" max="5" width="22.140625" customWidth="1"/>
    <col min="6" max="6" width="23.140625" customWidth="1"/>
    <col min="7" max="7" width="22.140625" customWidth="1"/>
    <col min="8" max="8" width="23.28515625" customWidth="1"/>
    <col min="9" max="9" width="23.85546875" customWidth="1"/>
    <col min="10" max="10" width="22.7109375" customWidth="1"/>
    <col min="11" max="11" width="23" customWidth="1"/>
  </cols>
  <sheetData>
    <row r="1" spans="2:24" ht="16.5">
      <c r="B1" s="418" t="s">
        <v>69</v>
      </c>
      <c r="C1" s="411">
        <v>44911</v>
      </c>
      <c r="D1" s="411">
        <v>45283</v>
      </c>
      <c r="E1" s="411">
        <v>45290</v>
      </c>
      <c r="F1" s="411">
        <v>44932</v>
      </c>
      <c r="G1" s="411">
        <v>44939</v>
      </c>
      <c r="H1" s="411">
        <v>44946</v>
      </c>
      <c r="I1" s="411">
        <v>44953</v>
      </c>
      <c r="J1" s="411">
        <v>44960</v>
      </c>
      <c r="K1" s="411">
        <v>44967</v>
      </c>
      <c r="L1" s="332"/>
    </row>
    <row r="2" spans="2:24" s="119" customFormat="1" ht="16.5">
      <c r="B2" s="419" t="s">
        <v>0</v>
      </c>
      <c r="C2" s="412">
        <v>15526960302.890003</v>
      </c>
      <c r="D2" s="412">
        <v>15749133335.319998</v>
      </c>
      <c r="E2" s="412">
        <v>16107237306.709997</v>
      </c>
      <c r="F2" s="412">
        <v>16254149306.32</v>
      </c>
      <c r="G2" s="412">
        <v>16656064177.77</v>
      </c>
      <c r="H2" s="412">
        <v>16651193594.34</v>
      </c>
      <c r="I2" s="412">
        <v>16797381909.850002</v>
      </c>
      <c r="J2" s="412">
        <v>17133825597.439997</v>
      </c>
      <c r="K2" s="412">
        <v>17103979411.670002</v>
      </c>
    </row>
    <row r="3" spans="2:24" s="119" customFormat="1" ht="16.5">
      <c r="B3" s="419" t="s">
        <v>48</v>
      </c>
      <c r="C3" s="413">
        <v>590991900611.65771</v>
      </c>
      <c r="D3" s="413">
        <v>599441283293.77356</v>
      </c>
      <c r="E3" s="413">
        <v>614697197461.63013</v>
      </c>
      <c r="F3" s="413">
        <v>638005833111.39978</v>
      </c>
      <c r="G3" s="413">
        <v>652456174435.47937</v>
      </c>
      <c r="H3" s="413">
        <v>668991989528.35986</v>
      </c>
      <c r="I3" s="413">
        <v>689393093044.69934</v>
      </c>
      <c r="J3" s="413">
        <v>708387215249.38928</v>
      </c>
      <c r="K3" s="413">
        <v>734404198247.47839</v>
      </c>
    </row>
    <row r="4" spans="2:24" s="119" customFormat="1" ht="16.5">
      <c r="B4" s="419" t="s">
        <v>209</v>
      </c>
      <c r="C4" s="412">
        <v>337768215375.69989</v>
      </c>
      <c r="D4" s="412">
        <v>345947135557.62299</v>
      </c>
      <c r="E4" s="412">
        <v>347146151227.32391</v>
      </c>
      <c r="F4" s="412">
        <v>346020331729.3703</v>
      </c>
      <c r="G4" s="412">
        <v>345947135557.62299</v>
      </c>
      <c r="H4" s="412">
        <v>343126814140.64636</v>
      </c>
      <c r="I4" s="412">
        <v>342048621360.02881</v>
      </c>
      <c r="J4" s="412">
        <v>346326319129.15698</v>
      </c>
      <c r="K4" s="412">
        <v>338349672651.75592</v>
      </c>
    </row>
    <row r="5" spans="2:24" s="119" customFormat="1" ht="16.5">
      <c r="B5" s="419" t="s">
        <v>211</v>
      </c>
      <c r="C5" s="413">
        <v>324899490879.42987</v>
      </c>
      <c r="D5" s="413">
        <v>328659495248.42633</v>
      </c>
      <c r="E5" s="413">
        <v>331525669640.7597</v>
      </c>
      <c r="F5" s="413">
        <v>320193218057.02887</v>
      </c>
      <c r="G5" s="413">
        <v>318934755543.12677</v>
      </c>
      <c r="H5" s="413">
        <v>317633858239.45715</v>
      </c>
      <c r="I5" s="413">
        <v>318454224920.62793</v>
      </c>
      <c r="J5" s="413">
        <v>315407028595.76306</v>
      </c>
      <c r="K5" s="413">
        <v>318608459435.22919</v>
      </c>
    </row>
    <row r="6" spans="2:24" s="119" customFormat="1" ht="16.5">
      <c r="B6" s="419" t="s">
        <v>232</v>
      </c>
      <c r="C6" s="412">
        <v>45641120931.690002</v>
      </c>
      <c r="D6" s="412">
        <v>45659418904.860001</v>
      </c>
      <c r="E6" s="412">
        <v>45655500617.019997</v>
      </c>
      <c r="F6" s="412">
        <v>46204685553.529999</v>
      </c>
      <c r="G6" s="412">
        <v>46216946191.18</v>
      </c>
      <c r="H6" s="412">
        <v>46235461396.509995</v>
      </c>
      <c r="I6" s="412">
        <v>46212263995.169998</v>
      </c>
      <c r="J6" s="412">
        <v>46289004330.269997</v>
      </c>
      <c r="K6" s="412">
        <v>46332605433.940002</v>
      </c>
    </row>
    <row r="7" spans="2:24" s="119" customFormat="1" ht="16.5">
      <c r="B7" s="419" t="s">
        <v>242</v>
      </c>
      <c r="C7" s="414">
        <v>29870422741.332851</v>
      </c>
      <c r="D7" s="414">
        <v>30095632697.342506</v>
      </c>
      <c r="E7" s="414">
        <v>30126566651.346909</v>
      </c>
      <c r="F7" s="414">
        <v>30336361937.028297</v>
      </c>
      <c r="G7" s="414">
        <v>31041156130.042023</v>
      </c>
      <c r="H7" s="414">
        <v>30761564463.892384</v>
      </c>
      <c r="I7" s="414">
        <v>30652475117.892384</v>
      </c>
      <c r="J7" s="414">
        <v>31150543689.963333</v>
      </c>
      <c r="K7" s="414">
        <v>31179910941.77726</v>
      </c>
    </row>
    <row r="8" spans="2:24" s="311" customFormat="1" ht="16.5">
      <c r="B8" s="419" t="s">
        <v>71</v>
      </c>
      <c r="C8" s="412">
        <v>2873228056.0900002</v>
      </c>
      <c r="D8" s="412">
        <v>2888057210.21</v>
      </c>
      <c r="E8" s="412">
        <v>2949746784.8499999</v>
      </c>
      <c r="F8" s="412">
        <v>2980827214.75</v>
      </c>
      <c r="G8" s="412">
        <v>3032033408.75</v>
      </c>
      <c r="H8" s="412">
        <v>3037541892</v>
      </c>
      <c r="I8" s="412">
        <v>3046932460.8900003</v>
      </c>
      <c r="J8" s="412">
        <v>3049787978.2799997</v>
      </c>
      <c r="K8" s="412">
        <v>3064465697.6700001</v>
      </c>
    </row>
    <row r="9" spans="2:24" ht="16.5">
      <c r="B9" s="419" t="s">
        <v>225</v>
      </c>
      <c r="C9" s="415">
        <v>22933528265.999996</v>
      </c>
      <c r="D9" s="415">
        <v>22759261173.869999</v>
      </c>
      <c r="E9" s="415">
        <v>22836936554.239998</v>
      </c>
      <c r="F9" s="412">
        <v>22955463973.109997</v>
      </c>
      <c r="G9" s="412">
        <v>23622969337.439999</v>
      </c>
      <c r="H9" s="412">
        <v>22775267421.450001</v>
      </c>
      <c r="I9" s="412">
        <v>23218611718.279995</v>
      </c>
      <c r="J9" s="412">
        <v>23178272501.200001</v>
      </c>
      <c r="K9" s="412">
        <v>23806773999.320004</v>
      </c>
    </row>
    <row r="10" spans="2:24" s="2" customFormat="1" ht="15.75">
      <c r="B10" s="420" t="s">
        <v>274</v>
      </c>
      <c r="C10" s="421">
        <f t="shared" ref="C10:K10" si="0">SUM(C2:C9)</f>
        <v>1370504867164.7903</v>
      </c>
      <c r="D10" s="421">
        <f t="shared" si="0"/>
        <v>1391199417421.4255</v>
      </c>
      <c r="E10" s="421">
        <f t="shared" si="0"/>
        <v>1411045006243.8809</v>
      </c>
      <c r="F10" s="421">
        <f t="shared" si="0"/>
        <v>1422950870882.5374</v>
      </c>
      <c r="G10" s="421">
        <f t="shared" si="0"/>
        <v>1437907234781.4109</v>
      </c>
      <c r="H10" s="421">
        <f t="shared" si="0"/>
        <v>1449213690676.6555</v>
      </c>
      <c r="I10" s="421">
        <f t="shared" si="0"/>
        <v>1469823604527.4382</v>
      </c>
      <c r="J10" s="421">
        <f t="shared" si="0"/>
        <v>1490921997071.4626</v>
      </c>
      <c r="K10" s="421">
        <f t="shared" si="0"/>
        <v>1512850065818.8408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2:24" ht="6.75" customHeight="1">
      <c r="B11" s="416"/>
      <c r="C11" s="417"/>
      <c r="D11" s="417"/>
      <c r="E11" s="417"/>
      <c r="F11" s="417"/>
      <c r="G11" s="417"/>
      <c r="H11" s="417"/>
      <c r="I11" s="417"/>
      <c r="J11" s="416"/>
      <c r="K11" s="416"/>
    </row>
    <row r="12" spans="2:24" ht="15.75">
      <c r="B12" s="422" t="s">
        <v>122</v>
      </c>
      <c r="C12" s="423" t="s">
        <v>121</v>
      </c>
      <c r="D12" s="424">
        <f>(C10+D10)/2</f>
        <v>1380852142293.1079</v>
      </c>
      <c r="E12" s="425">
        <f t="shared" ref="E12:K12" si="1">(D10+E10)/2</f>
        <v>1401122211832.6533</v>
      </c>
      <c r="F12" s="425">
        <f t="shared" si="1"/>
        <v>1416997938563.209</v>
      </c>
      <c r="G12" s="425">
        <f t="shared" si="1"/>
        <v>1430429052831.9741</v>
      </c>
      <c r="H12" s="425">
        <f>(G10+H10)/2</f>
        <v>1443560462729.0332</v>
      </c>
      <c r="I12" s="425">
        <f t="shared" si="1"/>
        <v>1459518647602.0469</v>
      </c>
      <c r="J12" s="425">
        <f t="shared" si="1"/>
        <v>1480372800799.4504</v>
      </c>
      <c r="K12" s="425">
        <f t="shared" si="1"/>
        <v>1501886031445.1519</v>
      </c>
    </row>
    <row r="13" spans="2:24">
      <c r="B13" s="9"/>
      <c r="C13" s="12"/>
      <c r="D13" s="12"/>
      <c r="E13" s="12"/>
      <c r="F13" s="12"/>
      <c r="G13" s="12"/>
      <c r="H13" s="12"/>
      <c r="I13" s="12"/>
    </row>
    <row r="14" spans="2:24">
      <c r="B14" s="9"/>
      <c r="C14" s="12"/>
      <c r="D14" s="12"/>
      <c r="E14" s="12"/>
      <c r="F14" s="12"/>
      <c r="G14" s="12"/>
      <c r="H14" s="313"/>
      <c r="I14" s="99"/>
      <c r="J14" s="98"/>
    </row>
    <row r="15" spans="2:24">
      <c r="B15" s="9"/>
      <c r="C15" s="12"/>
      <c r="D15" s="12"/>
      <c r="E15" s="12"/>
      <c r="F15" s="12"/>
      <c r="G15" s="12"/>
      <c r="H15" s="12"/>
      <c r="I15" s="12"/>
    </row>
    <row r="16" spans="2:24">
      <c r="B16" s="9"/>
      <c r="C16" s="12"/>
      <c r="D16" s="12"/>
      <c r="E16" s="12"/>
      <c r="F16" s="12"/>
      <c r="G16" s="12"/>
      <c r="H16" s="12"/>
      <c r="I16" s="12"/>
      <c r="J16" s="99"/>
    </row>
    <row r="17" spans="2:10">
      <c r="B17" s="9"/>
      <c r="C17" s="12"/>
      <c r="D17" s="12"/>
      <c r="E17" s="12"/>
      <c r="F17" s="12"/>
      <c r="G17" s="12"/>
      <c r="H17" s="12"/>
      <c r="I17" s="12"/>
    </row>
    <row r="18" spans="2:10">
      <c r="B18" s="9"/>
      <c r="C18" s="10"/>
      <c r="D18" s="10"/>
      <c r="E18" s="10"/>
      <c r="F18" s="10"/>
      <c r="G18" s="10"/>
      <c r="H18" s="10"/>
      <c r="I18" s="10"/>
    </row>
    <row r="19" spans="2:10">
      <c r="B19" s="9"/>
      <c r="C19" s="11"/>
      <c r="D19" s="11"/>
      <c r="E19" s="9"/>
      <c r="F19" s="9"/>
      <c r="G19" s="9"/>
      <c r="H19" s="9"/>
      <c r="I19" s="9"/>
    </row>
    <row r="20" spans="2:10">
      <c r="B20" s="9"/>
      <c r="C20" s="11"/>
      <c r="D20" s="11"/>
      <c r="E20" s="9"/>
      <c r="F20" s="9"/>
      <c r="G20" s="9"/>
      <c r="H20" s="9"/>
      <c r="I20" s="9"/>
      <c r="J20" s="100"/>
    </row>
    <row r="21" spans="2:10">
      <c r="B21" s="9"/>
      <c r="C21" s="11"/>
      <c r="D21" s="11"/>
      <c r="E21" s="9"/>
      <c r="F21" s="9"/>
      <c r="G21" s="9"/>
      <c r="H21" s="9"/>
      <c r="I21" s="9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7"/>
  <sheetViews>
    <sheetView zoomScaleNormal="100" workbookViewId="0">
      <pane xSplit="1" ySplit="8" topLeftCell="AE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9" style="330" customWidth="1"/>
    <col min="3" max="3" width="10.5703125" style="330" customWidth="1"/>
    <col min="4" max="4" width="21.140625" style="330" customWidth="1"/>
    <col min="5" max="7" width="9.28515625" style="330" customWidth="1"/>
    <col min="8" max="8" width="22" style="330" customWidth="1"/>
    <col min="9" max="9" width="11.140625" style="330" customWidth="1"/>
    <col min="10" max="11" width="9.28515625" style="330" customWidth="1"/>
    <col min="12" max="12" width="20.140625" style="330" customWidth="1"/>
    <col min="13" max="13" width="11.140625" style="330" customWidth="1"/>
    <col min="14" max="15" width="9.28515625" style="330" customWidth="1"/>
    <col min="16" max="16" width="23.140625" style="330" customWidth="1"/>
    <col min="17" max="19" width="9.28515625" style="330" customWidth="1"/>
    <col min="20" max="20" width="20.140625" style="330" customWidth="1"/>
    <col min="21" max="21" width="9.85546875" style="330" customWidth="1"/>
    <col min="22" max="23" width="9.28515625" style="330" customWidth="1"/>
    <col min="24" max="24" width="20" style="330" customWidth="1"/>
    <col min="25" max="27" width="9.28515625" style="330" customWidth="1"/>
    <col min="28" max="28" width="19.140625" style="330" customWidth="1"/>
    <col min="29" max="31" width="9.28515625" style="330" customWidth="1"/>
    <col min="32" max="32" width="20.28515625" style="330" customWidth="1"/>
    <col min="33" max="35" width="9.28515625" style="330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19" customFormat="1" ht="51" customHeight="1" thickBot="1">
      <c r="A1" s="484" t="s">
        <v>76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6"/>
    </row>
    <row r="2" spans="1:49" ht="30.75" customHeight="1">
      <c r="A2" s="214"/>
      <c r="B2" s="483" t="s">
        <v>267</v>
      </c>
      <c r="C2" s="483"/>
      <c r="D2" s="483" t="s">
        <v>272</v>
      </c>
      <c r="E2" s="483"/>
      <c r="F2" s="483" t="s">
        <v>67</v>
      </c>
      <c r="G2" s="483"/>
      <c r="H2" s="483" t="s">
        <v>273</v>
      </c>
      <c r="I2" s="483"/>
      <c r="J2" s="483" t="s">
        <v>67</v>
      </c>
      <c r="K2" s="483"/>
      <c r="L2" s="483" t="s">
        <v>275</v>
      </c>
      <c r="M2" s="483"/>
      <c r="N2" s="483" t="s">
        <v>67</v>
      </c>
      <c r="O2" s="483"/>
      <c r="P2" s="483" t="s">
        <v>277</v>
      </c>
      <c r="Q2" s="483"/>
      <c r="R2" s="483" t="s">
        <v>67</v>
      </c>
      <c r="S2" s="483"/>
      <c r="T2" s="483" t="s">
        <v>279</v>
      </c>
      <c r="U2" s="483"/>
      <c r="V2" s="483" t="s">
        <v>67</v>
      </c>
      <c r="W2" s="483"/>
      <c r="X2" s="483" t="s">
        <v>280</v>
      </c>
      <c r="Y2" s="483"/>
      <c r="Z2" s="483" t="s">
        <v>67</v>
      </c>
      <c r="AA2" s="483"/>
      <c r="AB2" s="483" t="s">
        <v>285</v>
      </c>
      <c r="AC2" s="483"/>
      <c r="AD2" s="483" t="s">
        <v>67</v>
      </c>
      <c r="AE2" s="483"/>
      <c r="AF2" s="483" t="s">
        <v>289</v>
      </c>
      <c r="AG2" s="483"/>
      <c r="AH2" s="483" t="s">
        <v>67</v>
      </c>
      <c r="AI2" s="483"/>
      <c r="AJ2" s="483" t="s">
        <v>84</v>
      </c>
      <c r="AK2" s="483"/>
      <c r="AL2" s="483" t="s">
        <v>85</v>
      </c>
      <c r="AM2" s="483"/>
      <c r="AN2" s="483" t="s">
        <v>75</v>
      </c>
      <c r="AO2" s="487"/>
      <c r="AP2" s="16"/>
      <c r="AQ2" s="480" t="s">
        <v>89</v>
      </c>
      <c r="AR2" s="481"/>
      <c r="AS2" s="16"/>
      <c r="AT2" s="16"/>
    </row>
    <row r="3" spans="1:49" ht="14.25" customHeight="1">
      <c r="A3" s="215" t="s">
        <v>2</v>
      </c>
      <c r="B3" s="203" t="s">
        <v>63</v>
      </c>
      <c r="C3" s="204" t="s">
        <v>3</v>
      </c>
      <c r="D3" s="203" t="s">
        <v>63</v>
      </c>
      <c r="E3" s="204" t="s">
        <v>3</v>
      </c>
      <c r="F3" s="210" t="s">
        <v>63</v>
      </c>
      <c r="G3" s="211" t="s">
        <v>3</v>
      </c>
      <c r="H3" s="203" t="s">
        <v>63</v>
      </c>
      <c r="I3" s="204" t="s">
        <v>3</v>
      </c>
      <c r="J3" s="210" t="s">
        <v>63</v>
      </c>
      <c r="K3" s="211" t="s">
        <v>3</v>
      </c>
      <c r="L3" s="203" t="s">
        <v>63</v>
      </c>
      <c r="M3" s="204" t="s">
        <v>3</v>
      </c>
      <c r="N3" s="210" t="s">
        <v>63</v>
      </c>
      <c r="O3" s="211" t="s">
        <v>3</v>
      </c>
      <c r="P3" s="203" t="s">
        <v>63</v>
      </c>
      <c r="Q3" s="204" t="s">
        <v>3</v>
      </c>
      <c r="R3" s="210" t="s">
        <v>63</v>
      </c>
      <c r="S3" s="211" t="s">
        <v>3</v>
      </c>
      <c r="T3" s="203" t="s">
        <v>63</v>
      </c>
      <c r="U3" s="204" t="s">
        <v>3</v>
      </c>
      <c r="V3" s="210" t="s">
        <v>63</v>
      </c>
      <c r="W3" s="211" t="s">
        <v>3</v>
      </c>
      <c r="X3" s="203" t="s">
        <v>63</v>
      </c>
      <c r="Y3" s="204" t="s">
        <v>3</v>
      </c>
      <c r="Z3" s="210" t="s">
        <v>63</v>
      </c>
      <c r="AA3" s="211" t="s">
        <v>3</v>
      </c>
      <c r="AB3" s="203" t="s">
        <v>63</v>
      </c>
      <c r="AC3" s="204" t="s">
        <v>3</v>
      </c>
      <c r="AD3" s="210" t="s">
        <v>63</v>
      </c>
      <c r="AE3" s="211" t="s">
        <v>3</v>
      </c>
      <c r="AF3" s="203" t="s">
        <v>63</v>
      </c>
      <c r="AG3" s="204" t="s">
        <v>3</v>
      </c>
      <c r="AH3" s="210" t="s">
        <v>63</v>
      </c>
      <c r="AI3" s="211" t="s">
        <v>3</v>
      </c>
      <c r="AJ3" s="210" t="s">
        <v>63</v>
      </c>
      <c r="AK3" s="211" t="s">
        <v>3</v>
      </c>
      <c r="AL3" s="210" t="s">
        <v>63</v>
      </c>
      <c r="AM3" s="211" t="s">
        <v>3</v>
      </c>
      <c r="AN3" s="210" t="s">
        <v>63</v>
      </c>
      <c r="AO3" s="212" t="s">
        <v>3</v>
      </c>
      <c r="AP3" s="16"/>
      <c r="AQ3" s="19" t="s">
        <v>63</v>
      </c>
      <c r="AR3" s="20" t="s">
        <v>3</v>
      </c>
      <c r="AS3" s="16"/>
      <c r="AT3" s="16"/>
    </row>
    <row r="4" spans="1:49">
      <c r="A4" s="216" t="s">
        <v>0</v>
      </c>
      <c r="B4" s="69" t="s">
        <v>4</v>
      </c>
      <c r="C4" s="69" t="s">
        <v>4</v>
      </c>
      <c r="D4" s="69" t="s">
        <v>4</v>
      </c>
      <c r="E4" s="69" t="s">
        <v>4</v>
      </c>
      <c r="F4" s="21" t="s">
        <v>83</v>
      </c>
      <c r="G4" s="21" t="s">
        <v>83</v>
      </c>
      <c r="H4" s="69" t="s">
        <v>4</v>
      </c>
      <c r="I4" s="69" t="s">
        <v>4</v>
      </c>
      <c r="J4" s="21" t="s">
        <v>83</v>
      </c>
      <c r="K4" s="21" t="s">
        <v>83</v>
      </c>
      <c r="L4" s="69" t="s">
        <v>4</v>
      </c>
      <c r="M4" s="69" t="s">
        <v>4</v>
      </c>
      <c r="N4" s="21" t="s">
        <v>83</v>
      </c>
      <c r="O4" s="21" t="s">
        <v>83</v>
      </c>
      <c r="P4" s="69" t="s">
        <v>4</v>
      </c>
      <c r="Q4" s="69" t="s">
        <v>4</v>
      </c>
      <c r="R4" s="21" t="s">
        <v>83</v>
      </c>
      <c r="S4" s="21" t="s">
        <v>83</v>
      </c>
      <c r="T4" s="69" t="s">
        <v>4</v>
      </c>
      <c r="U4" s="69" t="s">
        <v>4</v>
      </c>
      <c r="V4" s="21" t="s">
        <v>83</v>
      </c>
      <c r="W4" s="21" t="s">
        <v>83</v>
      </c>
      <c r="X4" s="69" t="s">
        <v>4</v>
      </c>
      <c r="Y4" s="69" t="s">
        <v>4</v>
      </c>
      <c r="Z4" s="21" t="s">
        <v>83</v>
      </c>
      <c r="AA4" s="21" t="s">
        <v>83</v>
      </c>
      <c r="AB4" s="69" t="s">
        <v>4</v>
      </c>
      <c r="AC4" s="69" t="s">
        <v>4</v>
      </c>
      <c r="AD4" s="21" t="s">
        <v>83</v>
      </c>
      <c r="AE4" s="21" t="s">
        <v>83</v>
      </c>
      <c r="AF4" s="69" t="s">
        <v>4</v>
      </c>
      <c r="AG4" s="69" t="s">
        <v>4</v>
      </c>
      <c r="AH4" s="21" t="s">
        <v>83</v>
      </c>
      <c r="AI4" s="21" t="s">
        <v>83</v>
      </c>
      <c r="AJ4" s="22" t="s">
        <v>83</v>
      </c>
      <c r="AK4" s="22" t="s">
        <v>83</v>
      </c>
      <c r="AL4" s="23" t="s">
        <v>83</v>
      </c>
      <c r="AM4" s="23" t="s">
        <v>83</v>
      </c>
      <c r="AN4" s="17" t="s">
        <v>83</v>
      </c>
      <c r="AO4" s="18" t="s">
        <v>83</v>
      </c>
      <c r="AP4" s="16"/>
      <c r="AQ4" s="24" t="s">
        <v>4</v>
      </c>
      <c r="AR4" s="24" t="s">
        <v>4</v>
      </c>
      <c r="AS4" s="16"/>
      <c r="AT4" s="16"/>
    </row>
    <row r="5" spans="1:49">
      <c r="A5" s="217" t="s">
        <v>6</v>
      </c>
      <c r="B5" s="393">
        <v>6961278920.3400002</v>
      </c>
      <c r="C5" s="392">
        <v>11895.07</v>
      </c>
      <c r="D5" s="393">
        <v>7078686974.9300003</v>
      </c>
      <c r="E5" s="392">
        <v>12064.98</v>
      </c>
      <c r="F5" s="25">
        <f t="shared" ref="F5:F20" si="0">((D5-B5)/B5)</f>
        <v>1.6865874206957614E-2</v>
      </c>
      <c r="G5" s="25">
        <f t="shared" ref="G5:G20" si="1">((E5-C5)/C5)</f>
        <v>1.4284068946210477E-2</v>
      </c>
      <c r="H5" s="393">
        <v>7250834145.5</v>
      </c>
      <c r="I5" s="392">
        <v>12371.07</v>
      </c>
      <c r="J5" s="25">
        <f t="shared" ref="J5:J20" si="2">((H5-D5)/D5)</f>
        <v>2.431908222240637E-2</v>
      </c>
      <c r="K5" s="25">
        <f t="shared" ref="K5:K20" si="3">((I5-E5)/E5)</f>
        <v>2.5370120795890266E-2</v>
      </c>
      <c r="L5" s="393">
        <v>7333382539.8299999</v>
      </c>
      <c r="M5" s="392">
        <v>12515.92</v>
      </c>
      <c r="N5" s="25">
        <f t="shared" ref="N5:N20" si="4">((L5-H5)/H5)</f>
        <v>1.1384675566083795E-2</v>
      </c>
      <c r="O5" s="25">
        <f t="shared" ref="O5:O20" si="5">((M5-I5)/I5)</f>
        <v>1.1708768926212556E-2</v>
      </c>
      <c r="P5" s="393">
        <v>7511564077.5200005</v>
      </c>
      <c r="Q5" s="392">
        <v>12812.62</v>
      </c>
      <c r="R5" s="25">
        <f t="shared" ref="R5:R20" si="6">((P5-L5)/L5)</f>
        <v>2.4297319377823031E-2</v>
      </c>
      <c r="S5" s="25">
        <f t="shared" ref="S5:S20" si="7">((Q5-M5)/M5)</f>
        <v>2.3705808282571374E-2</v>
      </c>
      <c r="T5" s="393">
        <v>7540263445.5200005</v>
      </c>
      <c r="U5" s="392">
        <v>12867.64</v>
      </c>
      <c r="V5" s="25">
        <f t="shared" ref="V5:V20" si="8">((T5-P5)/P5)</f>
        <v>3.8206913638517896E-3</v>
      </c>
      <c r="W5" s="25">
        <f t="shared" ref="W5:W20" si="9">((U5-Q5)/Q5)</f>
        <v>4.2942036835556365E-3</v>
      </c>
      <c r="X5" s="393">
        <v>7580898994.7799997</v>
      </c>
      <c r="Y5" s="392">
        <v>12940.1</v>
      </c>
      <c r="Z5" s="25">
        <f t="shared" ref="Z5:Z20" si="10">((X5-T5)/T5)</f>
        <v>5.3891418454540376E-3</v>
      </c>
      <c r="AA5" s="25">
        <f t="shared" ref="AA5:AA20" si="11">((Y5-U5)/U5)</f>
        <v>5.6311802319618008E-3</v>
      </c>
      <c r="AB5" s="393">
        <v>7697512730.9799995</v>
      </c>
      <c r="AC5" s="392">
        <v>13161.69</v>
      </c>
      <c r="AD5" s="25">
        <f t="shared" ref="AD5:AD20" si="12">((AB5-X5)/X5)</f>
        <v>1.5382573528587684E-2</v>
      </c>
      <c r="AE5" s="25">
        <f t="shared" ref="AE5:AE20" si="13">((AC5-Y5)/Y5)</f>
        <v>1.7124288065780029E-2</v>
      </c>
      <c r="AF5" s="393">
        <v>7655640660.04</v>
      </c>
      <c r="AG5" s="392">
        <v>13090.97</v>
      </c>
      <c r="AH5" s="25">
        <f t="shared" ref="AH5:AH20" si="14">((AF5-AB5)/AB5)</f>
        <v>-5.4396884296765155E-3</v>
      </c>
      <c r="AI5" s="25">
        <f t="shared" ref="AI5:AI20" si="15">((AG5-AC5)/AC5)</f>
        <v>-5.3731701627983304E-3</v>
      </c>
      <c r="AJ5" s="26">
        <f>AVERAGE(F5,J5,N5,R5,V5,Z5,AD5,AH5)</f>
        <v>1.2002458710185975E-2</v>
      </c>
      <c r="AK5" s="26">
        <f>AVERAGE(G5,K5,O5,S5,W5,AA5,AE5,AI5)</f>
        <v>1.2093158596172977E-2</v>
      </c>
      <c r="AL5" s="27">
        <f>((AF5-D5)/D5)</f>
        <v>8.1505749181076767E-2</v>
      </c>
      <c r="AM5" s="27">
        <f>((AG5-E5)/E5)</f>
        <v>8.5038682202539892E-2</v>
      </c>
      <c r="AN5" s="28">
        <f>STDEV(F5,J5,N5,R5,V5,Z5,AD5,AH5)</f>
        <v>1.0373236371842716E-2</v>
      </c>
      <c r="AO5" s="85">
        <f>STDEV(G5,K5,O5,S5,W5,AA5,AE5,AI5)</f>
        <v>1.0344390942072299E-2</v>
      </c>
      <c r="AP5" s="29"/>
      <c r="AQ5" s="30">
        <v>7877662528.1199999</v>
      </c>
      <c r="AR5" s="30">
        <v>7704.04</v>
      </c>
      <c r="AS5" s="31" t="e">
        <f>(#REF!/AQ5)-1</f>
        <v>#REF!</v>
      </c>
      <c r="AT5" s="31" t="e">
        <f>(#REF!/AR5)-1</f>
        <v>#REF!</v>
      </c>
    </row>
    <row r="6" spans="1:49">
      <c r="A6" s="217" t="s">
        <v>49</v>
      </c>
      <c r="B6" s="393">
        <v>969982955.41999996</v>
      </c>
      <c r="C6" s="392">
        <v>1.98</v>
      </c>
      <c r="D6" s="393">
        <v>977230662.92999995</v>
      </c>
      <c r="E6" s="392">
        <v>1.99</v>
      </c>
      <c r="F6" s="25">
        <f t="shared" si="0"/>
        <v>7.4719947082593358E-3</v>
      </c>
      <c r="G6" s="25">
        <f t="shared" si="1"/>
        <v>5.0505050505050553E-3</v>
      </c>
      <c r="H6" s="393">
        <v>989842690.11000001</v>
      </c>
      <c r="I6" s="392">
        <v>2.02</v>
      </c>
      <c r="J6" s="25">
        <f t="shared" si="2"/>
        <v>1.2905885640331651E-2</v>
      </c>
      <c r="K6" s="25">
        <f t="shared" si="3"/>
        <v>1.5075376884422124E-2</v>
      </c>
      <c r="L6" s="393">
        <v>997436086.54999995</v>
      </c>
      <c r="M6" s="392">
        <v>2.0299999999999998</v>
      </c>
      <c r="N6" s="25">
        <f t="shared" si="4"/>
        <v>7.6713163777125974E-3</v>
      </c>
      <c r="O6" s="25">
        <f t="shared" si="5"/>
        <v>4.9504950495048447E-3</v>
      </c>
      <c r="P6" s="393">
        <v>1027580879.54</v>
      </c>
      <c r="Q6" s="392">
        <v>2.1</v>
      </c>
      <c r="R6" s="25">
        <f t="shared" si="6"/>
        <v>3.0222280300953294E-2</v>
      </c>
      <c r="S6" s="25">
        <f t="shared" si="7"/>
        <v>3.44827586206898E-2</v>
      </c>
      <c r="T6" s="393">
        <v>1021363968.2</v>
      </c>
      <c r="U6" s="392">
        <v>2.08</v>
      </c>
      <c r="V6" s="25">
        <f t="shared" si="8"/>
        <v>-6.0500457567709276E-3</v>
      </c>
      <c r="W6" s="25">
        <f t="shared" si="9"/>
        <v>-9.5238095238095316E-3</v>
      </c>
      <c r="X6" s="393">
        <v>1020955662.3</v>
      </c>
      <c r="Y6" s="392">
        <v>2.08</v>
      </c>
      <c r="Z6" s="25">
        <f t="shared" si="10"/>
        <v>-3.9976532628194526E-4</v>
      </c>
      <c r="AA6" s="25">
        <f t="shared" si="11"/>
        <v>0</v>
      </c>
      <c r="AB6" s="393">
        <v>1039220961.4</v>
      </c>
      <c r="AC6" s="392">
        <v>2.12</v>
      </c>
      <c r="AD6" s="25">
        <f t="shared" si="12"/>
        <v>1.789039404400003E-2</v>
      </c>
      <c r="AE6" s="25">
        <f t="shared" si="13"/>
        <v>1.9230769230769246E-2</v>
      </c>
      <c r="AF6" s="393">
        <v>1043691566.0599999</v>
      </c>
      <c r="AG6" s="392">
        <v>2.13</v>
      </c>
      <c r="AH6" s="25">
        <f t="shared" si="14"/>
        <v>4.3018807607357471E-3</v>
      </c>
      <c r="AI6" s="25">
        <f t="shared" si="15"/>
        <v>4.7169811320753709E-3</v>
      </c>
      <c r="AJ6" s="26">
        <f t="shared" ref="AJ6:AJ21" si="16">AVERAGE(F6,J6,N6,R6,V6,Z6,AD6,AH6)</f>
        <v>9.2517425936174732E-3</v>
      </c>
      <c r="AK6" s="26">
        <f t="shared" ref="AK6:AK21" si="17">AVERAGE(G6,K6,O6,S6,W6,AA6,AE6,AI6)</f>
        <v>9.2478845555196143E-3</v>
      </c>
      <c r="AL6" s="27">
        <f t="shared" ref="AL6:AL21" si="18">((AF6-D6)/D6)</f>
        <v>6.8009432830046859E-2</v>
      </c>
      <c r="AM6" s="27">
        <f t="shared" ref="AM6:AM21" si="19">((AG6-E6)/E6)</f>
        <v>7.0351758793969807E-2</v>
      </c>
      <c r="AN6" s="28">
        <f t="shared" ref="AN6:AN21" si="20">STDEV(F6,J6,N6,R6,V6,Z6,AD6,AH6)</f>
        <v>1.1245349677557376E-2</v>
      </c>
      <c r="AO6" s="85">
        <f t="shared" ref="AO6:AO21" si="21">STDEV(G6,K6,O6,S6,W6,AA6,AE6,AI6)</f>
        <v>1.3442634875839687E-2</v>
      </c>
      <c r="AP6" s="32"/>
      <c r="AQ6" s="33">
        <v>486981928.81999999</v>
      </c>
      <c r="AR6" s="34">
        <v>0.95</v>
      </c>
      <c r="AS6" s="31" t="e">
        <f>(#REF!/AQ6)-1</f>
        <v>#REF!</v>
      </c>
      <c r="AT6" s="31" t="e">
        <f>(#REF!/AR6)-1</f>
        <v>#REF!</v>
      </c>
    </row>
    <row r="7" spans="1:49">
      <c r="A7" s="217" t="s">
        <v>11</v>
      </c>
      <c r="B7" s="393">
        <v>250023807.15000001</v>
      </c>
      <c r="C7" s="392">
        <v>128.22999999999999</v>
      </c>
      <c r="D7" s="393">
        <v>250023807.15000001</v>
      </c>
      <c r="E7" s="392">
        <v>124.01</v>
      </c>
      <c r="F7" s="25">
        <f t="shared" si="0"/>
        <v>0</v>
      </c>
      <c r="G7" s="25">
        <f t="shared" si="1"/>
        <v>-3.290961553458617E-2</v>
      </c>
      <c r="H7" s="393">
        <v>245574216.52000001</v>
      </c>
      <c r="I7" s="392">
        <v>123.72</v>
      </c>
      <c r="J7" s="25">
        <f t="shared" si="2"/>
        <v>-1.7796667768243745E-2</v>
      </c>
      <c r="K7" s="25">
        <f t="shared" si="3"/>
        <v>-2.3385210870091626E-3</v>
      </c>
      <c r="L7" s="393">
        <v>252921380.41</v>
      </c>
      <c r="M7" s="392">
        <v>129.33000000000001</v>
      </c>
      <c r="N7" s="25">
        <f t="shared" si="4"/>
        <v>2.9918303289798418E-2</v>
      </c>
      <c r="O7" s="25">
        <f t="shared" si="5"/>
        <v>4.5344325897187308E-2</v>
      </c>
      <c r="P7" s="393">
        <v>258595658.5</v>
      </c>
      <c r="Q7" s="392">
        <v>132.19</v>
      </c>
      <c r="R7" s="25">
        <f t="shared" si="6"/>
        <v>2.2434948286308081E-2</v>
      </c>
      <c r="S7" s="25">
        <f t="shared" si="7"/>
        <v>2.211397200958776E-2</v>
      </c>
      <c r="T7" s="393">
        <v>254295980.37</v>
      </c>
      <c r="U7" s="392">
        <v>130.13999999999999</v>
      </c>
      <c r="V7" s="25">
        <f t="shared" si="8"/>
        <v>-1.6627031385370281E-2</v>
      </c>
      <c r="W7" s="25">
        <f t="shared" si="9"/>
        <v>-1.5507980936530838E-2</v>
      </c>
      <c r="X7" s="393">
        <v>256063703.93000001</v>
      </c>
      <c r="Y7" s="392">
        <v>130.37</v>
      </c>
      <c r="Z7" s="25">
        <f t="shared" si="10"/>
        <v>6.9514412199043378E-3</v>
      </c>
      <c r="AA7" s="25">
        <f t="shared" si="11"/>
        <v>1.7673274934687123E-3</v>
      </c>
      <c r="AB7" s="393">
        <v>262267538.56999999</v>
      </c>
      <c r="AC7" s="392">
        <v>134.13999999999999</v>
      </c>
      <c r="AD7" s="25">
        <f t="shared" si="12"/>
        <v>2.4227700157363672E-2</v>
      </c>
      <c r="AE7" s="25">
        <f t="shared" si="13"/>
        <v>2.8917695788908352E-2</v>
      </c>
      <c r="AF7" s="393">
        <v>256468055.13999999</v>
      </c>
      <c r="AG7" s="392">
        <v>134.71</v>
      </c>
      <c r="AH7" s="25">
        <f t="shared" si="14"/>
        <v>-2.2112852629880872E-2</v>
      </c>
      <c r="AI7" s="25">
        <f t="shared" si="15"/>
        <v>4.2492917847027113E-3</v>
      </c>
      <c r="AJ7" s="26">
        <f t="shared" si="16"/>
        <v>3.3744801462349504E-3</v>
      </c>
      <c r="AK7" s="26">
        <f t="shared" si="17"/>
        <v>6.4545619269660848E-3</v>
      </c>
      <c r="AL7" s="27">
        <f t="shared" si="18"/>
        <v>2.5774537486879395E-2</v>
      </c>
      <c r="AM7" s="27">
        <f t="shared" si="19"/>
        <v>8.6283364244818986E-2</v>
      </c>
      <c r="AN7" s="28">
        <f t="shared" si="20"/>
        <v>2.0787347264327054E-2</v>
      </c>
      <c r="AO7" s="85">
        <f t="shared" si="21"/>
        <v>2.5066388129114447E-2</v>
      </c>
      <c r="AP7" s="32"/>
      <c r="AQ7" s="30">
        <v>204065067.03999999</v>
      </c>
      <c r="AR7" s="34">
        <v>105.02</v>
      </c>
      <c r="AS7" s="31" t="e">
        <f>(#REF!/AQ7)-1</f>
        <v>#REF!</v>
      </c>
      <c r="AT7" s="31" t="e">
        <f>(#REF!/AR7)-1</f>
        <v>#REF!</v>
      </c>
    </row>
    <row r="8" spans="1:49">
      <c r="A8" s="217" t="s">
        <v>13</v>
      </c>
      <c r="B8" s="393">
        <v>688828025.17999995</v>
      </c>
      <c r="C8" s="392">
        <v>18.34</v>
      </c>
      <c r="D8" s="393">
        <v>695315443.92999995</v>
      </c>
      <c r="E8" s="392">
        <v>18.34</v>
      </c>
      <c r="F8" s="25">
        <f t="shared" si="0"/>
        <v>9.4180528562332385E-3</v>
      </c>
      <c r="G8" s="25">
        <f t="shared" si="1"/>
        <v>0</v>
      </c>
      <c r="H8" s="393">
        <v>710192598.26999998</v>
      </c>
      <c r="I8" s="392">
        <v>18.34</v>
      </c>
      <c r="J8" s="25">
        <f t="shared" si="2"/>
        <v>2.1396266212516019E-2</v>
      </c>
      <c r="K8" s="25">
        <f t="shared" si="3"/>
        <v>0</v>
      </c>
      <c r="L8" s="393">
        <v>715519832.97000003</v>
      </c>
      <c r="M8" s="392">
        <v>18.87</v>
      </c>
      <c r="N8" s="25">
        <f t="shared" si="4"/>
        <v>7.5011126741914413E-3</v>
      </c>
      <c r="O8" s="25">
        <f t="shared" si="5"/>
        <v>2.8898582333696899E-2</v>
      </c>
      <c r="P8" s="393">
        <v>737837740.49000001</v>
      </c>
      <c r="Q8" s="392">
        <v>18.87</v>
      </c>
      <c r="R8" s="25">
        <f t="shared" si="6"/>
        <v>3.1191179463694495E-2</v>
      </c>
      <c r="S8" s="25">
        <f t="shared" si="7"/>
        <v>0</v>
      </c>
      <c r="T8" s="393">
        <v>728008896.15999997</v>
      </c>
      <c r="U8" s="392">
        <v>18.87</v>
      </c>
      <c r="V8" s="25">
        <f t="shared" si="8"/>
        <v>-1.3321146087583811E-2</v>
      </c>
      <c r="W8" s="25">
        <f t="shared" si="9"/>
        <v>0</v>
      </c>
      <c r="X8" s="393">
        <v>727628283.92999995</v>
      </c>
      <c r="Y8" s="392">
        <v>18.87</v>
      </c>
      <c r="Z8" s="25">
        <f t="shared" si="10"/>
        <v>-5.2281260848269782E-4</v>
      </c>
      <c r="AA8" s="25">
        <f t="shared" si="11"/>
        <v>0</v>
      </c>
      <c r="AB8" s="393">
        <v>757132456.65999997</v>
      </c>
      <c r="AC8" s="392">
        <v>18.87</v>
      </c>
      <c r="AD8" s="25">
        <f t="shared" si="12"/>
        <v>4.0548413773368944E-2</v>
      </c>
      <c r="AE8" s="25">
        <f t="shared" si="13"/>
        <v>0</v>
      </c>
      <c r="AF8" s="393">
        <v>759488412.97000003</v>
      </c>
      <c r="AG8" s="392">
        <v>18.87</v>
      </c>
      <c r="AH8" s="25">
        <f t="shared" si="14"/>
        <v>3.1116831530285782E-3</v>
      </c>
      <c r="AI8" s="25">
        <f t="shared" si="15"/>
        <v>0</v>
      </c>
      <c r="AJ8" s="26">
        <f t="shared" si="16"/>
        <v>1.2415343679620777E-2</v>
      </c>
      <c r="AK8" s="26">
        <f t="shared" si="17"/>
        <v>3.6123227917121124E-3</v>
      </c>
      <c r="AL8" s="27">
        <f t="shared" si="18"/>
        <v>9.2293317515410492E-2</v>
      </c>
      <c r="AM8" s="27">
        <f t="shared" si="19"/>
        <v>2.8898582333696899E-2</v>
      </c>
      <c r="AN8" s="28">
        <f t="shared" si="20"/>
        <v>1.7623494559226856E-2</v>
      </c>
      <c r="AO8" s="85">
        <f t="shared" si="21"/>
        <v>1.021719176741742E-2</v>
      </c>
      <c r="AP8" s="32"/>
      <c r="AQ8" s="35">
        <v>166618649</v>
      </c>
      <c r="AR8" s="36">
        <v>9.4</v>
      </c>
      <c r="AS8" s="31" t="e">
        <f>(#REF!/AQ8)-1</f>
        <v>#REF!</v>
      </c>
      <c r="AT8" s="31" t="e">
        <f>(#REF!/AR8)-1</f>
        <v>#REF!</v>
      </c>
    </row>
    <row r="9" spans="1:49" s="95" customFormat="1">
      <c r="A9" s="217" t="s">
        <v>17</v>
      </c>
      <c r="B9" s="393">
        <v>390046997.77999997</v>
      </c>
      <c r="C9" s="392">
        <v>187.46289999999999</v>
      </c>
      <c r="D9" s="393">
        <v>395708886.68000001</v>
      </c>
      <c r="E9" s="392">
        <v>190.19450000000001</v>
      </c>
      <c r="F9" s="25">
        <f t="shared" si="0"/>
        <v>1.4515914574975237E-2</v>
      </c>
      <c r="G9" s="25">
        <f t="shared" si="1"/>
        <v>1.4571416530951002E-2</v>
      </c>
      <c r="H9" s="393">
        <v>403661214.39999998</v>
      </c>
      <c r="I9" s="392">
        <v>193.9871</v>
      </c>
      <c r="J9" s="25">
        <f t="shared" si="2"/>
        <v>2.0096409223255125E-2</v>
      </c>
      <c r="K9" s="25">
        <f t="shared" si="3"/>
        <v>1.9940639713556349E-2</v>
      </c>
      <c r="L9" s="393">
        <v>406789044.36000001</v>
      </c>
      <c r="M9" s="392">
        <v>195.5378</v>
      </c>
      <c r="N9" s="25">
        <f t="shared" si="4"/>
        <v>7.7486512164643539E-3</v>
      </c>
      <c r="O9" s="25">
        <f t="shared" si="5"/>
        <v>7.9938305175963047E-3</v>
      </c>
      <c r="P9" s="393">
        <v>415007674.85000002</v>
      </c>
      <c r="Q9" s="392">
        <v>199.46619999999999</v>
      </c>
      <c r="R9" s="25">
        <f t="shared" si="6"/>
        <v>2.0203667242146003E-2</v>
      </c>
      <c r="S9" s="25">
        <f t="shared" si="7"/>
        <v>2.0090233192763662E-2</v>
      </c>
      <c r="T9" s="393">
        <v>418418330.24000001</v>
      </c>
      <c r="U9" s="392">
        <v>197.62690000000001</v>
      </c>
      <c r="V9" s="25">
        <f t="shared" si="8"/>
        <v>8.2182947369171654E-3</v>
      </c>
      <c r="W9" s="25">
        <f t="shared" si="9"/>
        <v>-9.2211111456476352E-3</v>
      </c>
      <c r="X9" s="393">
        <v>419366385.54000002</v>
      </c>
      <c r="Y9" s="392">
        <v>195.83340000000001</v>
      </c>
      <c r="Z9" s="25">
        <f t="shared" si="10"/>
        <v>2.2658072830036347E-3</v>
      </c>
      <c r="AA9" s="25">
        <f t="shared" si="11"/>
        <v>-9.0751815668818087E-3</v>
      </c>
      <c r="AB9" s="393">
        <v>427697674.54000002</v>
      </c>
      <c r="AC9" s="392">
        <v>202.28809999999999</v>
      </c>
      <c r="AD9" s="25">
        <f t="shared" si="12"/>
        <v>1.9866372907480789E-2</v>
      </c>
      <c r="AE9" s="25">
        <f t="shared" si="13"/>
        <v>3.2960158992286166E-2</v>
      </c>
      <c r="AF9" s="393">
        <v>427260800.79000002</v>
      </c>
      <c r="AG9" s="392">
        <v>201.98869999999999</v>
      </c>
      <c r="AH9" s="25">
        <f t="shared" si="14"/>
        <v>-1.0214545834738734E-3</v>
      </c>
      <c r="AI9" s="25">
        <f t="shared" si="15"/>
        <v>-1.4800672901668041E-3</v>
      </c>
      <c r="AJ9" s="26">
        <f t="shared" si="16"/>
        <v>1.1486707825096054E-2</v>
      </c>
      <c r="AK9" s="26">
        <f t="shared" si="17"/>
        <v>9.4724898680571545E-3</v>
      </c>
      <c r="AL9" s="27">
        <f t="shared" si="18"/>
        <v>7.9735166866533549E-2</v>
      </c>
      <c r="AM9" s="27">
        <f t="shared" si="19"/>
        <v>6.2011256897544297E-2</v>
      </c>
      <c r="AN9" s="28">
        <f t="shared" si="20"/>
        <v>8.414629650122506E-3</v>
      </c>
      <c r="AO9" s="85">
        <f t="shared" si="21"/>
        <v>1.5192103516521378E-2</v>
      </c>
      <c r="AP9" s="32"/>
      <c r="AQ9" s="35"/>
      <c r="AR9" s="36"/>
      <c r="AS9" s="31"/>
      <c r="AT9" s="31"/>
    </row>
    <row r="10" spans="1:49">
      <c r="A10" s="217" t="s">
        <v>81</v>
      </c>
      <c r="B10" s="392">
        <v>1779637640.5999999</v>
      </c>
      <c r="C10" s="343">
        <v>0.95569999999999999</v>
      </c>
      <c r="D10" s="392">
        <v>1790470935.05</v>
      </c>
      <c r="E10" s="343">
        <v>0.9617</v>
      </c>
      <c r="F10" s="25">
        <f t="shared" si="0"/>
        <v>6.0873596977571416E-3</v>
      </c>
      <c r="G10" s="25">
        <f t="shared" si="1"/>
        <v>6.2781207491890813E-3</v>
      </c>
      <c r="H10" s="392">
        <v>1819836853.3699999</v>
      </c>
      <c r="I10" s="343">
        <v>0.97719999999999996</v>
      </c>
      <c r="J10" s="25">
        <f t="shared" si="2"/>
        <v>1.6401225926172252E-2</v>
      </c>
      <c r="K10" s="25">
        <f t="shared" si="3"/>
        <v>1.6117292294894413E-2</v>
      </c>
      <c r="L10" s="392">
        <v>1839842932.3800001</v>
      </c>
      <c r="M10" s="343">
        <v>0.98540000000000005</v>
      </c>
      <c r="N10" s="25">
        <f t="shared" si="4"/>
        <v>1.0993336558138542E-2</v>
      </c>
      <c r="O10" s="25">
        <f t="shared" si="5"/>
        <v>8.3913221449039063E-3</v>
      </c>
      <c r="P10" s="392">
        <v>1862618438.5699999</v>
      </c>
      <c r="Q10" s="343">
        <v>0.99929999999999997</v>
      </c>
      <c r="R10" s="25">
        <f t="shared" si="6"/>
        <v>1.237904920532411E-2</v>
      </c>
      <c r="S10" s="25">
        <f t="shared" si="7"/>
        <v>1.4105946823624834E-2</v>
      </c>
      <c r="T10" s="392">
        <v>1870296414</v>
      </c>
      <c r="U10" s="343">
        <v>1.0027999999999999</v>
      </c>
      <c r="V10" s="25">
        <f t="shared" si="8"/>
        <v>4.1221407836458061E-3</v>
      </c>
      <c r="W10" s="25">
        <f t="shared" si="9"/>
        <v>3.5024517162012886E-3</v>
      </c>
      <c r="X10" s="392">
        <v>1947867404.49</v>
      </c>
      <c r="Y10" s="343">
        <v>1.0437000000000001</v>
      </c>
      <c r="Z10" s="25">
        <f t="shared" si="10"/>
        <v>4.1475238849492876E-2</v>
      </c>
      <c r="AA10" s="25">
        <f t="shared" si="11"/>
        <v>4.0785799760670288E-2</v>
      </c>
      <c r="AB10" s="392">
        <v>1976784489.8</v>
      </c>
      <c r="AC10" s="343">
        <v>1.0429999999999999</v>
      </c>
      <c r="AD10" s="25">
        <f t="shared" si="12"/>
        <v>1.4845510142704582E-2</v>
      </c>
      <c r="AE10" s="25">
        <f t="shared" si="13"/>
        <v>-6.7069081153602083E-4</v>
      </c>
      <c r="AF10" s="392">
        <v>1978296792.0999999</v>
      </c>
      <c r="AG10" s="343">
        <v>1.0439000000000001</v>
      </c>
      <c r="AH10" s="25">
        <f t="shared" si="14"/>
        <v>7.6503144768854325E-4</v>
      </c>
      <c r="AI10" s="25">
        <f t="shared" si="15"/>
        <v>8.628954937680949E-4</v>
      </c>
      <c r="AJ10" s="26">
        <f t="shared" si="16"/>
        <v>1.338361157636548E-2</v>
      </c>
      <c r="AK10" s="26">
        <f t="shared" si="17"/>
        <v>1.1171642271464485E-2</v>
      </c>
      <c r="AL10" s="27">
        <f t="shared" si="18"/>
        <v>0.1049030472224643</v>
      </c>
      <c r="AM10" s="27">
        <f t="shared" si="19"/>
        <v>8.5473640428408076E-2</v>
      </c>
      <c r="AN10" s="28">
        <f t="shared" si="20"/>
        <v>1.2566076351142201E-2</v>
      </c>
      <c r="AO10" s="85">
        <f t="shared" si="21"/>
        <v>1.3347403443570311E-2</v>
      </c>
      <c r="AP10" s="32"/>
      <c r="AQ10" s="30">
        <v>1147996444.8800001</v>
      </c>
      <c r="AR10" s="34">
        <v>0.69840000000000002</v>
      </c>
      <c r="AS10" s="31" t="e">
        <f>(#REF!/AQ10)-1</f>
        <v>#REF!</v>
      </c>
      <c r="AT10" s="31" t="e">
        <f>(#REF!/AR10)-1</f>
        <v>#REF!</v>
      </c>
    </row>
    <row r="11" spans="1:49">
      <c r="A11" s="217" t="s">
        <v>14</v>
      </c>
      <c r="B11" s="392">
        <v>2257527479.2800002</v>
      </c>
      <c r="C11" s="392">
        <v>22.181999999999999</v>
      </c>
      <c r="D11" s="392">
        <v>2244369906.6999998</v>
      </c>
      <c r="E11" s="392">
        <v>22.037600000000001</v>
      </c>
      <c r="F11" s="25">
        <f t="shared" si="0"/>
        <v>-5.8283111504790113E-3</v>
      </c>
      <c r="G11" s="25">
        <f t="shared" si="1"/>
        <v>-6.5097827066990096E-3</v>
      </c>
      <c r="H11" s="392">
        <v>2325531316.7199998</v>
      </c>
      <c r="I11" s="392">
        <v>22.832100000000001</v>
      </c>
      <c r="J11" s="25">
        <f t="shared" si="2"/>
        <v>3.616222520971836E-2</v>
      </c>
      <c r="K11" s="25">
        <f t="shared" si="3"/>
        <v>3.6052020183686029E-2</v>
      </c>
      <c r="L11" s="392">
        <v>2330421381.0999999</v>
      </c>
      <c r="M11" s="392">
        <v>22.8796</v>
      </c>
      <c r="N11" s="25">
        <f t="shared" si="4"/>
        <v>2.1027729641143727E-3</v>
      </c>
      <c r="O11" s="25">
        <f t="shared" si="5"/>
        <v>2.0804043430082833E-3</v>
      </c>
      <c r="P11" s="392">
        <v>2388390890.04</v>
      </c>
      <c r="Q11" s="392">
        <v>23.455100000000002</v>
      </c>
      <c r="R11" s="25">
        <f t="shared" si="6"/>
        <v>2.4875118899156955E-2</v>
      </c>
      <c r="S11" s="25">
        <f t="shared" si="7"/>
        <v>2.5153411772933166E-2</v>
      </c>
      <c r="T11" s="392">
        <v>2381537464.98</v>
      </c>
      <c r="U11" s="392">
        <v>23.3964</v>
      </c>
      <c r="V11" s="25">
        <f t="shared" si="8"/>
        <v>-2.869473790316276E-3</v>
      </c>
      <c r="W11" s="25">
        <f t="shared" si="9"/>
        <v>-2.5026540070177379E-3</v>
      </c>
      <c r="X11" s="392">
        <v>2389196752.1700001</v>
      </c>
      <c r="Y11" s="392">
        <v>23.4833</v>
      </c>
      <c r="Z11" s="25">
        <f t="shared" si="10"/>
        <v>3.216110307995671E-3</v>
      </c>
      <c r="AA11" s="25">
        <f t="shared" si="11"/>
        <v>3.7142466362346336E-3</v>
      </c>
      <c r="AB11" s="392">
        <v>2447565095.3200002</v>
      </c>
      <c r="AC11" s="392">
        <v>24.052099999999999</v>
      </c>
      <c r="AD11" s="25">
        <f t="shared" si="12"/>
        <v>2.4430111541457081E-2</v>
      </c>
      <c r="AE11" s="25">
        <f t="shared" si="13"/>
        <v>2.4221468021956009E-2</v>
      </c>
      <c r="AF11" s="392">
        <v>2460213036.2199998</v>
      </c>
      <c r="AG11" s="392">
        <v>24.1645</v>
      </c>
      <c r="AH11" s="25">
        <f t="shared" si="14"/>
        <v>5.1675605785455108E-3</v>
      </c>
      <c r="AI11" s="25">
        <f t="shared" si="15"/>
        <v>4.6731886197047641E-3</v>
      </c>
      <c r="AJ11" s="26">
        <f t="shared" si="16"/>
        <v>1.0907014320024081E-2</v>
      </c>
      <c r="AK11" s="26">
        <f t="shared" si="17"/>
        <v>1.0860287857975767E-2</v>
      </c>
      <c r="AL11" s="27">
        <f t="shared" si="18"/>
        <v>9.6170924799719865E-2</v>
      </c>
      <c r="AM11" s="27">
        <f t="shared" si="19"/>
        <v>9.6512324391040724E-2</v>
      </c>
      <c r="AN11" s="28">
        <f t="shared" si="20"/>
        <v>1.5377518488089733E-2</v>
      </c>
      <c r="AO11" s="85">
        <f t="shared" si="21"/>
        <v>1.5418717417316031E-2</v>
      </c>
      <c r="AP11" s="32"/>
      <c r="AQ11" s="30">
        <v>2845469436.1399999</v>
      </c>
      <c r="AR11" s="34">
        <v>13.0688</v>
      </c>
      <c r="AS11" s="31" t="e">
        <f>(#REF!/AQ11)-1</f>
        <v>#REF!</v>
      </c>
      <c r="AT11" s="31" t="e">
        <f>(#REF!/AR11)-1</f>
        <v>#REF!</v>
      </c>
    </row>
    <row r="12" spans="1:49" ht="12.75" customHeight="1">
      <c r="A12" s="217" t="s">
        <v>57</v>
      </c>
      <c r="B12" s="392">
        <v>355582772.64999998</v>
      </c>
      <c r="C12" s="392">
        <v>159.05000000000001</v>
      </c>
      <c r="D12" s="392">
        <v>353455738.45999998</v>
      </c>
      <c r="E12" s="392">
        <v>163.36000000000001</v>
      </c>
      <c r="F12" s="25">
        <f t="shared" si="0"/>
        <v>-5.9818257621092252E-3</v>
      </c>
      <c r="G12" s="25">
        <f t="shared" si="1"/>
        <v>2.7098396730587879E-2</v>
      </c>
      <c r="H12" s="392">
        <v>363506877.74000001</v>
      </c>
      <c r="I12" s="392">
        <v>168.01</v>
      </c>
      <c r="J12" s="25">
        <f t="shared" si="2"/>
        <v>2.8436769265064579E-2</v>
      </c>
      <c r="K12" s="25">
        <f t="shared" si="3"/>
        <v>2.8464740450538546E-2</v>
      </c>
      <c r="L12" s="392">
        <v>367745213.73000002</v>
      </c>
      <c r="M12" s="392">
        <v>170.68</v>
      </c>
      <c r="N12" s="25">
        <f t="shared" si="4"/>
        <v>1.1659575786710421E-2</v>
      </c>
      <c r="O12" s="25">
        <f t="shared" si="5"/>
        <v>1.5891911195762252E-2</v>
      </c>
      <c r="P12" s="392">
        <v>376788984.97000003</v>
      </c>
      <c r="Q12" s="392">
        <v>174.75</v>
      </c>
      <c r="R12" s="25">
        <f t="shared" si="6"/>
        <v>2.4592492036184545E-2</v>
      </c>
      <c r="S12" s="25">
        <f t="shared" si="7"/>
        <v>2.3845793297398599E-2</v>
      </c>
      <c r="T12" s="392">
        <v>376412180.94</v>
      </c>
      <c r="U12" s="392">
        <v>174.61</v>
      </c>
      <c r="V12" s="25">
        <f t="shared" si="8"/>
        <v>-1.0000399295909145E-3</v>
      </c>
      <c r="W12" s="25">
        <f t="shared" si="9"/>
        <v>-8.0114449213153848E-4</v>
      </c>
      <c r="X12" s="392">
        <v>382154034.18000001</v>
      </c>
      <c r="Y12" s="392">
        <v>177.02</v>
      </c>
      <c r="Z12" s="25">
        <f t="shared" si="10"/>
        <v>1.525416426657898E-2</v>
      </c>
      <c r="AA12" s="25">
        <f t="shared" si="11"/>
        <v>1.3802187732661338E-2</v>
      </c>
      <c r="AB12" s="392">
        <v>390977059.31</v>
      </c>
      <c r="AC12" s="392">
        <v>181.19</v>
      </c>
      <c r="AD12" s="25">
        <f t="shared" si="12"/>
        <v>2.3087614785833255E-2</v>
      </c>
      <c r="AE12" s="25">
        <f t="shared" si="13"/>
        <v>2.3556660264376833E-2</v>
      </c>
      <c r="AF12" s="392">
        <v>385648510.37</v>
      </c>
      <c r="AG12" s="392">
        <v>179.9</v>
      </c>
      <c r="AH12" s="25">
        <f t="shared" si="14"/>
        <v>-1.362880203100374E-2</v>
      </c>
      <c r="AI12" s="25">
        <f t="shared" si="15"/>
        <v>-7.119598211821801E-3</v>
      </c>
      <c r="AJ12" s="26">
        <f t="shared" si="16"/>
        <v>1.0302493552208488E-2</v>
      </c>
      <c r="AK12" s="26">
        <f t="shared" si="17"/>
        <v>1.5592368370921516E-2</v>
      </c>
      <c r="AL12" s="27">
        <f t="shared" si="18"/>
        <v>9.1080065782107061E-2</v>
      </c>
      <c r="AM12" s="27">
        <f t="shared" si="19"/>
        <v>0.1012487757100881</v>
      </c>
      <c r="AN12" s="28">
        <f t="shared" si="20"/>
        <v>1.553111751679782E-2</v>
      </c>
      <c r="AO12" s="85">
        <f t="shared" si="21"/>
        <v>1.3188256586930182E-2</v>
      </c>
      <c r="AP12" s="32"/>
      <c r="AQ12" s="35">
        <v>155057555.75</v>
      </c>
      <c r="AR12" s="35">
        <v>111.51</v>
      </c>
      <c r="AS12" s="31" t="e">
        <f>(#REF!/AQ12)-1</f>
        <v>#REF!</v>
      </c>
      <c r="AT12" s="31" t="e">
        <f>(#REF!/AR12)-1</f>
        <v>#REF!</v>
      </c>
      <c r="AU12" s="90"/>
      <c r="AV12" s="91"/>
      <c r="AW12" s="96"/>
    </row>
    <row r="13" spans="1:49" ht="12.75" customHeight="1">
      <c r="A13" s="217" t="s">
        <v>58</v>
      </c>
      <c r="B13" s="392">
        <v>271264932.87</v>
      </c>
      <c r="C13" s="392">
        <v>11.891500000000001</v>
      </c>
      <c r="D13" s="392">
        <v>280672383.68000001</v>
      </c>
      <c r="E13" s="392">
        <v>11.968</v>
      </c>
      <c r="F13" s="25">
        <f t="shared" si="0"/>
        <v>3.4679937102332331E-2</v>
      </c>
      <c r="G13" s="25">
        <f t="shared" si="1"/>
        <v>6.4331665475338973E-3</v>
      </c>
      <c r="H13" s="392">
        <v>287953769.39999998</v>
      </c>
      <c r="I13" s="392">
        <v>12.397724</v>
      </c>
      <c r="J13" s="25">
        <f t="shared" si="2"/>
        <v>2.5942651088543208E-2</v>
      </c>
      <c r="K13" s="25">
        <f t="shared" si="3"/>
        <v>3.5906082887700551E-2</v>
      </c>
      <c r="L13" s="392">
        <v>281244803.94</v>
      </c>
      <c r="M13" s="392">
        <v>12.084092999999999</v>
      </c>
      <c r="N13" s="25">
        <f t="shared" si="4"/>
        <v>-2.3298758943073518E-2</v>
      </c>
      <c r="O13" s="25">
        <f t="shared" si="5"/>
        <v>-2.5297465889706924E-2</v>
      </c>
      <c r="P13" s="392">
        <v>300071225.00999999</v>
      </c>
      <c r="Q13" s="392">
        <v>12.8742</v>
      </c>
      <c r="R13" s="25">
        <f t="shared" si="6"/>
        <v>6.6939622728163783E-2</v>
      </c>
      <c r="S13" s="25">
        <f t="shared" si="7"/>
        <v>6.538405488934923E-2</v>
      </c>
      <c r="T13" s="392">
        <v>295848146.80000001</v>
      </c>
      <c r="U13" s="392">
        <v>12.6538</v>
      </c>
      <c r="V13" s="25">
        <f t="shared" si="8"/>
        <v>-1.4073586062306517E-2</v>
      </c>
      <c r="W13" s="25">
        <f t="shared" si="9"/>
        <v>-1.7119510338506446E-2</v>
      </c>
      <c r="X13" s="392">
        <v>296476092.69999999</v>
      </c>
      <c r="Y13" s="392">
        <v>12.664999999999999</v>
      </c>
      <c r="Z13" s="25">
        <f t="shared" si="10"/>
        <v>2.1225277453722964E-3</v>
      </c>
      <c r="AA13" s="25">
        <f t="shared" si="11"/>
        <v>8.8510961134194996E-4</v>
      </c>
      <c r="AB13" s="392">
        <v>306310105.66000003</v>
      </c>
      <c r="AC13" s="392">
        <v>13.0718</v>
      </c>
      <c r="AD13" s="25">
        <f t="shared" si="12"/>
        <v>3.3169665960050741E-2</v>
      </c>
      <c r="AE13" s="25">
        <f t="shared" si="13"/>
        <v>3.2120015791551562E-2</v>
      </c>
      <c r="AF13" s="392">
        <v>306310105.66000003</v>
      </c>
      <c r="AG13" s="392">
        <v>13.078799999999999</v>
      </c>
      <c r="AH13" s="25">
        <f t="shared" si="14"/>
        <v>0</v>
      </c>
      <c r="AI13" s="25">
        <f t="shared" si="15"/>
        <v>5.3550390917851199E-4</v>
      </c>
      <c r="AJ13" s="26">
        <f t="shared" si="16"/>
        <v>1.568525745238529E-2</v>
      </c>
      <c r="AK13" s="26">
        <f t="shared" si="17"/>
        <v>1.235586967605529E-2</v>
      </c>
      <c r="AL13" s="27">
        <f t="shared" si="18"/>
        <v>9.1343942157237956E-2</v>
      </c>
      <c r="AM13" s="27">
        <f t="shared" si="19"/>
        <v>9.2814171122994601E-2</v>
      </c>
      <c r="AN13" s="28">
        <f t="shared" si="20"/>
        <v>2.9842548052842453E-2</v>
      </c>
      <c r="AO13" s="85">
        <f t="shared" si="21"/>
        <v>3.0119220116322339E-2</v>
      </c>
      <c r="AP13" s="32"/>
      <c r="AQ13" s="40">
        <v>212579164.06</v>
      </c>
      <c r="AR13" s="40">
        <v>9.9</v>
      </c>
      <c r="AS13" s="31" t="e">
        <f>(#REF!/AQ13)-1</f>
        <v>#REF!</v>
      </c>
      <c r="AT13" s="31" t="e">
        <f>(#REF!/AR13)-1</f>
        <v>#REF!</v>
      </c>
    </row>
    <row r="14" spans="1:49" ht="12.75" customHeight="1">
      <c r="A14" s="218" t="s">
        <v>72</v>
      </c>
      <c r="B14" s="393">
        <v>324663142.74000001</v>
      </c>
      <c r="C14" s="392">
        <v>3164.63</v>
      </c>
      <c r="D14" s="393">
        <v>329501009.56999999</v>
      </c>
      <c r="E14" s="392">
        <v>3220.74</v>
      </c>
      <c r="F14" s="25">
        <f t="shared" si="0"/>
        <v>1.4901188934385115E-2</v>
      </c>
      <c r="G14" s="25">
        <f t="shared" si="1"/>
        <v>1.7730350783503813E-2</v>
      </c>
      <c r="H14" s="393">
        <v>334547496.94999999</v>
      </c>
      <c r="I14" s="392">
        <v>3279.27</v>
      </c>
      <c r="J14" s="25">
        <f t="shared" si="2"/>
        <v>1.53155445155864E-2</v>
      </c>
      <c r="K14" s="25">
        <f t="shared" si="3"/>
        <v>1.8172842266063142E-2</v>
      </c>
      <c r="L14" s="393">
        <v>340821767.18000001</v>
      </c>
      <c r="M14" s="392">
        <v>3316.04</v>
      </c>
      <c r="N14" s="25">
        <f t="shared" si="4"/>
        <v>1.8754497604080846E-2</v>
      </c>
      <c r="O14" s="25">
        <f t="shared" si="5"/>
        <v>1.1212861399030877E-2</v>
      </c>
      <c r="P14" s="393">
        <v>348349843.82999998</v>
      </c>
      <c r="Q14" s="392">
        <v>3389.43</v>
      </c>
      <c r="R14" s="25">
        <f t="shared" si="6"/>
        <v>2.2088016009916799E-2</v>
      </c>
      <c r="S14" s="25">
        <f t="shared" si="7"/>
        <v>2.213181988154542E-2</v>
      </c>
      <c r="T14" s="393">
        <v>348763218.52999997</v>
      </c>
      <c r="U14" s="392">
        <v>3393.73</v>
      </c>
      <c r="V14" s="25">
        <f t="shared" si="8"/>
        <v>1.1866653805698883E-3</v>
      </c>
      <c r="W14" s="25">
        <f t="shared" si="9"/>
        <v>1.2686498909846736E-3</v>
      </c>
      <c r="X14" s="393">
        <v>354602282.91000003</v>
      </c>
      <c r="Y14" s="392">
        <v>3450.66</v>
      </c>
      <c r="Z14" s="25">
        <f t="shared" si="10"/>
        <v>1.674220235898468E-2</v>
      </c>
      <c r="AA14" s="25">
        <f t="shared" si="11"/>
        <v>1.6775052817990774E-2</v>
      </c>
      <c r="AB14" s="393">
        <v>363128838.67000002</v>
      </c>
      <c r="AC14" s="392">
        <v>3533.76</v>
      </c>
      <c r="AD14" s="25">
        <f t="shared" si="12"/>
        <v>2.4045405714897997E-2</v>
      </c>
      <c r="AE14" s="25">
        <f t="shared" si="13"/>
        <v>2.4082349463580986E-2</v>
      </c>
      <c r="AF14" s="393">
        <v>358114157.80000001</v>
      </c>
      <c r="AG14" s="392">
        <v>3484.85</v>
      </c>
      <c r="AH14" s="25">
        <f t="shared" si="14"/>
        <v>-1.3809646428432493E-2</v>
      </c>
      <c r="AI14" s="25">
        <f t="shared" si="15"/>
        <v>-1.3840781490537078E-2</v>
      </c>
      <c r="AJ14" s="26">
        <f t="shared" si="16"/>
        <v>1.2402984261248653E-2</v>
      </c>
      <c r="AK14" s="26">
        <f t="shared" si="17"/>
        <v>1.2191643126520324E-2</v>
      </c>
      <c r="AL14" s="27">
        <f t="shared" si="18"/>
        <v>8.6837816574038065E-2</v>
      </c>
      <c r="AM14" s="27">
        <f t="shared" si="19"/>
        <v>8.2002893744915803E-2</v>
      </c>
      <c r="AN14" s="28">
        <f t="shared" si="20"/>
        <v>1.2627341103741705E-2</v>
      </c>
      <c r="AO14" s="85">
        <f t="shared" si="21"/>
        <v>1.2680765003444151E-2</v>
      </c>
      <c r="AP14" s="32"/>
      <c r="AQ14" s="30">
        <v>305162610.31</v>
      </c>
      <c r="AR14" s="30">
        <v>1481.86</v>
      </c>
      <c r="AS14" s="31" t="e">
        <f>(#REF!/AQ14)-1</f>
        <v>#REF!</v>
      </c>
      <c r="AT14" s="31" t="e">
        <f>(#REF!/AR14)-1</f>
        <v>#REF!</v>
      </c>
    </row>
    <row r="15" spans="1:49" s="95" customFormat="1" ht="12.75" customHeight="1">
      <c r="A15" s="217" t="s">
        <v>87</v>
      </c>
      <c r="B15" s="393">
        <v>248144549.81999999</v>
      </c>
      <c r="C15" s="392">
        <v>142.97</v>
      </c>
      <c r="D15" s="393">
        <v>259900593.13999999</v>
      </c>
      <c r="E15" s="392">
        <v>142.97</v>
      </c>
      <c r="F15" s="25">
        <f t="shared" si="0"/>
        <v>4.7375786929544229E-2</v>
      </c>
      <c r="G15" s="25">
        <f t="shared" si="1"/>
        <v>0</v>
      </c>
      <c r="H15" s="393">
        <v>245931683.28</v>
      </c>
      <c r="I15" s="392">
        <v>142.97</v>
      </c>
      <c r="J15" s="25">
        <f t="shared" si="2"/>
        <v>-5.3747125742323286E-2</v>
      </c>
      <c r="K15" s="25">
        <f t="shared" si="3"/>
        <v>0</v>
      </c>
      <c r="L15" s="393">
        <v>246914907.66999999</v>
      </c>
      <c r="M15" s="392">
        <v>142.97</v>
      </c>
      <c r="N15" s="25">
        <f t="shared" si="4"/>
        <v>3.9979573875422864E-3</v>
      </c>
      <c r="O15" s="25">
        <f t="shared" si="5"/>
        <v>0</v>
      </c>
      <c r="P15" s="393">
        <v>267828509.25</v>
      </c>
      <c r="Q15" s="392">
        <v>142.97</v>
      </c>
      <c r="R15" s="25">
        <f t="shared" si="6"/>
        <v>8.4699631048405111E-2</v>
      </c>
      <c r="S15" s="25">
        <f t="shared" si="7"/>
        <v>0</v>
      </c>
      <c r="T15" s="393">
        <v>262792359.38999999</v>
      </c>
      <c r="U15" s="392">
        <v>142.97</v>
      </c>
      <c r="V15" s="25">
        <f t="shared" si="8"/>
        <v>-1.8803636230148694E-2</v>
      </c>
      <c r="W15" s="25">
        <f t="shared" si="9"/>
        <v>0</v>
      </c>
      <c r="X15" s="393">
        <v>265833314.18000001</v>
      </c>
      <c r="Y15" s="392">
        <v>142.97</v>
      </c>
      <c r="Z15" s="25">
        <f t="shared" si="10"/>
        <v>1.1571701692768997E-2</v>
      </c>
      <c r="AA15" s="25">
        <f t="shared" si="11"/>
        <v>0</v>
      </c>
      <c r="AB15" s="393">
        <v>277239452.17000002</v>
      </c>
      <c r="AC15" s="392">
        <v>142.97</v>
      </c>
      <c r="AD15" s="25">
        <f t="shared" si="12"/>
        <v>4.2907105248203507E-2</v>
      </c>
      <c r="AE15" s="25">
        <f t="shared" si="13"/>
        <v>0</v>
      </c>
      <c r="AF15" s="393">
        <v>282006437.12</v>
      </c>
      <c r="AG15" s="392">
        <v>142.97</v>
      </c>
      <c r="AH15" s="25">
        <f t="shared" si="14"/>
        <v>1.719446822120009E-2</v>
      </c>
      <c r="AI15" s="25">
        <f t="shared" si="15"/>
        <v>0</v>
      </c>
      <c r="AJ15" s="26">
        <f t="shared" si="16"/>
        <v>1.6899486069399033E-2</v>
      </c>
      <c r="AK15" s="26">
        <f t="shared" si="17"/>
        <v>0</v>
      </c>
      <c r="AL15" s="27">
        <f t="shared" si="18"/>
        <v>8.5054996269640373E-2</v>
      </c>
      <c r="AM15" s="27">
        <f t="shared" si="19"/>
        <v>0</v>
      </c>
      <c r="AN15" s="28">
        <f t="shared" si="20"/>
        <v>4.2531734831127162E-2</v>
      </c>
      <c r="AO15" s="85">
        <f t="shared" si="21"/>
        <v>0</v>
      </c>
      <c r="AP15" s="32"/>
      <c r="AQ15" s="30"/>
      <c r="AR15" s="30"/>
      <c r="AS15" s="31"/>
      <c r="AT15" s="31"/>
    </row>
    <row r="16" spans="1:49" s="95" customFormat="1" ht="12.75" customHeight="1">
      <c r="A16" s="217" t="s">
        <v>132</v>
      </c>
      <c r="B16" s="393">
        <v>302992281.41000003</v>
      </c>
      <c r="C16" s="392">
        <v>1.21</v>
      </c>
      <c r="D16" s="393">
        <v>302992281.41000003</v>
      </c>
      <c r="E16" s="392">
        <v>1.21</v>
      </c>
      <c r="F16" s="25">
        <f t="shared" si="0"/>
        <v>0</v>
      </c>
      <c r="G16" s="25">
        <f t="shared" si="1"/>
        <v>0</v>
      </c>
      <c r="H16" s="393">
        <v>321808521.13999999</v>
      </c>
      <c r="I16" s="392">
        <v>1.28</v>
      </c>
      <c r="J16" s="25">
        <f t="shared" si="2"/>
        <v>6.2101383053182108E-2</v>
      </c>
      <c r="K16" s="25">
        <f t="shared" si="3"/>
        <v>5.7851239669421538E-2</v>
      </c>
      <c r="L16" s="393">
        <v>324173786.19</v>
      </c>
      <c r="M16" s="392">
        <v>1.29</v>
      </c>
      <c r="N16" s="25">
        <f t="shared" si="4"/>
        <v>7.3499142956846191E-3</v>
      </c>
      <c r="O16" s="25">
        <f t="shared" si="5"/>
        <v>7.8125000000000069E-3</v>
      </c>
      <c r="P16" s="393">
        <v>324479426.48000002</v>
      </c>
      <c r="Q16" s="392">
        <v>1.29</v>
      </c>
      <c r="R16" s="25">
        <f t="shared" si="6"/>
        <v>9.4282851674158512E-4</v>
      </c>
      <c r="S16" s="25">
        <f t="shared" si="7"/>
        <v>0</v>
      </c>
      <c r="T16" s="393">
        <v>328427943.86000001</v>
      </c>
      <c r="U16" s="392">
        <v>1.3</v>
      </c>
      <c r="V16" s="25">
        <f t="shared" si="8"/>
        <v>1.2168775761329726E-2</v>
      </c>
      <c r="W16" s="25">
        <f t="shared" si="9"/>
        <v>7.7519379844961309E-3</v>
      </c>
      <c r="X16" s="393">
        <v>328100755.11000001</v>
      </c>
      <c r="Y16" s="392">
        <v>1.3</v>
      </c>
      <c r="Z16" s="25">
        <f t="shared" si="10"/>
        <v>-9.9622689273806664E-4</v>
      </c>
      <c r="AA16" s="25">
        <f t="shared" si="11"/>
        <v>0</v>
      </c>
      <c r="AB16" s="393">
        <v>347540583.73000002</v>
      </c>
      <c r="AC16" s="392">
        <v>1.32</v>
      </c>
      <c r="AD16" s="25">
        <f t="shared" si="12"/>
        <v>5.9249569887404104E-2</v>
      </c>
      <c r="AE16" s="25">
        <f t="shared" si="13"/>
        <v>1.5384615384615398E-2</v>
      </c>
      <c r="AF16" s="393">
        <v>349368508.86000001</v>
      </c>
      <c r="AG16" s="392">
        <v>1.36</v>
      </c>
      <c r="AH16" s="25">
        <f t="shared" si="14"/>
        <v>5.259601944560488E-3</v>
      </c>
      <c r="AI16" s="25">
        <f t="shared" si="15"/>
        <v>3.0303030303030328E-2</v>
      </c>
      <c r="AJ16" s="26">
        <f t="shared" si="16"/>
        <v>1.8259480820770571E-2</v>
      </c>
      <c r="AK16" s="26">
        <f t="shared" si="17"/>
        <v>1.4887915417695427E-2</v>
      </c>
      <c r="AL16" s="27">
        <f t="shared" si="18"/>
        <v>0.15306075532414332</v>
      </c>
      <c r="AM16" s="27">
        <f t="shared" si="19"/>
        <v>0.12396694214876045</v>
      </c>
      <c r="AN16" s="28">
        <f t="shared" si="20"/>
        <v>2.6542336370787456E-2</v>
      </c>
      <c r="AO16" s="85">
        <f t="shared" si="21"/>
        <v>2.0176554506433662E-2</v>
      </c>
      <c r="AP16" s="32"/>
      <c r="AQ16" s="30"/>
      <c r="AR16" s="30"/>
      <c r="AS16" s="31"/>
      <c r="AT16" s="31"/>
    </row>
    <row r="17" spans="1:46" s="95" customFormat="1" ht="12.75" customHeight="1">
      <c r="A17" s="217" t="s">
        <v>135</v>
      </c>
      <c r="B17" s="392">
        <v>277920493.36000001</v>
      </c>
      <c r="C17" s="392">
        <v>1.425962</v>
      </c>
      <c r="D17" s="392">
        <v>277920493.36000001</v>
      </c>
      <c r="E17" s="392">
        <v>1.425962</v>
      </c>
      <c r="F17" s="25">
        <f t="shared" si="0"/>
        <v>0</v>
      </c>
      <c r="G17" s="25">
        <f t="shared" si="1"/>
        <v>0</v>
      </c>
      <c r="H17" s="392">
        <v>287784706.77999997</v>
      </c>
      <c r="I17" s="392">
        <v>1.48553</v>
      </c>
      <c r="J17" s="25">
        <f t="shared" si="2"/>
        <v>3.5492932891503258E-2</v>
      </c>
      <c r="K17" s="25">
        <f t="shared" si="3"/>
        <v>4.1773904213436311E-2</v>
      </c>
      <c r="L17" s="392">
        <v>288980058.06</v>
      </c>
      <c r="M17" s="392">
        <v>1.492032</v>
      </c>
      <c r="N17" s="25">
        <f t="shared" si="4"/>
        <v>4.1536303070956087E-3</v>
      </c>
      <c r="O17" s="25">
        <f t="shared" si="5"/>
        <v>4.3768890564310431E-3</v>
      </c>
      <c r="P17" s="392">
        <v>296363775.56999999</v>
      </c>
      <c r="Q17" s="392">
        <v>1.529998</v>
      </c>
      <c r="R17" s="25">
        <f t="shared" si="6"/>
        <v>2.5550958635584927E-2</v>
      </c>
      <c r="S17" s="25">
        <f t="shared" si="7"/>
        <v>2.5445834941877885E-2</v>
      </c>
      <c r="T17" s="392">
        <v>291030996.87</v>
      </c>
      <c r="U17" s="392">
        <v>1.5054510000000001</v>
      </c>
      <c r="V17" s="25">
        <f t="shared" si="8"/>
        <v>-1.7994030106221286E-2</v>
      </c>
      <c r="W17" s="25">
        <f t="shared" si="9"/>
        <v>-1.6043811821976155E-2</v>
      </c>
      <c r="X17" s="392">
        <v>292251055.42000002</v>
      </c>
      <c r="Y17" s="392">
        <v>1.512087</v>
      </c>
      <c r="Z17" s="25">
        <f t="shared" si="10"/>
        <v>4.1921945192147257E-3</v>
      </c>
      <c r="AA17" s="25">
        <f t="shared" si="11"/>
        <v>4.4079813956082684E-3</v>
      </c>
      <c r="AB17" s="392">
        <v>295718639.97000003</v>
      </c>
      <c r="AC17" s="392">
        <v>1.530152</v>
      </c>
      <c r="AD17" s="25">
        <f t="shared" si="12"/>
        <v>1.1865088203074834E-2</v>
      </c>
      <c r="AE17" s="25">
        <f t="shared" si="13"/>
        <v>1.1947063892487666E-2</v>
      </c>
      <c r="AF17" s="392">
        <v>296691417.77999997</v>
      </c>
      <c r="AG17" s="392">
        <v>1.5355380000000001</v>
      </c>
      <c r="AH17" s="25">
        <f t="shared" si="14"/>
        <v>3.2895383601744847E-3</v>
      </c>
      <c r="AI17" s="25">
        <f t="shared" si="15"/>
        <v>3.5199117473297507E-3</v>
      </c>
      <c r="AJ17" s="26">
        <f t="shared" si="16"/>
        <v>8.3187891013033182E-3</v>
      </c>
      <c r="AK17" s="26">
        <f t="shared" si="17"/>
        <v>9.4284716781493465E-3</v>
      </c>
      <c r="AL17" s="27">
        <f t="shared" si="18"/>
        <v>6.7540627152260169E-2</v>
      </c>
      <c r="AM17" s="27">
        <f t="shared" si="19"/>
        <v>7.6843562451173394E-2</v>
      </c>
      <c r="AN17" s="28">
        <f t="shared" si="20"/>
        <v>1.6340988758818304E-2</v>
      </c>
      <c r="AO17" s="85">
        <f t="shared" si="21"/>
        <v>1.74539984513284E-2</v>
      </c>
      <c r="AP17" s="32"/>
      <c r="AQ17" s="30"/>
      <c r="AR17" s="30"/>
      <c r="AS17" s="31"/>
      <c r="AT17" s="31"/>
    </row>
    <row r="18" spans="1:46" s="119" customFormat="1" ht="12.75" customHeight="1">
      <c r="A18" s="217" t="s">
        <v>146</v>
      </c>
      <c r="B18" s="392">
        <v>424462950.87</v>
      </c>
      <c r="C18" s="392">
        <v>141.44220000000001</v>
      </c>
      <c r="D18" s="392">
        <v>433172336.24000001</v>
      </c>
      <c r="E18" s="392">
        <v>145.96250000000001</v>
      </c>
      <c r="F18" s="25">
        <f t="shared" si="0"/>
        <v>2.0518599684963841E-2</v>
      </c>
      <c r="G18" s="25">
        <f t="shared" si="1"/>
        <v>3.1958637521192344E-2</v>
      </c>
      <c r="H18" s="392">
        <v>440357191.55000001</v>
      </c>
      <c r="I18" s="392">
        <v>147.07820000000001</v>
      </c>
      <c r="J18" s="25">
        <f t="shared" si="2"/>
        <v>1.6586597778532233E-2</v>
      </c>
      <c r="K18" s="25">
        <f t="shared" si="3"/>
        <v>7.6437441123576528E-3</v>
      </c>
      <c r="L18" s="392">
        <v>447115052.45999998</v>
      </c>
      <c r="M18" s="392">
        <v>150.6687</v>
      </c>
      <c r="N18" s="25">
        <f t="shared" si="4"/>
        <v>1.5346316671275824E-2</v>
      </c>
      <c r="O18" s="25">
        <f t="shared" si="5"/>
        <v>2.4412183450708475E-2</v>
      </c>
      <c r="P18" s="392">
        <v>458622167.95999998</v>
      </c>
      <c r="Q18" s="392">
        <v>154.6</v>
      </c>
      <c r="R18" s="25">
        <f t="shared" si="6"/>
        <v>2.5736363463248545E-2</v>
      </c>
      <c r="S18" s="25">
        <f t="shared" si="7"/>
        <v>2.6092346983812784E-2</v>
      </c>
      <c r="T18" s="392">
        <v>451963548.25999999</v>
      </c>
      <c r="U18" s="392">
        <v>152.4093</v>
      </c>
      <c r="V18" s="25">
        <f t="shared" si="8"/>
        <v>-1.4518748035268845E-2</v>
      </c>
      <c r="W18" s="25">
        <f t="shared" si="9"/>
        <v>-1.4170116429495425E-2</v>
      </c>
      <c r="X18" s="392">
        <v>454097186.88</v>
      </c>
      <c r="Y18" s="392">
        <v>153.11070000000001</v>
      </c>
      <c r="Z18" s="25">
        <f t="shared" si="10"/>
        <v>4.720820137407611E-3</v>
      </c>
      <c r="AA18" s="25">
        <f t="shared" si="11"/>
        <v>4.602081369050358E-3</v>
      </c>
      <c r="AB18" s="392">
        <v>461533123.02999997</v>
      </c>
      <c r="AC18" s="392">
        <v>155.60910000000001</v>
      </c>
      <c r="AD18" s="25">
        <f t="shared" si="12"/>
        <v>1.6375208578345589E-2</v>
      </c>
      <c r="AE18" s="25">
        <f t="shared" si="13"/>
        <v>1.6317605497199107E-2</v>
      </c>
      <c r="AF18" s="392">
        <v>461493096.73000002</v>
      </c>
      <c r="AG18" s="392">
        <v>155.60040000000001</v>
      </c>
      <c r="AH18" s="25">
        <f t="shared" si="14"/>
        <v>-8.6724653123868158E-5</v>
      </c>
      <c r="AI18" s="25">
        <f t="shared" si="15"/>
        <v>-5.590932663966691E-5</v>
      </c>
      <c r="AJ18" s="26">
        <f t="shared" si="16"/>
        <v>1.0584804203172617E-2</v>
      </c>
      <c r="AK18" s="26">
        <f t="shared" si="17"/>
        <v>1.2100071647273202E-2</v>
      </c>
      <c r="AL18" s="27">
        <f t="shared" si="18"/>
        <v>6.5379891836649592E-2</v>
      </c>
      <c r="AM18" s="27">
        <f t="shared" si="19"/>
        <v>6.6029973452085305E-2</v>
      </c>
      <c r="AN18" s="28">
        <f t="shared" si="20"/>
        <v>1.3087226721727427E-2</v>
      </c>
      <c r="AO18" s="85">
        <f t="shared" si="21"/>
        <v>1.546189539682072E-2</v>
      </c>
      <c r="AP18" s="32"/>
      <c r="AQ18" s="30"/>
      <c r="AR18" s="30"/>
      <c r="AS18" s="31"/>
      <c r="AT18" s="31"/>
    </row>
    <row r="19" spans="1:46" s="330" customFormat="1" ht="12.75" customHeight="1">
      <c r="A19" s="217" t="s">
        <v>237</v>
      </c>
      <c r="B19" s="78">
        <v>24603353.420000002</v>
      </c>
      <c r="C19" s="392">
        <v>98.99</v>
      </c>
      <c r="D19" s="78">
        <v>24949173.18</v>
      </c>
      <c r="E19" s="392">
        <v>100.39</v>
      </c>
      <c r="F19" s="25">
        <f t="shared" si="0"/>
        <v>1.4055797764498312E-2</v>
      </c>
      <c r="G19" s="25">
        <f t="shared" si="1"/>
        <v>1.4142842711385047E-2</v>
      </c>
      <c r="H19" s="78">
        <v>24836903.800000001</v>
      </c>
      <c r="I19" s="392">
        <v>100</v>
      </c>
      <c r="J19" s="25">
        <f t="shared" si="2"/>
        <v>-4.4999238728278754E-3</v>
      </c>
      <c r="K19" s="25">
        <f t="shared" si="3"/>
        <v>-3.8848490885546425E-3</v>
      </c>
      <c r="L19" s="78">
        <v>25492858.550000001</v>
      </c>
      <c r="M19" s="392">
        <v>102.65</v>
      </c>
      <c r="N19" s="25">
        <f t="shared" si="4"/>
        <v>2.6410488009379011E-2</v>
      </c>
      <c r="O19" s="25">
        <f t="shared" si="5"/>
        <v>2.6500000000000058E-2</v>
      </c>
      <c r="P19" s="78">
        <v>26308210</v>
      </c>
      <c r="Q19" s="392">
        <v>105.94</v>
      </c>
      <c r="R19" s="25">
        <f t="shared" si="6"/>
        <v>3.1983523872021767E-2</v>
      </c>
      <c r="S19" s="25">
        <f t="shared" si="7"/>
        <v>3.2050657574281459E-2</v>
      </c>
      <c r="T19" s="78">
        <v>25781498.579999998</v>
      </c>
      <c r="U19" s="392">
        <v>103.82</v>
      </c>
      <c r="V19" s="25">
        <f t="shared" si="8"/>
        <v>-2.0020800350917137E-2</v>
      </c>
      <c r="W19" s="25">
        <f t="shared" si="9"/>
        <v>-2.0011327166320602E-2</v>
      </c>
      <c r="X19" s="78">
        <v>25899730.210000001</v>
      </c>
      <c r="Y19" s="392">
        <v>104.29</v>
      </c>
      <c r="Z19" s="25">
        <f t="shared" si="10"/>
        <v>4.5859099164903038E-3</v>
      </c>
      <c r="AA19" s="25">
        <f t="shared" si="11"/>
        <v>4.5270660759007238E-3</v>
      </c>
      <c r="AB19" s="78">
        <v>26283144.050000001</v>
      </c>
      <c r="AC19" s="392">
        <v>105.84</v>
      </c>
      <c r="AD19" s="25">
        <f t="shared" si="12"/>
        <v>1.4803777371084818E-2</v>
      </c>
      <c r="AE19" s="25">
        <f t="shared" si="13"/>
        <v>1.4862402914948673E-2</v>
      </c>
      <c r="AF19" s="78">
        <v>26228019.760000002</v>
      </c>
      <c r="AG19" s="392">
        <v>105.62</v>
      </c>
      <c r="AH19" s="25">
        <f t="shared" si="14"/>
        <v>-2.0973248061621876E-3</v>
      </c>
      <c r="AI19" s="25">
        <f t="shared" si="15"/>
        <v>-2.0786092214663534E-3</v>
      </c>
      <c r="AJ19" s="26">
        <f t="shared" si="16"/>
        <v>8.1526809879458751E-3</v>
      </c>
      <c r="AK19" s="26">
        <f t="shared" si="17"/>
        <v>8.2635229750217948E-3</v>
      </c>
      <c r="AL19" s="27">
        <f t="shared" si="18"/>
        <v>5.1258074597244109E-2</v>
      </c>
      <c r="AM19" s="27">
        <f t="shared" si="19"/>
        <v>5.2096822392668635E-2</v>
      </c>
      <c r="AN19" s="28">
        <f t="shared" si="20"/>
        <v>1.7121241592754979E-2</v>
      </c>
      <c r="AO19" s="85">
        <f t="shared" si="21"/>
        <v>1.7090011228738669E-2</v>
      </c>
      <c r="AP19" s="32"/>
      <c r="AQ19" s="30"/>
      <c r="AR19" s="30"/>
      <c r="AS19" s="31"/>
      <c r="AT19" s="31"/>
    </row>
    <row r="20" spans="1:46">
      <c r="A20" s="217" t="s">
        <v>268</v>
      </c>
      <c r="B20" s="78"/>
      <c r="C20" s="392"/>
      <c r="D20" s="78">
        <v>54762708.909999996</v>
      </c>
      <c r="E20" s="392">
        <v>104.7247</v>
      </c>
      <c r="F20" s="25" t="e">
        <f t="shared" si="0"/>
        <v>#DIV/0!</v>
      </c>
      <c r="G20" s="25" t="e">
        <f t="shared" si="1"/>
        <v>#DIV/0!</v>
      </c>
      <c r="H20" s="78">
        <v>55037121.18</v>
      </c>
      <c r="I20" s="392">
        <v>105.251</v>
      </c>
      <c r="J20" s="25">
        <f t="shared" si="2"/>
        <v>5.0109330868015915E-3</v>
      </c>
      <c r="K20" s="25">
        <f t="shared" si="3"/>
        <v>5.0255574854834268E-3</v>
      </c>
      <c r="L20" s="78">
        <v>55347660.939999998</v>
      </c>
      <c r="M20" s="392">
        <v>105.8466</v>
      </c>
      <c r="N20" s="25">
        <f t="shared" si="4"/>
        <v>5.6423692471917536E-3</v>
      </c>
      <c r="O20" s="25">
        <f t="shared" si="5"/>
        <v>5.6588535975904295E-3</v>
      </c>
      <c r="P20" s="78">
        <v>55656675.189999998</v>
      </c>
      <c r="Q20" s="392">
        <v>106.4397</v>
      </c>
      <c r="R20" s="25">
        <f t="shared" si="6"/>
        <v>5.5831492198918573E-3</v>
      </c>
      <c r="S20" s="25">
        <f t="shared" si="7"/>
        <v>5.6033920787253149E-3</v>
      </c>
      <c r="T20" s="78">
        <v>55989201.640000001</v>
      </c>
      <c r="U20" s="392">
        <v>107.0583</v>
      </c>
      <c r="V20" s="25">
        <f t="shared" si="8"/>
        <v>5.9746014088126664E-3</v>
      </c>
      <c r="W20" s="25">
        <f t="shared" si="9"/>
        <v>5.8117412957759251E-3</v>
      </c>
      <c r="X20" s="78">
        <v>55990271.119999997</v>
      </c>
      <c r="Y20" s="392">
        <v>107.05970000000001</v>
      </c>
      <c r="Z20" s="25">
        <f t="shared" si="10"/>
        <v>1.9101540451912074E-5</v>
      </c>
      <c r="AA20" s="25">
        <f t="shared" si="11"/>
        <v>1.3076987024862553E-5</v>
      </c>
      <c r="AB20" s="78">
        <v>56913703.579999998</v>
      </c>
      <c r="AC20" s="392">
        <v>108.9726</v>
      </c>
      <c r="AD20" s="25">
        <f t="shared" si="12"/>
        <v>1.6492730639236827E-2</v>
      </c>
      <c r="AE20" s="25">
        <f t="shared" si="13"/>
        <v>1.7867600974035919E-2</v>
      </c>
      <c r="AF20" s="78">
        <v>57059834.270000003</v>
      </c>
      <c r="AG20" s="392">
        <v>109.2428</v>
      </c>
      <c r="AH20" s="25">
        <f t="shared" si="14"/>
        <v>2.5675835661370795E-3</v>
      </c>
      <c r="AI20" s="25">
        <f t="shared" si="15"/>
        <v>2.4795223753494243E-3</v>
      </c>
      <c r="AJ20" s="26" t="e">
        <f t="shared" si="16"/>
        <v>#DIV/0!</v>
      </c>
      <c r="AK20" s="26" t="e">
        <f t="shared" si="17"/>
        <v>#DIV/0!</v>
      </c>
      <c r="AL20" s="27">
        <f t="shared" si="18"/>
        <v>4.1946890607168962E-2</v>
      </c>
      <c r="AM20" s="27">
        <f t="shared" si="19"/>
        <v>4.3142639701999663E-2</v>
      </c>
      <c r="AN20" s="28" t="e">
        <f t="shared" si="20"/>
        <v>#DIV/0!</v>
      </c>
      <c r="AO20" s="85" t="e">
        <f t="shared" si="21"/>
        <v>#DIV/0!</v>
      </c>
      <c r="AP20" s="32"/>
      <c r="AQ20" s="41">
        <v>100020653.31</v>
      </c>
      <c r="AR20" s="30">
        <v>100</v>
      </c>
      <c r="AS20" s="31" t="e">
        <f>(#REF!/AQ20)-1</f>
        <v>#REF!</v>
      </c>
      <c r="AT20" s="31" t="e">
        <f>(#REF!/AR20)-1</f>
        <v>#REF!</v>
      </c>
    </row>
    <row r="21" spans="1:46">
      <c r="A21" s="219" t="s">
        <v>46</v>
      </c>
      <c r="B21" s="73">
        <f>SUM(B5:B20)</f>
        <v>15526960302.890003</v>
      </c>
      <c r="C21" s="94"/>
      <c r="D21" s="73">
        <f>SUM(D5:D20)</f>
        <v>15749133335.319998</v>
      </c>
      <c r="E21" s="94"/>
      <c r="F21" s="25">
        <f>((D21-B21)/B21)</f>
        <v>1.4308855570954345E-2</v>
      </c>
      <c r="G21" s="25"/>
      <c r="H21" s="73">
        <f>SUM(H5:H20)</f>
        <v>16107237306.709997</v>
      </c>
      <c r="I21" s="94"/>
      <c r="J21" s="25">
        <f>((H21-D21)/D21)</f>
        <v>2.2738011277540771E-2</v>
      </c>
      <c r="K21" s="25"/>
      <c r="L21" s="73">
        <f>SUM(L5:L20)</f>
        <v>16254149306.32</v>
      </c>
      <c r="M21" s="94"/>
      <c r="N21" s="25">
        <f>((L21-H21)/H21)</f>
        <v>9.1208688872300592E-3</v>
      </c>
      <c r="O21" s="25"/>
      <c r="P21" s="73">
        <f>SUM(P5:P20)</f>
        <v>16656064177.77</v>
      </c>
      <c r="Q21" s="94"/>
      <c r="R21" s="25">
        <f>((P21-L21)/L21)</f>
        <v>2.4726909041848575E-2</v>
      </c>
      <c r="S21" s="25"/>
      <c r="T21" s="73">
        <f>SUM(T5:T20)</f>
        <v>16651193594.34</v>
      </c>
      <c r="U21" s="94"/>
      <c r="V21" s="25">
        <f>((T21-P21)/P21)</f>
        <v>-2.9242102924296033E-4</v>
      </c>
      <c r="W21" s="25"/>
      <c r="X21" s="73">
        <f>SUM(X5:X20)</f>
        <v>16797381909.850002</v>
      </c>
      <c r="Y21" s="94"/>
      <c r="Z21" s="25">
        <f>((X21-T21)/T21)</f>
        <v>8.7794496341507804E-3</v>
      </c>
      <c r="AA21" s="25"/>
      <c r="AB21" s="73">
        <f>SUM(AB5:AB20)</f>
        <v>17133825597.439997</v>
      </c>
      <c r="AC21" s="94"/>
      <c r="AD21" s="25">
        <f>((AB21-X21)/X21)</f>
        <v>2.0029531351710442E-2</v>
      </c>
      <c r="AE21" s="25"/>
      <c r="AF21" s="73">
        <f>SUM(AF5:AF20)</f>
        <v>17103979411.670002</v>
      </c>
      <c r="AG21" s="94"/>
      <c r="AH21" s="25">
        <f>((AF21-AB21)/AB21)</f>
        <v>-1.7419452299347626E-3</v>
      </c>
      <c r="AI21" s="25"/>
      <c r="AJ21" s="26">
        <f t="shared" si="16"/>
        <v>1.2208657438032157E-2</v>
      </c>
      <c r="AK21" s="26"/>
      <c r="AL21" s="27">
        <f t="shared" si="18"/>
        <v>8.6026706835451133E-2</v>
      </c>
      <c r="AM21" s="27"/>
      <c r="AN21" s="28">
        <f t="shared" si="20"/>
        <v>1.0038077493839793E-2</v>
      </c>
      <c r="AO21" s="85"/>
      <c r="AP21" s="32"/>
      <c r="AQ21" s="42">
        <f>SUM(AQ5:AQ20)</f>
        <v>13501614037.429998</v>
      </c>
      <c r="AR21" s="43"/>
      <c r="AS21" s="31" t="e">
        <f>(#REF!/AQ21)-1</f>
        <v>#REF!</v>
      </c>
      <c r="AT21" s="31" t="e">
        <f>(#REF!/AR21)-1</f>
        <v>#REF!</v>
      </c>
    </row>
    <row r="22" spans="1:46" s="119" customFormat="1" ht="6" customHeight="1">
      <c r="A22" s="219"/>
      <c r="B22" s="94"/>
      <c r="C22" s="94"/>
      <c r="D22" s="94"/>
      <c r="E22" s="94"/>
      <c r="F22" s="25"/>
      <c r="G22" s="25"/>
      <c r="H22" s="94"/>
      <c r="I22" s="94"/>
      <c r="J22" s="25"/>
      <c r="K22" s="25"/>
      <c r="L22" s="94"/>
      <c r="M22" s="94"/>
      <c r="N22" s="25"/>
      <c r="O22" s="25"/>
      <c r="P22" s="94"/>
      <c r="Q22" s="94"/>
      <c r="R22" s="25"/>
      <c r="S22" s="25"/>
      <c r="T22" s="94"/>
      <c r="U22" s="94"/>
      <c r="V22" s="25"/>
      <c r="W22" s="25"/>
      <c r="X22" s="94"/>
      <c r="Y22" s="94"/>
      <c r="Z22" s="25"/>
      <c r="AA22" s="25"/>
      <c r="AB22" s="94"/>
      <c r="AC22" s="94"/>
      <c r="AD22" s="25"/>
      <c r="AE22" s="25"/>
      <c r="AF22" s="94"/>
      <c r="AG22" s="94"/>
      <c r="AH22" s="25"/>
      <c r="AI22" s="25"/>
      <c r="AJ22" s="26"/>
      <c r="AK22" s="26"/>
      <c r="AL22" s="27"/>
      <c r="AM22" s="27"/>
      <c r="AN22" s="28"/>
      <c r="AO22" s="85"/>
      <c r="AP22" s="32"/>
      <c r="AQ22" s="42"/>
      <c r="AR22" s="43"/>
      <c r="AS22" s="31"/>
      <c r="AT22" s="31"/>
    </row>
    <row r="23" spans="1:46">
      <c r="A23" s="216" t="s">
        <v>48</v>
      </c>
      <c r="B23" s="94"/>
      <c r="C23" s="94"/>
      <c r="D23" s="94"/>
      <c r="E23" s="94"/>
      <c r="F23" s="25"/>
      <c r="G23" s="25"/>
      <c r="H23" s="94"/>
      <c r="I23" s="94"/>
      <c r="J23" s="25"/>
      <c r="K23" s="25"/>
      <c r="L23" s="94"/>
      <c r="M23" s="94"/>
      <c r="N23" s="25"/>
      <c r="O23" s="25"/>
      <c r="P23" s="94"/>
      <c r="Q23" s="94"/>
      <c r="R23" s="25"/>
      <c r="S23" s="25"/>
      <c r="T23" s="94"/>
      <c r="U23" s="94"/>
      <c r="V23" s="25"/>
      <c r="W23" s="25"/>
      <c r="X23" s="94"/>
      <c r="Y23" s="94"/>
      <c r="Z23" s="25"/>
      <c r="AA23" s="25"/>
      <c r="AB23" s="94"/>
      <c r="AC23" s="94"/>
      <c r="AD23" s="25"/>
      <c r="AE23" s="25"/>
      <c r="AF23" s="94"/>
      <c r="AG23" s="94"/>
      <c r="AH23" s="25"/>
      <c r="AI23" s="25"/>
      <c r="AJ23" s="26"/>
      <c r="AK23" s="26"/>
      <c r="AL23" s="27"/>
      <c r="AM23" s="27"/>
      <c r="AN23" s="28"/>
      <c r="AO23" s="85"/>
      <c r="AP23" s="32"/>
      <c r="AQ23" s="42"/>
      <c r="AR23" s="15"/>
      <c r="AS23" s="31" t="e">
        <f>(#REF!/AQ23)-1</f>
        <v>#REF!</v>
      </c>
      <c r="AT23" s="31" t="e">
        <f>(#REF!/AR23)-1</f>
        <v>#REF!</v>
      </c>
    </row>
    <row r="24" spans="1:46">
      <c r="A24" s="217" t="s">
        <v>38</v>
      </c>
      <c r="B24" s="387">
        <v>241237389053.85001</v>
      </c>
      <c r="C24" s="343">
        <v>100</v>
      </c>
      <c r="D24" s="387">
        <v>243588294739.32001</v>
      </c>
      <c r="E24" s="343">
        <v>100</v>
      </c>
      <c r="F24" s="25">
        <f t="shared" ref="F24:F52" si="22">((D24-B24)/B24)</f>
        <v>9.7451961932203731E-3</v>
      </c>
      <c r="G24" s="25">
        <f t="shared" ref="G24:G52" si="23">((E24-C24)/C24)</f>
        <v>0</v>
      </c>
      <c r="H24" s="387">
        <v>243528421776.76999</v>
      </c>
      <c r="I24" s="343">
        <v>100</v>
      </c>
      <c r="J24" s="25">
        <f t="shared" ref="J24:J52" si="24">((H24-D24)/D24)</f>
        <v>-2.4579572928203443E-4</v>
      </c>
      <c r="K24" s="25">
        <f t="shared" ref="K24:K52" si="25">((I24-E24)/E24)</f>
        <v>0</v>
      </c>
      <c r="L24" s="387">
        <v>255787519198.79001</v>
      </c>
      <c r="M24" s="343">
        <v>100</v>
      </c>
      <c r="N24" s="25">
        <f t="shared" ref="N24:N52" si="26">((L24-H24)/H24)</f>
        <v>5.0339493569491058E-2</v>
      </c>
      <c r="O24" s="25">
        <f t="shared" ref="O24:O52" si="27">((M24-I24)/I24)</f>
        <v>0</v>
      </c>
      <c r="P24" s="387">
        <v>266280194630.57001</v>
      </c>
      <c r="Q24" s="343">
        <v>100</v>
      </c>
      <c r="R24" s="25">
        <f t="shared" ref="R24:R52" si="28">((P24-L24)/L24)</f>
        <v>4.1021061014417291E-2</v>
      </c>
      <c r="S24" s="25">
        <f t="shared" ref="S24:S52" si="29">((Q24-M24)/M24)</f>
        <v>0</v>
      </c>
      <c r="T24" s="387">
        <v>276227531422.64001</v>
      </c>
      <c r="U24" s="343">
        <v>100</v>
      </c>
      <c r="V24" s="25">
        <f t="shared" ref="V24:V52" si="30">((T24-P24)/P24)</f>
        <v>3.7356652851597449E-2</v>
      </c>
      <c r="W24" s="25">
        <f t="shared" ref="W24:W52" si="31">((U24-Q24)/Q24)</f>
        <v>0</v>
      </c>
      <c r="X24" s="387">
        <v>287881440453.35999</v>
      </c>
      <c r="Y24" s="343">
        <v>100</v>
      </c>
      <c r="Z24" s="25">
        <f t="shared" ref="Z24:Z52" si="32">((X24-T24)/T24)</f>
        <v>4.2189527490976229E-2</v>
      </c>
      <c r="AA24" s="25">
        <f t="shared" ref="AA24:AA52" si="33">((Y24-U24)/U24)</f>
        <v>0</v>
      </c>
      <c r="AB24" s="387">
        <v>301352962735.25</v>
      </c>
      <c r="AC24" s="343">
        <v>100</v>
      </c>
      <c r="AD24" s="25">
        <f t="shared" ref="AD24:AD52" si="34">((AB24-X24)/X24)</f>
        <v>4.6795383060036312E-2</v>
      </c>
      <c r="AE24" s="25">
        <f t="shared" ref="AE24:AE52" si="35">((AC24-Y24)/Y24)</f>
        <v>0</v>
      </c>
      <c r="AF24" s="387">
        <v>309565968511.10999</v>
      </c>
      <c r="AG24" s="343">
        <v>100</v>
      </c>
      <c r="AH24" s="25">
        <f t="shared" ref="AH24:AH52" si="36">((AF24-AB24)/AB24)</f>
        <v>2.7253774780623019E-2</v>
      </c>
      <c r="AI24" s="25">
        <f t="shared" ref="AI24:AI52" si="37">((AG24-AC24)/AC24)</f>
        <v>0</v>
      </c>
      <c r="AJ24" s="26">
        <f t="shared" ref="AJ24" si="38">AVERAGE(F24,J24,N24,R24,V24,Z24,AD24,AH24)</f>
        <v>3.180691165388496E-2</v>
      </c>
      <c r="AK24" s="26">
        <f t="shared" ref="AK24" si="39">AVERAGE(G24,K24,O24,S24,W24,AA24,AE24,AI24)</f>
        <v>0</v>
      </c>
      <c r="AL24" s="27">
        <f t="shared" ref="AL24" si="40">((AF24-D24)/D24)</f>
        <v>0.27085732441452931</v>
      </c>
      <c r="AM24" s="27">
        <f t="shared" ref="AM24" si="41">((AG24-E24)/E24)</f>
        <v>0</v>
      </c>
      <c r="AN24" s="28">
        <f t="shared" ref="AN24" si="42">STDEV(F24,J24,N24,R24,V24,Z24,AD24,AH24)</f>
        <v>1.8230414735573016E-2</v>
      </c>
      <c r="AO24" s="85">
        <f t="shared" ref="AO24" si="43">STDEV(G24,K24,O24,S24,W24,AA24,AE24,AI24)</f>
        <v>0</v>
      </c>
      <c r="AP24" s="32"/>
      <c r="AQ24" s="30">
        <v>58847545464.410004</v>
      </c>
      <c r="AR24" s="44">
        <v>100</v>
      </c>
      <c r="AS24" s="31" t="e">
        <f>(#REF!/AQ24)-1</f>
        <v>#REF!</v>
      </c>
      <c r="AT24" s="31" t="e">
        <f>(#REF!/AR24)-1</f>
        <v>#REF!</v>
      </c>
    </row>
    <row r="25" spans="1:46">
      <c r="A25" s="217" t="s">
        <v>18</v>
      </c>
      <c r="B25" s="387">
        <v>145769413741.92001</v>
      </c>
      <c r="C25" s="343">
        <v>100</v>
      </c>
      <c r="D25" s="387">
        <v>148640547362.32999</v>
      </c>
      <c r="E25" s="343">
        <v>100</v>
      </c>
      <c r="F25" s="25">
        <f t="shared" si="22"/>
        <v>1.9696406445684288E-2</v>
      </c>
      <c r="G25" s="25">
        <f t="shared" si="23"/>
        <v>0</v>
      </c>
      <c r="H25" s="387">
        <v>149672269428.73001</v>
      </c>
      <c r="I25" s="343">
        <v>100</v>
      </c>
      <c r="J25" s="25">
        <f t="shared" si="24"/>
        <v>6.9410540038248947E-3</v>
      </c>
      <c r="K25" s="25">
        <f t="shared" si="25"/>
        <v>0</v>
      </c>
      <c r="L25" s="387">
        <v>155114946720.29001</v>
      </c>
      <c r="M25" s="343">
        <v>100</v>
      </c>
      <c r="N25" s="25">
        <f t="shared" si="26"/>
        <v>3.6363965832372558E-2</v>
      </c>
      <c r="O25" s="25">
        <f t="shared" si="27"/>
        <v>0</v>
      </c>
      <c r="P25" s="387">
        <v>155703829997.19</v>
      </c>
      <c r="Q25" s="343">
        <v>100</v>
      </c>
      <c r="R25" s="25">
        <f t="shared" si="28"/>
        <v>3.7964315454518623E-3</v>
      </c>
      <c r="S25" s="25">
        <f t="shared" si="29"/>
        <v>0</v>
      </c>
      <c r="T25" s="387">
        <v>159574142371.60999</v>
      </c>
      <c r="U25" s="343">
        <v>100</v>
      </c>
      <c r="V25" s="25">
        <f t="shared" si="30"/>
        <v>2.4856886143968526E-2</v>
      </c>
      <c r="W25" s="25">
        <f t="shared" si="31"/>
        <v>0</v>
      </c>
      <c r="X25" s="387">
        <v>162294211621.66</v>
      </c>
      <c r="Y25" s="343">
        <v>100</v>
      </c>
      <c r="Z25" s="25">
        <f t="shared" si="32"/>
        <v>1.7045802093146319E-2</v>
      </c>
      <c r="AA25" s="25">
        <f t="shared" si="33"/>
        <v>0</v>
      </c>
      <c r="AB25" s="387">
        <v>166542275515.17999</v>
      </c>
      <c r="AC25" s="343">
        <v>100</v>
      </c>
      <c r="AD25" s="25">
        <f t="shared" si="34"/>
        <v>2.6175079511911791E-2</v>
      </c>
      <c r="AE25" s="25">
        <f t="shared" si="35"/>
        <v>0</v>
      </c>
      <c r="AF25" s="387">
        <v>176094192756.67001</v>
      </c>
      <c r="AG25" s="343">
        <v>100</v>
      </c>
      <c r="AH25" s="25">
        <f t="shared" si="36"/>
        <v>5.7354309660668609E-2</v>
      </c>
      <c r="AI25" s="25">
        <f t="shared" si="37"/>
        <v>0</v>
      </c>
      <c r="AJ25" s="26">
        <f t="shared" ref="AJ25:AJ53" si="44">AVERAGE(F25,J25,N25,R25,V25,Z25,AD25,AH25)</f>
        <v>2.4028741904628607E-2</v>
      </c>
      <c r="AK25" s="26">
        <f t="shared" ref="AK25:AK53" si="45">AVERAGE(G25,K25,O25,S25,W25,AA25,AE25,AI25)</f>
        <v>0</v>
      </c>
      <c r="AL25" s="27">
        <f t="shared" ref="AL25:AL53" si="46">((AF25-D25)/D25)</f>
        <v>0.1846982258980675</v>
      </c>
      <c r="AM25" s="27">
        <f t="shared" ref="AM25:AM53" si="47">((AG25-E25)/E25)</f>
        <v>0</v>
      </c>
      <c r="AN25" s="28">
        <f t="shared" ref="AN25:AN53" si="48">STDEV(F25,J25,N25,R25,V25,Z25,AD25,AH25)</f>
        <v>1.705834459737908E-2</v>
      </c>
      <c r="AO25" s="85">
        <f t="shared" ref="AO25:AO53" si="49">STDEV(G25,K25,O25,S25,W25,AA25,AE25,AI25)</f>
        <v>0</v>
      </c>
      <c r="AP25" s="32"/>
      <c r="AQ25" s="30">
        <v>56630718400</v>
      </c>
      <c r="AR25" s="44">
        <v>100</v>
      </c>
      <c r="AS25" s="31" t="e">
        <f>(#REF!/AQ25)-1</f>
        <v>#REF!</v>
      </c>
      <c r="AT25" s="31" t="e">
        <f>(#REF!/AR25)-1</f>
        <v>#REF!</v>
      </c>
    </row>
    <row r="26" spans="1:46">
      <c r="A26" s="217" t="s">
        <v>82</v>
      </c>
      <c r="B26" s="387">
        <v>27577035754.290001</v>
      </c>
      <c r="C26" s="343">
        <v>1</v>
      </c>
      <c r="D26" s="387">
        <v>28712741824.240002</v>
      </c>
      <c r="E26" s="343">
        <v>1</v>
      </c>
      <c r="F26" s="25">
        <f t="shared" si="22"/>
        <v>4.1183036497072584E-2</v>
      </c>
      <c r="G26" s="25">
        <f t="shared" si="23"/>
        <v>0</v>
      </c>
      <c r="H26" s="387">
        <v>43168717627.940002</v>
      </c>
      <c r="I26" s="343">
        <v>1</v>
      </c>
      <c r="J26" s="25">
        <f t="shared" si="24"/>
        <v>0.50346901358949669</v>
      </c>
      <c r="K26" s="25">
        <f t="shared" si="25"/>
        <v>0</v>
      </c>
      <c r="L26" s="387">
        <v>45131055901.550003</v>
      </c>
      <c r="M26" s="343">
        <v>1</v>
      </c>
      <c r="N26" s="25">
        <f t="shared" si="26"/>
        <v>4.5457414105345588E-2</v>
      </c>
      <c r="O26" s="25">
        <f t="shared" si="27"/>
        <v>0</v>
      </c>
      <c r="P26" s="387">
        <v>45703113795.110001</v>
      </c>
      <c r="Q26" s="343">
        <v>1</v>
      </c>
      <c r="R26" s="25">
        <f t="shared" si="28"/>
        <v>1.2675482151534384E-2</v>
      </c>
      <c r="S26" s="25">
        <f t="shared" si="29"/>
        <v>0</v>
      </c>
      <c r="T26" s="387">
        <v>46517531611.489998</v>
      </c>
      <c r="U26" s="343">
        <v>1</v>
      </c>
      <c r="V26" s="25">
        <f t="shared" si="30"/>
        <v>1.7819744624646031E-2</v>
      </c>
      <c r="W26" s="25">
        <f t="shared" si="31"/>
        <v>0</v>
      </c>
      <c r="X26" s="387">
        <v>49246696123.610001</v>
      </c>
      <c r="Y26" s="343">
        <v>1</v>
      </c>
      <c r="Z26" s="25">
        <f t="shared" si="32"/>
        <v>5.8669590100216953E-2</v>
      </c>
      <c r="AA26" s="25">
        <f t="shared" si="33"/>
        <v>0</v>
      </c>
      <c r="AB26" s="387">
        <v>47873964795.900002</v>
      </c>
      <c r="AC26" s="343">
        <v>1</v>
      </c>
      <c r="AD26" s="25">
        <f t="shared" si="34"/>
        <v>-2.7874587246714405E-2</v>
      </c>
      <c r="AE26" s="25">
        <f t="shared" si="35"/>
        <v>0</v>
      </c>
      <c r="AF26" s="387">
        <v>48650799152.230003</v>
      </c>
      <c r="AG26" s="343">
        <v>1</v>
      </c>
      <c r="AH26" s="25">
        <f t="shared" si="36"/>
        <v>1.6226655963045098E-2</v>
      </c>
      <c r="AI26" s="25">
        <f t="shared" si="37"/>
        <v>0</v>
      </c>
      <c r="AJ26" s="26">
        <f t="shared" si="44"/>
        <v>8.3453293723080357E-2</v>
      </c>
      <c r="AK26" s="26">
        <f t="shared" si="45"/>
        <v>0</v>
      </c>
      <c r="AL26" s="27">
        <f t="shared" si="46"/>
        <v>0.69439754134374598</v>
      </c>
      <c r="AM26" s="27">
        <f t="shared" si="47"/>
        <v>0</v>
      </c>
      <c r="AN26" s="28">
        <f t="shared" si="48"/>
        <v>0.17175084848944319</v>
      </c>
      <c r="AO26" s="85">
        <f t="shared" si="49"/>
        <v>0</v>
      </c>
      <c r="AP26" s="32"/>
      <c r="AQ26" s="30">
        <v>366113097.69999999</v>
      </c>
      <c r="AR26" s="34">
        <v>1.1357999999999999</v>
      </c>
      <c r="AS26" s="31" t="e">
        <f>(#REF!/AQ26)-1</f>
        <v>#REF!</v>
      </c>
      <c r="AT26" s="31" t="e">
        <f>(#REF!/AR26)-1</f>
        <v>#REF!</v>
      </c>
    </row>
    <row r="27" spans="1:46">
      <c r="A27" s="217" t="s">
        <v>41</v>
      </c>
      <c r="B27" s="387">
        <v>1231561818.3299999</v>
      </c>
      <c r="C27" s="343">
        <v>100</v>
      </c>
      <c r="D27" s="387">
        <v>1237371372.5699999</v>
      </c>
      <c r="E27" s="343">
        <v>100</v>
      </c>
      <c r="F27" s="25">
        <f t="shared" si="22"/>
        <v>4.7172250337200088E-3</v>
      </c>
      <c r="G27" s="25">
        <f t="shared" si="23"/>
        <v>0</v>
      </c>
      <c r="H27" s="387">
        <v>1309980159.0599999</v>
      </c>
      <c r="I27" s="343">
        <v>100</v>
      </c>
      <c r="J27" s="25">
        <f t="shared" si="24"/>
        <v>5.8679866125553523E-2</v>
      </c>
      <c r="K27" s="25">
        <f t="shared" si="25"/>
        <v>0</v>
      </c>
      <c r="L27" s="387">
        <v>1363261126.8299999</v>
      </c>
      <c r="M27" s="343">
        <v>100</v>
      </c>
      <c r="N27" s="25">
        <f t="shared" si="26"/>
        <v>4.0673110505912324E-2</v>
      </c>
      <c r="O27" s="25">
        <f t="shared" si="27"/>
        <v>0</v>
      </c>
      <c r="P27" s="387">
        <v>1408601932.29</v>
      </c>
      <c r="Q27" s="343">
        <v>100</v>
      </c>
      <c r="R27" s="25">
        <f t="shared" si="28"/>
        <v>3.3259076025611699E-2</v>
      </c>
      <c r="S27" s="25">
        <f t="shared" si="29"/>
        <v>0</v>
      </c>
      <c r="T27" s="387">
        <v>1457381461.8699999</v>
      </c>
      <c r="U27" s="343">
        <v>100</v>
      </c>
      <c r="V27" s="25">
        <f t="shared" si="30"/>
        <v>3.4629747739091769E-2</v>
      </c>
      <c r="W27" s="25">
        <f t="shared" si="31"/>
        <v>0</v>
      </c>
      <c r="X27" s="387">
        <v>1661270454.1700001</v>
      </c>
      <c r="Y27" s="343">
        <v>100</v>
      </c>
      <c r="Z27" s="25">
        <f t="shared" si="32"/>
        <v>0.13990090970306807</v>
      </c>
      <c r="AA27" s="25">
        <f t="shared" si="33"/>
        <v>0</v>
      </c>
      <c r="AB27" s="387">
        <v>1700711484.52</v>
      </c>
      <c r="AC27" s="343">
        <v>100</v>
      </c>
      <c r="AD27" s="25">
        <f t="shared" si="34"/>
        <v>2.3741486674248555E-2</v>
      </c>
      <c r="AE27" s="25">
        <f t="shared" si="35"/>
        <v>0</v>
      </c>
      <c r="AF27" s="387">
        <v>1750621270.98</v>
      </c>
      <c r="AG27" s="343">
        <v>100</v>
      </c>
      <c r="AH27" s="25">
        <f t="shared" si="36"/>
        <v>2.9346415846710366E-2</v>
      </c>
      <c r="AI27" s="25">
        <f t="shared" si="37"/>
        <v>0</v>
      </c>
      <c r="AJ27" s="26">
        <f t="shared" si="44"/>
        <v>4.5618479706739545E-2</v>
      </c>
      <c r="AK27" s="26">
        <f t="shared" si="45"/>
        <v>0</v>
      </c>
      <c r="AL27" s="27">
        <f t="shared" si="46"/>
        <v>0.41479050654290517</v>
      </c>
      <c r="AM27" s="27">
        <f t="shared" si="47"/>
        <v>0</v>
      </c>
      <c r="AN27" s="28">
        <f t="shared" si="48"/>
        <v>4.1012255498591541E-2</v>
      </c>
      <c r="AO27" s="85">
        <f t="shared" si="49"/>
        <v>0</v>
      </c>
      <c r="AP27" s="32"/>
      <c r="AQ27" s="30">
        <v>691810420.35000002</v>
      </c>
      <c r="AR27" s="44">
        <v>100</v>
      </c>
      <c r="AS27" s="31" t="e">
        <f>(#REF!/AQ27)-1</f>
        <v>#REF!</v>
      </c>
      <c r="AT27" s="31" t="e">
        <f>(#REF!/AR27)-1</f>
        <v>#REF!</v>
      </c>
    </row>
    <row r="28" spans="1:46">
      <c r="A28" s="217" t="s">
        <v>19</v>
      </c>
      <c r="B28" s="387">
        <v>66504631789.529999</v>
      </c>
      <c r="C28" s="343">
        <v>1</v>
      </c>
      <c r="D28" s="387">
        <v>67462316609.160004</v>
      </c>
      <c r="E28" s="343">
        <v>1</v>
      </c>
      <c r="F28" s="25">
        <f t="shared" si="22"/>
        <v>1.4400272490205347E-2</v>
      </c>
      <c r="G28" s="25">
        <f t="shared" si="23"/>
        <v>0</v>
      </c>
      <c r="H28" s="387">
        <v>68025901214.75</v>
      </c>
      <c r="I28" s="343">
        <v>1</v>
      </c>
      <c r="J28" s="25">
        <f t="shared" si="24"/>
        <v>8.3540654089170885E-3</v>
      </c>
      <c r="K28" s="25">
        <f t="shared" si="25"/>
        <v>0</v>
      </c>
      <c r="L28" s="387">
        <v>71006117751.020004</v>
      </c>
      <c r="M28" s="343">
        <v>1</v>
      </c>
      <c r="N28" s="25">
        <f t="shared" si="26"/>
        <v>4.3810026520072126E-2</v>
      </c>
      <c r="O28" s="25">
        <f t="shared" si="27"/>
        <v>0</v>
      </c>
      <c r="P28" s="387">
        <v>72039178113.5</v>
      </c>
      <c r="Q28" s="343">
        <v>1</v>
      </c>
      <c r="R28" s="25">
        <f t="shared" si="28"/>
        <v>1.4548892337733191E-2</v>
      </c>
      <c r="S28" s="25">
        <f t="shared" si="29"/>
        <v>0</v>
      </c>
      <c r="T28" s="387">
        <v>72446472180.080002</v>
      </c>
      <c r="U28" s="343">
        <v>1</v>
      </c>
      <c r="V28" s="25">
        <f t="shared" si="30"/>
        <v>5.6537855823160163E-3</v>
      </c>
      <c r="W28" s="25">
        <f t="shared" si="31"/>
        <v>0</v>
      </c>
      <c r="X28" s="387">
        <v>73032387522.529999</v>
      </c>
      <c r="Y28" s="343">
        <v>1</v>
      </c>
      <c r="Z28" s="25">
        <f t="shared" si="32"/>
        <v>8.0875620967931841E-3</v>
      </c>
      <c r="AA28" s="25">
        <f t="shared" si="33"/>
        <v>0</v>
      </c>
      <c r="AB28" s="387">
        <v>73607417069.979996</v>
      </c>
      <c r="AC28" s="343">
        <v>1</v>
      </c>
      <c r="AD28" s="25">
        <f t="shared" si="34"/>
        <v>7.8736238394589552E-3</v>
      </c>
      <c r="AE28" s="25">
        <f t="shared" si="35"/>
        <v>0</v>
      </c>
      <c r="AF28" s="387">
        <v>73481044105.070007</v>
      </c>
      <c r="AG28" s="343">
        <v>1</v>
      </c>
      <c r="AH28" s="25">
        <f t="shared" si="36"/>
        <v>-1.7168509634001039E-3</v>
      </c>
      <c r="AI28" s="25">
        <f t="shared" si="37"/>
        <v>0</v>
      </c>
      <c r="AJ28" s="26">
        <f t="shared" si="44"/>
        <v>1.2626422164011974E-2</v>
      </c>
      <c r="AK28" s="26">
        <f t="shared" si="45"/>
        <v>0</v>
      </c>
      <c r="AL28" s="27">
        <f t="shared" si="46"/>
        <v>8.9216140186516857E-2</v>
      </c>
      <c r="AM28" s="27">
        <f t="shared" si="47"/>
        <v>0</v>
      </c>
      <c r="AN28" s="28">
        <f t="shared" si="48"/>
        <v>1.3601733802078825E-2</v>
      </c>
      <c r="AO28" s="85">
        <f t="shared" si="49"/>
        <v>0</v>
      </c>
      <c r="AP28" s="32"/>
      <c r="AQ28" s="30">
        <v>13880602273.7041</v>
      </c>
      <c r="AR28" s="37">
        <v>1</v>
      </c>
      <c r="AS28" s="31" t="e">
        <f>(#REF!/AQ28)-1</f>
        <v>#REF!</v>
      </c>
      <c r="AT28" s="31" t="e">
        <f>(#REF!/AR28)-1</f>
        <v>#REF!</v>
      </c>
    </row>
    <row r="29" spans="1:46">
      <c r="A29" s="217" t="s">
        <v>60</v>
      </c>
      <c r="B29" s="378">
        <v>1949066080.52</v>
      </c>
      <c r="C29" s="343">
        <v>10</v>
      </c>
      <c r="D29" s="378">
        <v>1971448177.95</v>
      </c>
      <c r="E29" s="343">
        <v>10</v>
      </c>
      <c r="F29" s="25">
        <f t="shared" si="22"/>
        <v>1.1483498509208394E-2</v>
      </c>
      <c r="G29" s="25">
        <f t="shared" si="23"/>
        <v>0</v>
      </c>
      <c r="H29" s="378">
        <v>2014960727.9400001</v>
      </c>
      <c r="I29" s="343">
        <v>10</v>
      </c>
      <c r="J29" s="25">
        <f t="shared" si="24"/>
        <v>2.2071363821110582E-2</v>
      </c>
      <c r="K29" s="25">
        <f t="shared" si="25"/>
        <v>0</v>
      </c>
      <c r="L29" s="378">
        <v>2003373016.8599999</v>
      </c>
      <c r="M29" s="343">
        <v>10</v>
      </c>
      <c r="N29" s="25">
        <f t="shared" si="26"/>
        <v>-5.7508371847261198E-3</v>
      </c>
      <c r="O29" s="25">
        <f t="shared" si="27"/>
        <v>0</v>
      </c>
      <c r="P29" s="378">
        <v>2014364941.29</v>
      </c>
      <c r="Q29" s="343">
        <v>10</v>
      </c>
      <c r="R29" s="25">
        <f t="shared" si="28"/>
        <v>5.4867088342980342E-3</v>
      </c>
      <c r="S29" s="25">
        <f t="shared" si="29"/>
        <v>0</v>
      </c>
      <c r="T29" s="378">
        <v>2008920806.8699999</v>
      </c>
      <c r="U29" s="343">
        <v>10</v>
      </c>
      <c r="V29" s="25">
        <f t="shared" si="30"/>
        <v>-2.7026554664487216E-3</v>
      </c>
      <c r="W29" s="25">
        <f t="shared" si="31"/>
        <v>0</v>
      </c>
      <c r="X29" s="378">
        <v>2033810240.0799999</v>
      </c>
      <c r="Y29" s="343">
        <v>10</v>
      </c>
      <c r="Z29" s="25">
        <f t="shared" si="32"/>
        <v>1.2389454638970579E-2</v>
      </c>
      <c r="AA29" s="25">
        <f t="shared" si="33"/>
        <v>0</v>
      </c>
      <c r="AB29" s="378">
        <v>2065747472.3299999</v>
      </c>
      <c r="AC29" s="343">
        <v>10</v>
      </c>
      <c r="AD29" s="25">
        <f t="shared" si="34"/>
        <v>1.5703152447862467E-2</v>
      </c>
      <c r="AE29" s="25">
        <f t="shared" si="35"/>
        <v>0</v>
      </c>
      <c r="AF29" s="378">
        <v>2210926077.0599999</v>
      </c>
      <c r="AG29" s="343">
        <v>10</v>
      </c>
      <c r="AH29" s="25">
        <f t="shared" si="36"/>
        <v>7.0278970045767511E-2</v>
      </c>
      <c r="AI29" s="25">
        <f t="shared" si="37"/>
        <v>0</v>
      </c>
      <c r="AJ29" s="26">
        <f t="shared" si="44"/>
        <v>1.6119956955755341E-2</v>
      </c>
      <c r="AK29" s="26">
        <f t="shared" si="45"/>
        <v>0</v>
      </c>
      <c r="AL29" s="27">
        <f t="shared" si="46"/>
        <v>0.12147308855920308</v>
      </c>
      <c r="AM29" s="27">
        <f t="shared" si="47"/>
        <v>0</v>
      </c>
      <c r="AN29" s="28">
        <f t="shared" si="48"/>
        <v>2.3754378253177739E-2</v>
      </c>
      <c r="AO29" s="85">
        <f t="shared" si="49"/>
        <v>0</v>
      </c>
      <c r="AP29" s="32"/>
      <c r="AQ29" s="40">
        <v>246915130.99000001</v>
      </c>
      <c r="AR29" s="37">
        <v>10</v>
      </c>
      <c r="AS29" s="31" t="e">
        <f>(#REF!/AQ29)-1</f>
        <v>#REF!</v>
      </c>
      <c r="AT29" s="31" t="e">
        <f>(#REF!/AR29)-1</f>
        <v>#REF!</v>
      </c>
    </row>
    <row r="30" spans="1:46">
      <c r="A30" s="217" t="s">
        <v>88</v>
      </c>
      <c r="B30" s="387">
        <v>31452566788.549999</v>
      </c>
      <c r="C30" s="343">
        <v>1</v>
      </c>
      <c r="D30" s="387">
        <v>31470627917.279999</v>
      </c>
      <c r="E30" s="343">
        <v>1</v>
      </c>
      <c r="F30" s="25">
        <f t="shared" si="22"/>
        <v>5.7423385669669801E-4</v>
      </c>
      <c r="G30" s="25">
        <f t="shared" si="23"/>
        <v>0</v>
      </c>
      <c r="H30" s="387">
        <v>32547685734.009998</v>
      </c>
      <c r="I30" s="343">
        <v>1</v>
      </c>
      <c r="J30" s="25">
        <f t="shared" si="24"/>
        <v>3.4224223919555319E-2</v>
      </c>
      <c r="K30" s="25">
        <f t="shared" si="25"/>
        <v>0</v>
      </c>
      <c r="L30" s="387">
        <v>33227561487.029999</v>
      </c>
      <c r="M30" s="343">
        <v>1</v>
      </c>
      <c r="N30" s="25">
        <f t="shared" si="26"/>
        <v>2.0888605063234311E-2</v>
      </c>
      <c r="O30" s="25">
        <f t="shared" si="27"/>
        <v>0</v>
      </c>
      <c r="P30" s="387">
        <v>33459480780.200001</v>
      </c>
      <c r="Q30" s="343">
        <v>1</v>
      </c>
      <c r="R30" s="25">
        <f t="shared" si="28"/>
        <v>6.9797265520230561E-3</v>
      </c>
      <c r="S30" s="25">
        <f t="shared" si="29"/>
        <v>0</v>
      </c>
      <c r="T30" s="387">
        <v>34038129911.73</v>
      </c>
      <c r="U30" s="343">
        <v>1</v>
      </c>
      <c r="V30" s="25">
        <f t="shared" si="30"/>
        <v>1.7294026029011797E-2</v>
      </c>
      <c r="W30" s="25">
        <f t="shared" si="31"/>
        <v>0</v>
      </c>
      <c r="X30" s="387">
        <v>34524115454.029999</v>
      </c>
      <c r="Y30" s="343">
        <v>1</v>
      </c>
      <c r="Z30" s="25">
        <f t="shared" si="32"/>
        <v>1.4277680458952655E-2</v>
      </c>
      <c r="AA30" s="25">
        <f t="shared" si="33"/>
        <v>0</v>
      </c>
      <c r="AB30" s="387">
        <v>34986586178.199997</v>
      </c>
      <c r="AC30" s="343">
        <v>1</v>
      </c>
      <c r="AD30" s="25">
        <f t="shared" si="34"/>
        <v>1.339558503057937E-2</v>
      </c>
      <c r="AE30" s="25">
        <f t="shared" si="35"/>
        <v>0</v>
      </c>
      <c r="AF30" s="387">
        <v>35530039124.43</v>
      </c>
      <c r="AG30" s="343">
        <v>1</v>
      </c>
      <c r="AH30" s="25">
        <f t="shared" si="36"/>
        <v>1.5533180158303834E-2</v>
      </c>
      <c r="AI30" s="25">
        <f t="shared" si="37"/>
        <v>0</v>
      </c>
      <c r="AJ30" s="26">
        <f t="shared" si="44"/>
        <v>1.539590763354463E-2</v>
      </c>
      <c r="AK30" s="26">
        <f t="shared" si="45"/>
        <v>0</v>
      </c>
      <c r="AL30" s="27">
        <f t="shared" si="46"/>
        <v>0.12899047384183415</v>
      </c>
      <c r="AM30" s="27">
        <f t="shared" si="47"/>
        <v>0</v>
      </c>
      <c r="AN30" s="28">
        <f t="shared" si="48"/>
        <v>9.8855071152790745E-3</v>
      </c>
      <c r="AO30" s="85">
        <f t="shared" si="49"/>
        <v>0</v>
      </c>
      <c r="AP30" s="32"/>
      <c r="AQ30" s="40"/>
      <c r="AR30" s="37"/>
      <c r="AS30" s="31"/>
      <c r="AT30" s="31"/>
    </row>
    <row r="31" spans="1:46">
      <c r="A31" s="217" t="s">
        <v>92</v>
      </c>
      <c r="B31" s="387">
        <v>2071400012.5339437</v>
      </c>
      <c r="C31" s="343">
        <v>100</v>
      </c>
      <c r="D31" s="387">
        <v>2092745416.2638049</v>
      </c>
      <c r="E31" s="343">
        <v>100</v>
      </c>
      <c r="F31" s="25">
        <f t="shared" si="22"/>
        <v>1.0304819735783156E-2</v>
      </c>
      <c r="G31" s="25">
        <f t="shared" si="23"/>
        <v>0</v>
      </c>
      <c r="H31" s="387">
        <v>2103150629.28</v>
      </c>
      <c r="I31" s="343">
        <v>100</v>
      </c>
      <c r="J31" s="25">
        <f t="shared" si="24"/>
        <v>4.9720395683730935E-3</v>
      </c>
      <c r="K31" s="25">
        <f t="shared" si="25"/>
        <v>0</v>
      </c>
      <c r="L31" s="387">
        <v>1937570865.25</v>
      </c>
      <c r="M31" s="343">
        <v>100</v>
      </c>
      <c r="N31" s="25">
        <f t="shared" si="26"/>
        <v>-7.8729389005620168E-2</v>
      </c>
      <c r="O31" s="25">
        <f t="shared" si="27"/>
        <v>0</v>
      </c>
      <c r="P31" s="387">
        <v>2154679707.9000001</v>
      </c>
      <c r="Q31" s="343">
        <v>100</v>
      </c>
      <c r="R31" s="25">
        <f t="shared" si="28"/>
        <v>0.11205207847816553</v>
      </c>
      <c r="S31" s="25">
        <f t="shared" si="29"/>
        <v>0</v>
      </c>
      <c r="T31" s="387">
        <v>2124116377.73</v>
      </c>
      <c r="U31" s="343">
        <v>100</v>
      </c>
      <c r="V31" s="25">
        <f t="shared" si="30"/>
        <v>-1.418462802519628E-2</v>
      </c>
      <c r="W31" s="25">
        <f t="shared" si="31"/>
        <v>0</v>
      </c>
      <c r="X31" s="387">
        <v>2132435455.0699999</v>
      </c>
      <c r="Y31" s="343">
        <v>100</v>
      </c>
      <c r="Z31" s="25">
        <f t="shared" si="32"/>
        <v>3.9164884877401791E-3</v>
      </c>
      <c r="AA31" s="25">
        <f t="shared" si="33"/>
        <v>0</v>
      </c>
      <c r="AB31" s="387">
        <v>1926409642.1700001</v>
      </c>
      <c r="AC31" s="343">
        <v>100</v>
      </c>
      <c r="AD31" s="25">
        <f t="shared" si="34"/>
        <v>-9.6615263270998647E-2</v>
      </c>
      <c r="AE31" s="25">
        <f t="shared" si="35"/>
        <v>0</v>
      </c>
      <c r="AF31" s="387">
        <v>1970958099.5981114</v>
      </c>
      <c r="AG31" s="343">
        <v>100</v>
      </c>
      <c r="AH31" s="25">
        <f t="shared" si="36"/>
        <v>2.3125121704607853E-2</v>
      </c>
      <c r="AI31" s="25">
        <f t="shared" si="37"/>
        <v>0</v>
      </c>
      <c r="AJ31" s="26">
        <f t="shared" si="44"/>
        <v>-4.3948415408931601E-3</v>
      </c>
      <c r="AK31" s="26">
        <f t="shared" si="45"/>
        <v>0</v>
      </c>
      <c r="AL31" s="27">
        <f t="shared" si="46"/>
        <v>-5.8194998645903807E-2</v>
      </c>
      <c r="AM31" s="27">
        <f t="shared" si="47"/>
        <v>0</v>
      </c>
      <c r="AN31" s="28">
        <f t="shared" si="48"/>
        <v>6.4160737125530845E-2</v>
      </c>
      <c r="AO31" s="85">
        <f t="shared" si="49"/>
        <v>0</v>
      </c>
      <c r="AP31" s="32"/>
      <c r="AQ31" s="40"/>
      <c r="AR31" s="37"/>
      <c r="AS31" s="31"/>
      <c r="AT31" s="31"/>
    </row>
    <row r="32" spans="1:46">
      <c r="A32" s="217" t="s">
        <v>95</v>
      </c>
      <c r="B32" s="387">
        <v>4524415952.7799997</v>
      </c>
      <c r="C32" s="343">
        <v>100</v>
      </c>
      <c r="D32" s="387">
        <v>4657449123.3800001</v>
      </c>
      <c r="E32" s="343">
        <v>100</v>
      </c>
      <c r="F32" s="25">
        <f t="shared" si="22"/>
        <v>2.940339084390748E-2</v>
      </c>
      <c r="G32" s="25">
        <f t="shared" si="23"/>
        <v>0</v>
      </c>
      <c r="H32" s="387">
        <v>4600608733.8800001</v>
      </c>
      <c r="I32" s="343">
        <v>100</v>
      </c>
      <c r="J32" s="25">
        <f t="shared" si="24"/>
        <v>-1.2204189030142285E-2</v>
      </c>
      <c r="K32" s="25">
        <f t="shared" si="25"/>
        <v>0</v>
      </c>
      <c r="L32" s="387">
        <v>4547474873.7700005</v>
      </c>
      <c r="M32" s="343">
        <v>100</v>
      </c>
      <c r="N32" s="25">
        <f t="shared" si="26"/>
        <v>-1.1549310794180128E-2</v>
      </c>
      <c r="O32" s="25">
        <f t="shared" si="27"/>
        <v>0</v>
      </c>
      <c r="P32" s="387">
        <v>4578530432.9399996</v>
      </c>
      <c r="Q32" s="343">
        <v>100</v>
      </c>
      <c r="R32" s="25">
        <f t="shared" si="28"/>
        <v>6.8291876331475106E-3</v>
      </c>
      <c r="S32" s="25">
        <f t="shared" si="29"/>
        <v>0</v>
      </c>
      <c r="T32" s="387">
        <v>4948133116.0500002</v>
      </c>
      <c r="U32" s="343">
        <v>100</v>
      </c>
      <c r="V32" s="25">
        <f t="shared" si="30"/>
        <v>8.0725177766847039E-2</v>
      </c>
      <c r="W32" s="25">
        <f t="shared" si="31"/>
        <v>0</v>
      </c>
      <c r="X32" s="387">
        <v>5097600129.79</v>
      </c>
      <c r="Y32" s="343">
        <v>100</v>
      </c>
      <c r="Z32" s="25">
        <f t="shared" si="32"/>
        <v>3.0206748734220881E-2</v>
      </c>
      <c r="AA32" s="25">
        <f t="shared" si="33"/>
        <v>0</v>
      </c>
      <c r="AB32" s="387">
        <v>5276874127.3199997</v>
      </c>
      <c r="AC32" s="343">
        <v>100</v>
      </c>
      <c r="AD32" s="25">
        <f t="shared" si="34"/>
        <v>3.5168313120979358E-2</v>
      </c>
      <c r="AE32" s="25">
        <f t="shared" si="35"/>
        <v>0</v>
      </c>
      <c r="AF32" s="387">
        <v>5325109037.1199999</v>
      </c>
      <c r="AG32" s="343">
        <v>100</v>
      </c>
      <c r="AH32" s="25">
        <f t="shared" si="36"/>
        <v>9.1408111386006418E-3</v>
      </c>
      <c r="AI32" s="25">
        <f t="shared" si="37"/>
        <v>0</v>
      </c>
      <c r="AJ32" s="26">
        <f t="shared" si="44"/>
        <v>2.0965016176672562E-2</v>
      </c>
      <c r="AK32" s="26">
        <f t="shared" si="45"/>
        <v>0</v>
      </c>
      <c r="AL32" s="27">
        <f t="shared" si="46"/>
        <v>0.14335313087767371</v>
      </c>
      <c r="AM32" s="27">
        <f t="shared" si="47"/>
        <v>0</v>
      </c>
      <c r="AN32" s="28">
        <f t="shared" si="48"/>
        <v>3.0300017564529127E-2</v>
      </c>
      <c r="AO32" s="85">
        <f t="shared" si="49"/>
        <v>0</v>
      </c>
      <c r="AP32" s="32"/>
      <c r="AQ32" s="40"/>
      <c r="AR32" s="37"/>
      <c r="AS32" s="31"/>
      <c r="AT32" s="31"/>
    </row>
    <row r="33" spans="1:47">
      <c r="A33" s="217" t="s">
        <v>101</v>
      </c>
      <c r="B33" s="378">
        <v>613402936.33000004</v>
      </c>
      <c r="C33" s="343">
        <v>10</v>
      </c>
      <c r="D33" s="378">
        <v>613402936.33000004</v>
      </c>
      <c r="E33" s="343">
        <v>10</v>
      </c>
      <c r="F33" s="25">
        <f t="shared" si="22"/>
        <v>0</v>
      </c>
      <c r="G33" s="25">
        <f t="shared" si="23"/>
        <v>0</v>
      </c>
      <c r="H33" s="378">
        <v>645320495.34000003</v>
      </c>
      <c r="I33" s="343">
        <v>10</v>
      </c>
      <c r="J33" s="25">
        <f t="shared" si="24"/>
        <v>5.2033593449948699E-2</v>
      </c>
      <c r="K33" s="25">
        <f t="shared" si="25"/>
        <v>0</v>
      </c>
      <c r="L33" s="378">
        <v>647957930.17999995</v>
      </c>
      <c r="M33" s="343">
        <v>10</v>
      </c>
      <c r="N33" s="25">
        <f t="shared" si="26"/>
        <v>4.0870154582806619E-3</v>
      </c>
      <c r="O33" s="25">
        <f t="shared" si="27"/>
        <v>0</v>
      </c>
      <c r="P33" s="378">
        <v>647868996.38</v>
      </c>
      <c r="Q33" s="343">
        <v>10</v>
      </c>
      <c r="R33" s="25">
        <f t="shared" si="28"/>
        <v>-1.372524292977584E-4</v>
      </c>
      <c r="S33" s="25">
        <f t="shared" si="29"/>
        <v>0</v>
      </c>
      <c r="T33" s="378">
        <v>628441670.25</v>
      </c>
      <c r="U33" s="343">
        <v>10</v>
      </c>
      <c r="V33" s="25">
        <f t="shared" si="30"/>
        <v>-2.9986503812578065E-2</v>
      </c>
      <c r="W33" s="25">
        <f t="shared" si="31"/>
        <v>0</v>
      </c>
      <c r="X33" s="378">
        <v>662781568.05999994</v>
      </c>
      <c r="Y33" s="343">
        <v>10</v>
      </c>
      <c r="Z33" s="25">
        <f t="shared" si="32"/>
        <v>5.4642935749851226E-2</v>
      </c>
      <c r="AA33" s="25">
        <f t="shared" si="33"/>
        <v>0</v>
      </c>
      <c r="AB33" s="378">
        <v>675469573</v>
      </c>
      <c r="AC33" s="343">
        <v>10</v>
      </c>
      <c r="AD33" s="25">
        <f t="shared" si="34"/>
        <v>1.9143569392158239E-2</v>
      </c>
      <c r="AE33" s="25">
        <f t="shared" si="35"/>
        <v>0</v>
      </c>
      <c r="AF33" s="378">
        <v>677879695.49000001</v>
      </c>
      <c r="AG33" s="343">
        <v>10</v>
      </c>
      <c r="AH33" s="25">
        <f t="shared" si="36"/>
        <v>3.5680696604819674E-3</v>
      </c>
      <c r="AI33" s="25">
        <f t="shared" si="37"/>
        <v>0</v>
      </c>
      <c r="AJ33" s="26">
        <f t="shared" si="44"/>
        <v>1.291892843360562E-2</v>
      </c>
      <c r="AK33" s="26">
        <f t="shared" si="45"/>
        <v>0</v>
      </c>
      <c r="AL33" s="27">
        <f t="shared" si="46"/>
        <v>0.10511322222512577</v>
      </c>
      <c r="AM33" s="27">
        <f t="shared" si="47"/>
        <v>0</v>
      </c>
      <c r="AN33" s="28">
        <f t="shared" si="48"/>
        <v>2.8418494718248147E-2</v>
      </c>
      <c r="AO33" s="85">
        <f t="shared" si="49"/>
        <v>0</v>
      </c>
      <c r="AP33" s="32"/>
      <c r="AQ33" s="40"/>
      <c r="AR33" s="37"/>
      <c r="AS33" s="31"/>
      <c r="AT33" s="31"/>
    </row>
    <row r="34" spans="1:47">
      <c r="A34" s="217" t="s">
        <v>103</v>
      </c>
      <c r="B34" s="387">
        <v>4073148387.6599998</v>
      </c>
      <c r="C34" s="343">
        <v>100</v>
      </c>
      <c r="D34" s="387">
        <v>4076092021.0500002</v>
      </c>
      <c r="E34" s="343">
        <v>100</v>
      </c>
      <c r="F34" s="25">
        <f t="shared" si="22"/>
        <v>7.2269240151386766E-4</v>
      </c>
      <c r="G34" s="25">
        <f t="shared" si="23"/>
        <v>0</v>
      </c>
      <c r="H34" s="387">
        <v>4140718788.75</v>
      </c>
      <c r="I34" s="343">
        <v>100</v>
      </c>
      <c r="J34" s="25">
        <f t="shared" si="24"/>
        <v>1.5855080642500307E-2</v>
      </c>
      <c r="K34" s="25">
        <f t="shared" si="25"/>
        <v>0</v>
      </c>
      <c r="L34" s="387">
        <v>4231136818.3000002</v>
      </c>
      <c r="M34" s="343">
        <v>100</v>
      </c>
      <c r="N34" s="25">
        <f t="shared" si="26"/>
        <v>2.1836312525172853E-2</v>
      </c>
      <c r="O34" s="25">
        <f t="shared" si="27"/>
        <v>0</v>
      </c>
      <c r="P34" s="387">
        <v>4300605234.7200003</v>
      </c>
      <c r="Q34" s="343">
        <v>100</v>
      </c>
      <c r="R34" s="25">
        <f t="shared" si="28"/>
        <v>1.6418381017494803E-2</v>
      </c>
      <c r="S34" s="25">
        <f t="shared" si="29"/>
        <v>0</v>
      </c>
      <c r="T34" s="387">
        <v>4358837215.7799997</v>
      </c>
      <c r="U34" s="343">
        <v>100</v>
      </c>
      <c r="V34" s="25">
        <f t="shared" si="30"/>
        <v>1.354041533267835E-2</v>
      </c>
      <c r="W34" s="25">
        <f t="shared" si="31"/>
        <v>0</v>
      </c>
      <c r="X34" s="387">
        <v>4351234721.0900002</v>
      </c>
      <c r="Y34" s="343">
        <v>100</v>
      </c>
      <c r="Z34" s="25">
        <f t="shared" si="32"/>
        <v>-1.744156598112173E-3</v>
      </c>
      <c r="AA34" s="25">
        <f t="shared" si="33"/>
        <v>0</v>
      </c>
      <c r="AB34" s="387">
        <v>4374181165.1400003</v>
      </c>
      <c r="AC34" s="343">
        <v>100</v>
      </c>
      <c r="AD34" s="25">
        <f t="shared" si="34"/>
        <v>5.2735477446852197E-3</v>
      </c>
      <c r="AE34" s="25">
        <f t="shared" si="35"/>
        <v>0</v>
      </c>
      <c r="AF34" s="387">
        <v>4874828076.6199999</v>
      </c>
      <c r="AG34" s="343">
        <v>100</v>
      </c>
      <c r="AH34" s="25">
        <f t="shared" si="36"/>
        <v>0.11445500142287221</v>
      </c>
      <c r="AI34" s="25">
        <f t="shared" si="37"/>
        <v>0</v>
      </c>
      <c r="AJ34" s="26">
        <f t="shared" si="44"/>
        <v>2.3294659311100682E-2</v>
      </c>
      <c r="AK34" s="26">
        <f t="shared" si="45"/>
        <v>0</v>
      </c>
      <c r="AL34" s="27">
        <f t="shared" si="46"/>
        <v>0.19595633549123004</v>
      </c>
      <c r="AM34" s="27">
        <f t="shared" si="47"/>
        <v>0</v>
      </c>
      <c r="AN34" s="28">
        <f t="shared" si="48"/>
        <v>3.7742183700173272E-2</v>
      </c>
      <c r="AO34" s="85">
        <f t="shared" si="49"/>
        <v>0</v>
      </c>
      <c r="AP34" s="32"/>
      <c r="AQ34" s="40"/>
      <c r="AR34" s="37"/>
      <c r="AS34" s="31"/>
      <c r="AT34" s="31"/>
    </row>
    <row r="35" spans="1:47">
      <c r="A35" s="217" t="s">
        <v>104</v>
      </c>
      <c r="B35" s="387">
        <v>13190793032.799999</v>
      </c>
      <c r="C35" s="343">
        <v>100</v>
      </c>
      <c r="D35" s="387">
        <v>13428577023.67</v>
      </c>
      <c r="E35" s="343">
        <v>100</v>
      </c>
      <c r="F35" s="25">
        <f t="shared" si="22"/>
        <v>1.802651214970406E-2</v>
      </c>
      <c r="G35" s="25">
        <f t="shared" si="23"/>
        <v>0</v>
      </c>
      <c r="H35" s="387">
        <v>10865153127.73</v>
      </c>
      <c r="I35" s="343">
        <v>100</v>
      </c>
      <c r="J35" s="25">
        <f t="shared" si="24"/>
        <v>-0.1908931893097503</v>
      </c>
      <c r="K35" s="25">
        <f t="shared" si="25"/>
        <v>0</v>
      </c>
      <c r="L35" s="387">
        <v>10868640081.9</v>
      </c>
      <c r="M35" s="343">
        <v>100</v>
      </c>
      <c r="N35" s="25">
        <f t="shared" si="26"/>
        <v>3.2093005307957289E-4</v>
      </c>
      <c r="O35" s="25">
        <f t="shared" si="27"/>
        <v>0</v>
      </c>
      <c r="P35" s="387">
        <v>11540500388.83</v>
      </c>
      <c r="Q35" s="343">
        <v>100</v>
      </c>
      <c r="R35" s="25">
        <f t="shared" si="28"/>
        <v>6.1816409584569583E-2</v>
      </c>
      <c r="S35" s="25">
        <f t="shared" si="29"/>
        <v>0</v>
      </c>
      <c r="T35" s="387">
        <v>11669041718.58</v>
      </c>
      <c r="U35" s="343">
        <v>100</v>
      </c>
      <c r="V35" s="25">
        <f t="shared" si="30"/>
        <v>1.1138280440111123E-2</v>
      </c>
      <c r="W35" s="25">
        <f t="shared" si="31"/>
        <v>0</v>
      </c>
      <c r="X35" s="387">
        <v>12020396759.15</v>
      </c>
      <c r="Y35" s="343">
        <v>100</v>
      </c>
      <c r="Z35" s="25">
        <f t="shared" si="32"/>
        <v>3.0110016661484343E-2</v>
      </c>
      <c r="AA35" s="25">
        <f t="shared" si="33"/>
        <v>0</v>
      </c>
      <c r="AB35" s="387">
        <v>12504464911.290001</v>
      </c>
      <c r="AC35" s="343">
        <v>100</v>
      </c>
      <c r="AD35" s="25">
        <f t="shared" si="34"/>
        <v>4.02705635961247E-2</v>
      </c>
      <c r="AE35" s="25">
        <f t="shared" si="35"/>
        <v>0</v>
      </c>
      <c r="AF35" s="387">
        <v>18333138416.959999</v>
      </c>
      <c r="AG35" s="343">
        <v>100</v>
      </c>
      <c r="AH35" s="25">
        <f t="shared" si="36"/>
        <v>0.46612738306038348</v>
      </c>
      <c r="AI35" s="25">
        <f t="shared" si="37"/>
        <v>0</v>
      </c>
      <c r="AJ35" s="26">
        <f t="shared" si="44"/>
        <v>5.461461327946332E-2</v>
      </c>
      <c r="AK35" s="26">
        <f t="shared" si="45"/>
        <v>0</v>
      </c>
      <c r="AL35" s="27">
        <f t="shared" si="46"/>
        <v>0.36523314306831844</v>
      </c>
      <c r="AM35" s="27">
        <f t="shared" si="47"/>
        <v>0</v>
      </c>
      <c r="AN35" s="28">
        <f t="shared" si="48"/>
        <v>0.18386781681081329</v>
      </c>
      <c r="AO35" s="85">
        <f t="shared" si="49"/>
        <v>0</v>
      </c>
      <c r="AP35" s="32"/>
      <c r="AQ35" s="40"/>
      <c r="AR35" s="37"/>
      <c r="AS35" s="31"/>
      <c r="AT35" s="31"/>
    </row>
    <row r="36" spans="1:47">
      <c r="A36" s="217" t="s">
        <v>107</v>
      </c>
      <c r="B36" s="387">
        <v>10705768792.129999</v>
      </c>
      <c r="C36" s="72">
        <v>100</v>
      </c>
      <c r="D36" s="387">
        <v>10799706195.469999</v>
      </c>
      <c r="E36" s="72">
        <v>100</v>
      </c>
      <c r="F36" s="25">
        <f t="shared" si="22"/>
        <v>8.7744659130930616E-3</v>
      </c>
      <c r="G36" s="25">
        <f t="shared" si="23"/>
        <v>0</v>
      </c>
      <c r="H36" s="387">
        <v>10980503944.6</v>
      </c>
      <c r="I36" s="72">
        <v>100</v>
      </c>
      <c r="J36" s="25">
        <f t="shared" si="24"/>
        <v>1.6740987750744344E-2</v>
      </c>
      <c r="K36" s="25">
        <f t="shared" si="25"/>
        <v>0</v>
      </c>
      <c r="L36" s="387">
        <v>10961413389.75</v>
      </c>
      <c r="M36" s="72">
        <v>100</v>
      </c>
      <c r="N36" s="25">
        <f t="shared" si="26"/>
        <v>-1.738586402438182E-3</v>
      </c>
      <c r="O36" s="25">
        <f t="shared" si="27"/>
        <v>0</v>
      </c>
      <c r="P36" s="387">
        <v>10666444988.200001</v>
      </c>
      <c r="Q36" s="72">
        <v>100</v>
      </c>
      <c r="R36" s="25">
        <f t="shared" si="28"/>
        <v>-2.6909705077433146E-2</v>
      </c>
      <c r="S36" s="25">
        <f t="shared" si="29"/>
        <v>0</v>
      </c>
      <c r="T36" s="387">
        <v>10640450151.299999</v>
      </c>
      <c r="U36" s="72">
        <v>100</v>
      </c>
      <c r="V36" s="25">
        <f t="shared" si="30"/>
        <v>-2.4370666073615819E-3</v>
      </c>
      <c r="W36" s="25">
        <f t="shared" si="31"/>
        <v>0</v>
      </c>
      <c r="X36" s="387">
        <v>10917044746.450001</v>
      </c>
      <c r="Y36" s="72">
        <v>100</v>
      </c>
      <c r="Z36" s="25">
        <f t="shared" si="32"/>
        <v>2.5994632860171667E-2</v>
      </c>
      <c r="AA36" s="25">
        <f t="shared" si="33"/>
        <v>0</v>
      </c>
      <c r="AB36" s="387">
        <v>11015445726.200001</v>
      </c>
      <c r="AC36" s="72">
        <v>100</v>
      </c>
      <c r="AD36" s="25">
        <f t="shared" si="34"/>
        <v>9.0135180385697306E-3</v>
      </c>
      <c r="AE36" s="25">
        <f t="shared" si="35"/>
        <v>0</v>
      </c>
      <c r="AF36" s="387">
        <v>11286240521.299999</v>
      </c>
      <c r="AG36" s="72">
        <v>100</v>
      </c>
      <c r="AH36" s="25">
        <f t="shared" si="36"/>
        <v>2.4583189988936979E-2</v>
      </c>
      <c r="AI36" s="25">
        <f t="shared" si="37"/>
        <v>0</v>
      </c>
      <c r="AJ36" s="26">
        <f t="shared" si="44"/>
        <v>6.7526795580353585E-3</v>
      </c>
      <c r="AK36" s="26">
        <f t="shared" si="45"/>
        <v>0</v>
      </c>
      <c r="AL36" s="27">
        <f t="shared" si="46"/>
        <v>4.5050700178684455E-2</v>
      </c>
      <c r="AM36" s="27">
        <f t="shared" si="47"/>
        <v>0</v>
      </c>
      <c r="AN36" s="28">
        <f t="shared" si="48"/>
        <v>1.726621123095351E-2</v>
      </c>
      <c r="AO36" s="85">
        <f t="shared" si="49"/>
        <v>0</v>
      </c>
      <c r="AP36" s="32"/>
      <c r="AQ36" s="40"/>
      <c r="AR36" s="37"/>
      <c r="AS36" s="31"/>
      <c r="AT36" s="31"/>
    </row>
    <row r="37" spans="1:47">
      <c r="A37" s="217" t="s">
        <v>106</v>
      </c>
      <c r="B37" s="387">
        <v>429066925.85000002</v>
      </c>
      <c r="C37" s="72">
        <v>1000000</v>
      </c>
      <c r="D37" s="387">
        <v>430053365.62</v>
      </c>
      <c r="E37" s="72">
        <v>1000000</v>
      </c>
      <c r="F37" s="25">
        <f t="shared" si="22"/>
        <v>2.2990347439290535E-3</v>
      </c>
      <c r="G37" s="25">
        <f t="shared" si="23"/>
        <v>0</v>
      </c>
      <c r="H37" s="387">
        <v>431018536.70999998</v>
      </c>
      <c r="I37" s="72">
        <v>1000000</v>
      </c>
      <c r="J37" s="25">
        <f t="shared" si="24"/>
        <v>2.2443053982579685E-3</v>
      </c>
      <c r="K37" s="25">
        <f t="shared" si="25"/>
        <v>0</v>
      </c>
      <c r="L37" s="387">
        <v>425628416.70999998</v>
      </c>
      <c r="M37" s="72">
        <v>1000000</v>
      </c>
      <c r="N37" s="25">
        <f t="shared" si="26"/>
        <v>-1.2505541040399864E-2</v>
      </c>
      <c r="O37" s="25">
        <f t="shared" si="27"/>
        <v>0</v>
      </c>
      <c r="P37" s="387">
        <v>426567162.81999999</v>
      </c>
      <c r="Q37" s="72">
        <v>1000000</v>
      </c>
      <c r="R37" s="25">
        <f t="shared" si="28"/>
        <v>2.2055531847621555E-3</v>
      </c>
      <c r="S37" s="25">
        <f t="shared" si="29"/>
        <v>0</v>
      </c>
      <c r="T37" s="387">
        <v>563267863.15999997</v>
      </c>
      <c r="U37" s="72">
        <v>1000000</v>
      </c>
      <c r="V37" s="25">
        <f t="shared" si="30"/>
        <v>0.320467003217695</v>
      </c>
      <c r="W37" s="25">
        <f t="shared" si="31"/>
        <v>0</v>
      </c>
      <c r="X37" s="387">
        <v>564203738.75999999</v>
      </c>
      <c r="Y37" s="72">
        <v>1000000</v>
      </c>
      <c r="Z37" s="25">
        <f t="shared" si="32"/>
        <v>1.6615107326550639E-3</v>
      </c>
      <c r="AA37" s="25">
        <f t="shared" si="33"/>
        <v>0</v>
      </c>
      <c r="AB37" s="387">
        <v>565070760.17999995</v>
      </c>
      <c r="AC37" s="72">
        <v>1000000</v>
      </c>
      <c r="AD37" s="25">
        <f t="shared" si="34"/>
        <v>1.5367168992986222E-3</v>
      </c>
      <c r="AE37" s="25">
        <f t="shared" si="35"/>
        <v>0</v>
      </c>
      <c r="AF37" s="387">
        <v>429441740.11000001</v>
      </c>
      <c r="AG37" s="72">
        <v>1000000</v>
      </c>
      <c r="AH37" s="25">
        <f t="shared" si="36"/>
        <v>-0.24002130286620407</v>
      </c>
      <c r="AI37" s="25">
        <f t="shared" si="37"/>
        <v>0</v>
      </c>
      <c r="AJ37" s="26">
        <f t="shared" si="44"/>
        <v>9.7359100337492434E-3</v>
      </c>
      <c r="AK37" s="26">
        <f t="shared" si="45"/>
        <v>0</v>
      </c>
      <c r="AL37" s="27">
        <f t="shared" si="46"/>
        <v>-1.4222084022484541E-3</v>
      </c>
      <c r="AM37" s="27">
        <f t="shared" si="47"/>
        <v>0</v>
      </c>
      <c r="AN37" s="28">
        <f t="shared" si="48"/>
        <v>0.15105709423602523</v>
      </c>
      <c r="AO37" s="85">
        <f t="shared" si="49"/>
        <v>0</v>
      </c>
      <c r="AP37" s="32"/>
      <c r="AQ37" s="40"/>
      <c r="AR37" s="37"/>
      <c r="AS37" s="31"/>
      <c r="AT37" s="31"/>
      <c r="AU37" s="97"/>
    </row>
    <row r="38" spans="1:47">
      <c r="A38" s="217" t="s">
        <v>115</v>
      </c>
      <c r="B38" s="387">
        <v>3963336768.5799999</v>
      </c>
      <c r="C38" s="343">
        <v>1</v>
      </c>
      <c r="D38" s="387">
        <v>4018142642.6700001</v>
      </c>
      <c r="E38" s="343">
        <v>1</v>
      </c>
      <c r="F38" s="25">
        <f t="shared" si="22"/>
        <v>1.3828215286796388E-2</v>
      </c>
      <c r="G38" s="25">
        <f t="shared" si="23"/>
        <v>0</v>
      </c>
      <c r="H38" s="387">
        <v>4047649698.71</v>
      </c>
      <c r="I38" s="343">
        <v>1</v>
      </c>
      <c r="J38" s="25">
        <f t="shared" si="24"/>
        <v>7.3434565828138275E-3</v>
      </c>
      <c r="K38" s="25">
        <f t="shared" si="25"/>
        <v>0</v>
      </c>
      <c r="L38" s="387">
        <v>3896504082.9499998</v>
      </c>
      <c r="M38" s="343">
        <v>1</v>
      </c>
      <c r="N38" s="25">
        <f t="shared" si="26"/>
        <v>-3.7341575237642442E-2</v>
      </c>
      <c r="O38" s="25">
        <f t="shared" si="27"/>
        <v>0</v>
      </c>
      <c r="P38" s="387">
        <v>3690124388.1900001</v>
      </c>
      <c r="Q38" s="343">
        <v>1</v>
      </c>
      <c r="R38" s="25">
        <f t="shared" si="28"/>
        <v>-5.2965348005936642E-2</v>
      </c>
      <c r="S38" s="25">
        <f t="shared" si="29"/>
        <v>0</v>
      </c>
      <c r="T38" s="387">
        <v>3690124388.1900001</v>
      </c>
      <c r="U38" s="343">
        <v>1</v>
      </c>
      <c r="V38" s="25">
        <f t="shared" si="30"/>
        <v>0</v>
      </c>
      <c r="W38" s="25">
        <f t="shared" si="31"/>
        <v>0</v>
      </c>
      <c r="X38" s="387">
        <v>4023325120.48</v>
      </c>
      <c r="Y38" s="343">
        <v>1</v>
      </c>
      <c r="Z38" s="25">
        <f t="shared" si="32"/>
        <v>9.0295257622314024E-2</v>
      </c>
      <c r="AA38" s="25">
        <f t="shared" si="33"/>
        <v>0</v>
      </c>
      <c r="AB38" s="387">
        <v>4054538294.4499998</v>
      </c>
      <c r="AC38" s="343">
        <v>1</v>
      </c>
      <c r="AD38" s="25">
        <f t="shared" si="34"/>
        <v>7.7580541058227788E-3</v>
      </c>
      <c r="AE38" s="25">
        <f t="shared" si="35"/>
        <v>0</v>
      </c>
      <c r="AF38" s="387">
        <v>4141051273.54</v>
      </c>
      <c r="AG38" s="343">
        <v>1</v>
      </c>
      <c r="AH38" s="25">
        <f t="shared" si="36"/>
        <v>2.1337319518827159E-2</v>
      </c>
      <c r="AI38" s="25">
        <f t="shared" si="37"/>
        <v>0</v>
      </c>
      <c r="AJ38" s="26">
        <f t="shared" si="44"/>
        <v>6.281922484124387E-3</v>
      </c>
      <c r="AK38" s="26">
        <f t="shared" si="45"/>
        <v>0</v>
      </c>
      <c r="AL38" s="27">
        <f t="shared" si="46"/>
        <v>3.0588419028431704E-2</v>
      </c>
      <c r="AM38" s="27">
        <f t="shared" si="47"/>
        <v>0</v>
      </c>
      <c r="AN38" s="28">
        <f t="shared" si="48"/>
        <v>4.2758238937551513E-2</v>
      </c>
      <c r="AO38" s="85">
        <f t="shared" si="49"/>
        <v>0</v>
      </c>
      <c r="AP38" s="32"/>
      <c r="AQ38" s="40"/>
      <c r="AR38" s="37"/>
      <c r="AS38" s="31"/>
      <c r="AT38" s="31"/>
    </row>
    <row r="39" spans="1:47" s="93" customFormat="1">
      <c r="A39" s="217" t="s">
        <v>120</v>
      </c>
      <c r="B39" s="387">
        <v>16713801813.1</v>
      </c>
      <c r="C39" s="343">
        <v>1</v>
      </c>
      <c r="D39" s="387">
        <v>16967584727.219999</v>
      </c>
      <c r="E39" s="343">
        <v>1</v>
      </c>
      <c r="F39" s="25">
        <f t="shared" si="22"/>
        <v>1.5184032750770569E-2</v>
      </c>
      <c r="G39" s="25">
        <f t="shared" si="23"/>
        <v>0</v>
      </c>
      <c r="H39" s="387">
        <v>17158355947.77</v>
      </c>
      <c r="I39" s="343">
        <v>1</v>
      </c>
      <c r="J39" s="25">
        <f t="shared" si="24"/>
        <v>1.1243274963227926E-2</v>
      </c>
      <c r="K39" s="25">
        <f t="shared" si="25"/>
        <v>0</v>
      </c>
      <c r="L39" s="387">
        <v>17261206000.369999</v>
      </c>
      <c r="M39" s="343">
        <v>1</v>
      </c>
      <c r="N39" s="25">
        <f t="shared" si="26"/>
        <v>5.9941670934601085E-3</v>
      </c>
      <c r="O39" s="25">
        <f t="shared" si="27"/>
        <v>0</v>
      </c>
      <c r="P39" s="387">
        <v>17676291839.209999</v>
      </c>
      <c r="Q39" s="343">
        <v>1</v>
      </c>
      <c r="R39" s="25">
        <f t="shared" si="28"/>
        <v>2.4047325478364759E-2</v>
      </c>
      <c r="S39" s="25">
        <f t="shared" si="29"/>
        <v>0</v>
      </c>
      <c r="T39" s="387">
        <v>18051521459.57</v>
      </c>
      <c r="U39" s="343">
        <v>1</v>
      </c>
      <c r="V39" s="25">
        <f t="shared" si="30"/>
        <v>2.1227847094471293E-2</v>
      </c>
      <c r="W39" s="25">
        <f t="shared" si="31"/>
        <v>0</v>
      </c>
      <c r="X39" s="387">
        <v>18748003183.139999</v>
      </c>
      <c r="Y39" s="343">
        <v>1</v>
      </c>
      <c r="Z39" s="25">
        <f t="shared" si="32"/>
        <v>3.8582992859073406E-2</v>
      </c>
      <c r="AA39" s="25">
        <f t="shared" si="33"/>
        <v>0</v>
      </c>
      <c r="AB39" s="387">
        <v>19639567240.580002</v>
      </c>
      <c r="AC39" s="343">
        <v>1</v>
      </c>
      <c r="AD39" s="25">
        <f t="shared" si="34"/>
        <v>4.7555147539220723E-2</v>
      </c>
      <c r="AE39" s="25">
        <f t="shared" si="35"/>
        <v>0</v>
      </c>
      <c r="AF39" s="387">
        <v>19141466809.049999</v>
      </c>
      <c r="AG39" s="343">
        <v>1</v>
      </c>
      <c r="AH39" s="25">
        <f t="shared" si="36"/>
        <v>-2.5362087943608502E-2</v>
      </c>
      <c r="AI39" s="25">
        <f t="shared" si="37"/>
        <v>0</v>
      </c>
      <c r="AJ39" s="26">
        <f t="shared" si="44"/>
        <v>1.7309087479372536E-2</v>
      </c>
      <c r="AK39" s="26">
        <f t="shared" si="45"/>
        <v>0</v>
      </c>
      <c r="AL39" s="27">
        <f t="shared" si="46"/>
        <v>0.12811971278048676</v>
      </c>
      <c r="AM39" s="27">
        <f t="shared" si="47"/>
        <v>0</v>
      </c>
      <c r="AN39" s="28">
        <f t="shared" si="48"/>
        <v>2.2098255593402227E-2</v>
      </c>
      <c r="AO39" s="85">
        <f t="shared" si="49"/>
        <v>0</v>
      </c>
      <c r="AP39" s="32"/>
      <c r="AQ39" s="40"/>
      <c r="AR39" s="37"/>
      <c r="AS39" s="31"/>
      <c r="AT39" s="31"/>
    </row>
    <row r="40" spans="1:47" s="95" customFormat="1">
      <c r="A40" s="217" t="s">
        <v>123</v>
      </c>
      <c r="B40" s="387">
        <v>632456158.00999999</v>
      </c>
      <c r="C40" s="343">
        <v>100</v>
      </c>
      <c r="D40" s="387">
        <v>636735588.23000002</v>
      </c>
      <c r="E40" s="343">
        <v>100</v>
      </c>
      <c r="F40" s="25">
        <f t="shared" si="22"/>
        <v>6.7663665944294044E-3</v>
      </c>
      <c r="G40" s="25">
        <f t="shared" si="23"/>
        <v>0</v>
      </c>
      <c r="H40" s="387">
        <v>641338572.60000002</v>
      </c>
      <c r="I40" s="343">
        <v>100</v>
      </c>
      <c r="J40" s="25">
        <f t="shared" si="24"/>
        <v>7.2290358118593592E-3</v>
      </c>
      <c r="K40" s="25">
        <f t="shared" si="25"/>
        <v>0</v>
      </c>
      <c r="L40" s="387">
        <v>640783905.09000003</v>
      </c>
      <c r="M40" s="343">
        <v>100</v>
      </c>
      <c r="N40" s="25">
        <f t="shared" si="26"/>
        <v>-8.6485911451007346E-4</v>
      </c>
      <c r="O40" s="25">
        <f t="shared" si="27"/>
        <v>0</v>
      </c>
      <c r="P40" s="387">
        <v>649687292.97000003</v>
      </c>
      <c r="Q40" s="343">
        <v>100</v>
      </c>
      <c r="R40" s="25">
        <f t="shared" si="28"/>
        <v>1.3894524830097734E-2</v>
      </c>
      <c r="S40" s="25">
        <f t="shared" si="29"/>
        <v>0</v>
      </c>
      <c r="T40" s="387">
        <v>674433769.01999998</v>
      </c>
      <c r="U40" s="343">
        <v>100</v>
      </c>
      <c r="V40" s="25">
        <f t="shared" si="30"/>
        <v>3.808982616371203E-2</v>
      </c>
      <c r="W40" s="25">
        <f t="shared" si="31"/>
        <v>0</v>
      </c>
      <c r="X40" s="387">
        <v>678838566.63999999</v>
      </c>
      <c r="Y40" s="343">
        <v>100</v>
      </c>
      <c r="Z40" s="25">
        <f t="shared" si="32"/>
        <v>6.5311047909129578E-3</v>
      </c>
      <c r="AA40" s="25">
        <f t="shared" si="33"/>
        <v>0</v>
      </c>
      <c r="AB40" s="387">
        <v>685907164.41999996</v>
      </c>
      <c r="AC40" s="343">
        <v>100</v>
      </c>
      <c r="AD40" s="25">
        <f t="shared" si="34"/>
        <v>1.0412781664699632E-2</v>
      </c>
      <c r="AE40" s="25">
        <f t="shared" si="35"/>
        <v>0</v>
      </c>
      <c r="AF40" s="387">
        <v>685280097.52999997</v>
      </c>
      <c r="AG40" s="343">
        <v>100</v>
      </c>
      <c r="AH40" s="25">
        <f t="shared" si="36"/>
        <v>-9.1421539608823102E-4</v>
      </c>
      <c r="AI40" s="25">
        <f t="shared" si="37"/>
        <v>0</v>
      </c>
      <c r="AJ40" s="26">
        <f t="shared" si="44"/>
        <v>1.0143070668139102E-2</v>
      </c>
      <c r="AK40" s="26">
        <f t="shared" si="45"/>
        <v>0</v>
      </c>
      <c r="AL40" s="27">
        <f t="shared" si="46"/>
        <v>7.6239667135528211E-2</v>
      </c>
      <c r="AM40" s="27">
        <f t="shared" si="47"/>
        <v>0</v>
      </c>
      <c r="AN40" s="28">
        <f t="shared" si="48"/>
        <v>1.2372466062820041E-2</v>
      </c>
      <c r="AO40" s="85">
        <f t="shared" si="49"/>
        <v>0</v>
      </c>
      <c r="AP40" s="32"/>
      <c r="AQ40" s="40"/>
      <c r="AR40" s="37"/>
      <c r="AS40" s="31"/>
      <c r="AT40" s="31"/>
    </row>
    <row r="41" spans="1:47" s="95" customFormat="1">
      <c r="A41" s="217" t="s">
        <v>130</v>
      </c>
      <c r="B41" s="387">
        <v>3417098546.5799999</v>
      </c>
      <c r="C41" s="343">
        <v>1</v>
      </c>
      <c r="D41" s="387">
        <v>3425870364.98</v>
      </c>
      <c r="E41" s="343">
        <v>1</v>
      </c>
      <c r="F41" s="25">
        <f t="shared" si="22"/>
        <v>2.5670369994975303E-3</v>
      </c>
      <c r="G41" s="25">
        <f t="shared" si="23"/>
        <v>0</v>
      </c>
      <c r="H41" s="409">
        <v>3381298897</v>
      </c>
      <c r="I41" s="343">
        <v>1</v>
      </c>
      <c r="J41" s="25">
        <f t="shared" si="24"/>
        <v>-1.3010261110758703E-2</v>
      </c>
      <c r="K41" s="25">
        <f t="shared" si="25"/>
        <v>0</v>
      </c>
      <c r="L41" s="409">
        <v>3426088899.6900001</v>
      </c>
      <c r="M41" s="343">
        <v>1</v>
      </c>
      <c r="N41" s="25">
        <f t="shared" si="26"/>
        <v>1.3246389643263785E-2</v>
      </c>
      <c r="O41" s="25">
        <f t="shared" si="27"/>
        <v>0</v>
      </c>
      <c r="P41" s="409">
        <v>3543416652.5999999</v>
      </c>
      <c r="Q41" s="343">
        <v>1</v>
      </c>
      <c r="R41" s="25">
        <f t="shared" si="28"/>
        <v>3.4245390690421346E-2</v>
      </c>
      <c r="S41" s="25">
        <f t="shared" si="29"/>
        <v>0</v>
      </c>
      <c r="T41" s="409">
        <v>3433910989.7600002</v>
      </c>
      <c r="U41" s="343">
        <v>1</v>
      </c>
      <c r="V41" s="25">
        <f t="shared" si="30"/>
        <v>-3.0903975901239087E-2</v>
      </c>
      <c r="W41" s="25">
        <f t="shared" si="31"/>
        <v>0</v>
      </c>
      <c r="X41" s="409">
        <v>3450376869.5100002</v>
      </c>
      <c r="Y41" s="343">
        <v>1</v>
      </c>
      <c r="Z41" s="25">
        <f t="shared" si="32"/>
        <v>4.7950805361879276E-3</v>
      </c>
      <c r="AA41" s="25">
        <f t="shared" si="33"/>
        <v>0</v>
      </c>
      <c r="AB41" s="409">
        <v>3405676489.3499999</v>
      </c>
      <c r="AC41" s="343">
        <v>1</v>
      </c>
      <c r="AD41" s="25">
        <f t="shared" si="34"/>
        <v>-1.2955216734439903E-2</v>
      </c>
      <c r="AE41" s="25">
        <f t="shared" si="35"/>
        <v>0</v>
      </c>
      <c r="AF41" s="409">
        <v>3381518075.29</v>
      </c>
      <c r="AG41" s="343">
        <v>1</v>
      </c>
      <c r="AH41" s="25">
        <f t="shared" si="36"/>
        <v>-7.0935727851857023E-3</v>
      </c>
      <c r="AI41" s="25">
        <f t="shared" si="37"/>
        <v>0</v>
      </c>
      <c r="AJ41" s="26">
        <f t="shared" si="44"/>
        <v>-1.1386410827816009E-3</v>
      </c>
      <c r="AK41" s="26">
        <f t="shared" si="45"/>
        <v>0</v>
      </c>
      <c r="AL41" s="27">
        <f t="shared" si="46"/>
        <v>-1.2946283707456917E-2</v>
      </c>
      <c r="AM41" s="27">
        <f t="shared" si="47"/>
        <v>0</v>
      </c>
      <c r="AN41" s="28">
        <f t="shared" si="48"/>
        <v>1.9675594405515324E-2</v>
      </c>
      <c r="AO41" s="85">
        <f t="shared" si="49"/>
        <v>0</v>
      </c>
      <c r="AP41" s="32"/>
      <c r="AQ41" s="40"/>
      <c r="AR41" s="37"/>
      <c r="AS41" s="31"/>
      <c r="AT41" s="31"/>
    </row>
    <row r="42" spans="1:47" s="95" customFormat="1">
      <c r="A42" s="217" t="s">
        <v>131</v>
      </c>
      <c r="B42" s="387">
        <v>561772700.15999997</v>
      </c>
      <c r="C42" s="343">
        <v>10</v>
      </c>
      <c r="D42" s="387">
        <v>562082669.73000002</v>
      </c>
      <c r="E42" s="343">
        <v>10</v>
      </c>
      <c r="F42" s="25">
        <f t="shared" si="22"/>
        <v>5.517704400939547E-4</v>
      </c>
      <c r="G42" s="25">
        <f t="shared" si="23"/>
        <v>0</v>
      </c>
      <c r="H42" s="387">
        <v>548058963.17999995</v>
      </c>
      <c r="I42" s="343">
        <v>10</v>
      </c>
      <c r="J42" s="25">
        <f t="shared" si="24"/>
        <v>-2.4949544444656954E-2</v>
      </c>
      <c r="K42" s="25">
        <f t="shared" si="25"/>
        <v>0</v>
      </c>
      <c r="L42" s="387">
        <v>557265275.24000001</v>
      </c>
      <c r="M42" s="343">
        <v>10</v>
      </c>
      <c r="N42" s="25">
        <f t="shared" si="26"/>
        <v>1.6798032106951268E-2</v>
      </c>
      <c r="O42" s="25">
        <f t="shared" si="27"/>
        <v>0</v>
      </c>
      <c r="P42" s="387">
        <v>557265275.24000001</v>
      </c>
      <c r="Q42" s="343">
        <v>10</v>
      </c>
      <c r="R42" s="25">
        <f t="shared" si="28"/>
        <v>0</v>
      </c>
      <c r="S42" s="25">
        <f t="shared" si="29"/>
        <v>0</v>
      </c>
      <c r="T42" s="387">
        <v>535648257.05000001</v>
      </c>
      <c r="U42" s="343">
        <v>10</v>
      </c>
      <c r="V42" s="25">
        <f t="shared" si="30"/>
        <v>-3.8791252838587684E-2</v>
      </c>
      <c r="W42" s="25">
        <f t="shared" si="31"/>
        <v>0</v>
      </c>
      <c r="X42" s="387">
        <v>540837911.65999997</v>
      </c>
      <c r="Y42" s="343">
        <v>10</v>
      </c>
      <c r="Z42" s="25">
        <f t="shared" si="32"/>
        <v>9.6885494196904051E-3</v>
      </c>
      <c r="AA42" s="25">
        <f t="shared" si="33"/>
        <v>0</v>
      </c>
      <c r="AB42" s="387">
        <v>545763593.88999999</v>
      </c>
      <c r="AC42" s="343">
        <v>10</v>
      </c>
      <c r="AD42" s="25">
        <f t="shared" si="34"/>
        <v>9.1075017557137716E-3</v>
      </c>
      <c r="AE42" s="25">
        <f t="shared" si="35"/>
        <v>0</v>
      </c>
      <c r="AF42" s="387">
        <v>549338285.57000005</v>
      </c>
      <c r="AG42" s="343">
        <v>10</v>
      </c>
      <c r="AH42" s="25">
        <f t="shared" si="36"/>
        <v>6.5498903188484841E-3</v>
      </c>
      <c r="AI42" s="25">
        <f t="shared" si="37"/>
        <v>0</v>
      </c>
      <c r="AJ42" s="26">
        <f t="shared" si="44"/>
        <v>-2.6306316552433436E-3</v>
      </c>
      <c r="AK42" s="26">
        <f t="shared" si="45"/>
        <v>0</v>
      </c>
      <c r="AL42" s="27">
        <f t="shared" si="46"/>
        <v>-2.267350488874139E-2</v>
      </c>
      <c r="AM42" s="27">
        <f t="shared" si="47"/>
        <v>0</v>
      </c>
      <c r="AN42" s="28">
        <f t="shared" si="48"/>
        <v>1.9176150574906424E-2</v>
      </c>
      <c r="AO42" s="85">
        <f t="shared" si="49"/>
        <v>0</v>
      </c>
      <c r="AP42" s="32"/>
      <c r="AQ42" s="40"/>
      <c r="AR42" s="37"/>
      <c r="AS42" s="31"/>
      <c r="AT42" s="31"/>
    </row>
    <row r="43" spans="1:47" s="95" customFormat="1">
      <c r="A43" s="217" t="s">
        <v>141</v>
      </c>
      <c r="B43" s="387">
        <v>610326821.45000005</v>
      </c>
      <c r="C43" s="343">
        <v>1</v>
      </c>
      <c r="D43" s="387">
        <v>591707454.80999994</v>
      </c>
      <c r="E43" s="343">
        <v>1</v>
      </c>
      <c r="F43" s="25">
        <f t="shared" si="22"/>
        <v>-3.0507206935072348E-2</v>
      </c>
      <c r="G43" s="25">
        <f t="shared" si="23"/>
        <v>0</v>
      </c>
      <c r="H43" s="387">
        <v>608579093.09000003</v>
      </c>
      <c r="I43" s="343">
        <v>1</v>
      </c>
      <c r="J43" s="25">
        <f t="shared" si="24"/>
        <v>2.8513479326397289E-2</v>
      </c>
      <c r="K43" s="25">
        <f t="shared" si="25"/>
        <v>0</v>
      </c>
      <c r="L43" s="387">
        <v>604903703.10000002</v>
      </c>
      <c r="M43" s="343">
        <v>1</v>
      </c>
      <c r="N43" s="25">
        <f t="shared" si="26"/>
        <v>-6.0392971624092127E-3</v>
      </c>
      <c r="O43" s="25">
        <f t="shared" si="27"/>
        <v>0</v>
      </c>
      <c r="P43" s="387">
        <v>621779090.69000006</v>
      </c>
      <c r="Q43" s="343">
        <v>1</v>
      </c>
      <c r="R43" s="25">
        <f t="shared" si="28"/>
        <v>2.789764305213762E-2</v>
      </c>
      <c r="S43" s="25">
        <f t="shared" si="29"/>
        <v>0</v>
      </c>
      <c r="T43" s="387">
        <v>640285265.87</v>
      </c>
      <c r="U43" s="343">
        <v>1</v>
      </c>
      <c r="V43" s="25">
        <f t="shared" si="30"/>
        <v>2.9763263926201336E-2</v>
      </c>
      <c r="W43" s="25">
        <f t="shared" si="31"/>
        <v>0</v>
      </c>
      <c r="X43" s="387">
        <v>642927561.24000001</v>
      </c>
      <c r="Y43" s="343">
        <v>1</v>
      </c>
      <c r="Z43" s="25">
        <f t="shared" si="32"/>
        <v>4.1267471092119147E-3</v>
      </c>
      <c r="AA43" s="25">
        <f t="shared" si="33"/>
        <v>0</v>
      </c>
      <c r="AB43" s="387">
        <v>649009247.21000004</v>
      </c>
      <c r="AC43" s="343">
        <v>1</v>
      </c>
      <c r="AD43" s="25">
        <f t="shared" si="34"/>
        <v>9.4593642217957134E-3</v>
      </c>
      <c r="AE43" s="25">
        <f t="shared" si="35"/>
        <v>0</v>
      </c>
      <c r="AF43" s="387">
        <v>702862185.64999998</v>
      </c>
      <c r="AG43" s="343">
        <v>1</v>
      </c>
      <c r="AH43" s="25">
        <f t="shared" si="36"/>
        <v>8.2977151206251973E-2</v>
      </c>
      <c r="AI43" s="25">
        <f t="shared" si="37"/>
        <v>0</v>
      </c>
      <c r="AJ43" s="26">
        <f t="shared" si="44"/>
        <v>1.8273893093064285E-2</v>
      </c>
      <c r="AK43" s="26">
        <f t="shared" si="45"/>
        <v>0</v>
      </c>
      <c r="AL43" s="27">
        <f t="shared" si="46"/>
        <v>0.18785420047765386</v>
      </c>
      <c r="AM43" s="27">
        <f t="shared" si="47"/>
        <v>0</v>
      </c>
      <c r="AN43" s="28">
        <f t="shared" si="48"/>
        <v>3.330497075978843E-2</v>
      </c>
      <c r="AO43" s="85">
        <f t="shared" si="49"/>
        <v>0</v>
      </c>
      <c r="AP43" s="32"/>
      <c r="AQ43" s="40"/>
      <c r="AR43" s="37"/>
      <c r="AS43" s="31"/>
      <c r="AT43" s="31"/>
    </row>
    <row r="44" spans="1:47" s="95" customFormat="1">
      <c r="A44" s="217" t="s">
        <v>179</v>
      </c>
      <c r="B44" s="387">
        <v>7412677086.3437996</v>
      </c>
      <c r="C44" s="343">
        <v>100</v>
      </c>
      <c r="D44" s="387">
        <v>7443397387.1399994</v>
      </c>
      <c r="E44" s="343">
        <v>100</v>
      </c>
      <c r="F44" s="25">
        <f t="shared" si="22"/>
        <v>4.1442923303370502E-3</v>
      </c>
      <c r="G44" s="25">
        <f t="shared" si="23"/>
        <v>0</v>
      </c>
      <c r="H44" s="387">
        <v>7557726874.7799988</v>
      </c>
      <c r="I44" s="343">
        <v>100</v>
      </c>
      <c r="J44" s="25">
        <f t="shared" si="24"/>
        <v>1.5359852724983769E-2</v>
      </c>
      <c r="K44" s="25">
        <f t="shared" si="25"/>
        <v>0</v>
      </c>
      <c r="L44" s="387">
        <v>8051757533.4700003</v>
      </c>
      <c r="M44" s="343">
        <v>100</v>
      </c>
      <c r="N44" s="25">
        <f t="shared" si="26"/>
        <v>6.5367625329061985E-2</v>
      </c>
      <c r="O44" s="25">
        <f t="shared" si="27"/>
        <v>0</v>
      </c>
      <c r="P44" s="387">
        <v>8363312741.2300005</v>
      </c>
      <c r="Q44" s="343">
        <v>100</v>
      </c>
      <c r="R44" s="25">
        <f t="shared" si="28"/>
        <v>3.8694062316818406E-2</v>
      </c>
      <c r="S44" s="25">
        <f t="shared" si="29"/>
        <v>0</v>
      </c>
      <c r="T44" s="387">
        <v>8374602897.71</v>
      </c>
      <c r="U44" s="343">
        <v>100</v>
      </c>
      <c r="V44" s="25">
        <f t="shared" si="30"/>
        <v>1.3499622493298139E-3</v>
      </c>
      <c r="W44" s="25">
        <f t="shared" si="31"/>
        <v>0</v>
      </c>
      <c r="X44" s="387">
        <v>8377701168.6900005</v>
      </c>
      <c r="Y44" s="343">
        <v>100</v>
      </c>
      <c r="Z44" s="25">
        <f t="shared" si="32"/>
        <v>3.6996034532547271E-4</v>
      </c>
      <c r="AA44" s="25">
        <f t="shared" si="33"/>
        <v>0</v>
      </c>
      <c r="AB44" s="387">
        <v>8419801649.0600004</v>
      </c>
      <c r="AC44" s="343">
        <v>100</v>
      </c>
      <c r="AD44" s="25">
        <f t="shared" si="34"/>
        <v>5.025302230562018E-3</v>
      </c>
      <c r="AE44" s="25">
        <f t="shared" si="35"/>
        <v>0</v>
      </c>
      <c r="AF44" s="387">
        <v>9009234563.539999</v>
      </c>
      <c r="AG44" s="343">
        <v>100</v>
      </c>
      <c r="AH44" s="25">
        <f t="shared" si="36"/>
        <v>7.0005558212384231E-2</v>
      </c>
      <c r="AI44" s="25">
        <f t="shared" si="37"/>
        <v>0</v>
      </c>
      <c r="AJ44" s="26">
        <f t="shared" si="44"/>
        <v>2.5039576967350347E-2</v>
      </c>
      <c r="AK44" s="26">
        <f t="shared" si="45"/>
        <v>0</v>
      </c>
      <c r="AL44" s="27">
        <f t="shared" si="46"/>
        <v>0.21036592498813855</v>
      </c>
      <c r="AM44" s="27">
        <f t="shared" si="47"/>
        <v>0</v>
      </c>
      <c r="AN44" s="28">
        <f t="shared" si="48"/>
        <v>2.9118979889480468E-2</v>
      </c>
      <c r="AO44" s="85">
        <f t="shared" si="49"/>
        <v>0</v>
      </c>
      <c r="AP44" s="32"/>
      <c r="AQ44" s="40"/>
      <c r="AR44" s="37"/>
      <c r="AS44" s="31"/>
      <c r="AT44" s="31"/>
    </row>
    <row r="45" spans="1:47" s="95" customFormat="1">
      <c r="A45" s="217" t="s">
        <v>144</v>
      </c>
      <c r="B45" s="378">
        <v>312402073.50999999</v>
      </c>
      <c r="C45" s="343">
        <v>1</v>
      </c>
      <c r="D45" s="378">
        <v>271099998</v>
      </c>
      <c r="E45" s="343">
        <v>1</v>
      </c>
      <c r="F45" s="25">
        <f t="shared" si="22"/>
        <v>-0.13220807098349144</v>
      </c>
      <c r="G45" s="25">
        <f t="shared" si="23"/>
        <v>0</v>
      </c>
      <c r="H45" s="378">
        <v>271481158.62</v>
      </c>
      <c r="I45" s="343">
        <v>1</v>
      </c>
      <c r="J45" s="25">
        <f t="shared" si="24"/>
        <v>1.405977952091334E-3</v>
      </c>
      <c r="K45" s="25">
        <f t="shared" si="25"/>
        <v>0</v>
      </c>
      <c r="L45" s="378">
        <v>271928149.94999999</v>
      </c>
      <c r="M45" s="343">
        <v>1</v>
      </c>
      <c r="N45" s="25">
        <f t="shared" si="26"/>
        <v>1.6464911681979741E-3</v>
      </c>
      <c r="O45" s="25">
        <f t="shared" si="27"/>
        <v>0</v>
      </c>
      <c r="P45" s="378">
        <v>273951338.25</v>
      </c>
      <c r="Q45" s="343">
        <v>1</v>
      </c>
      <c r="R45" s="25">
        <f t="shared" si="28"/>
        <v>7.4401576312420024E-3</v>
      </c>
      <c r="S45" s="25">
        <f t="shared" si="29"/>
        <v>0</v>
      </c>
      <c r="T45" s="378">
        <v>273636532.5</v>
      </c>
      <c r="U45" s="343">
        <v>1</v>
      </c>
      <c r="V45" s="25">
        <f t="shared" si="30"/>
        <v>-1.1491301776840289E-3</v>
      </c>
      <c r="W45" s="25">
        <f t="shared" si="31"/>
        <v>0</v>
      </c>
      <c r="X45" s="378">
        <v>230763619.41</v>
      </c>
      <c r="Y45" s="343">
        <v>1</v>
      </c>
      <c r="Z45" s="25">
        <f t="shared" si="32"/>
        <v>-0.15667832324252978</v>
      </c>
      <c r="AA45" s="25">
        <f t="shared" si="33"/>
        <v>0</v>
      </c>
      <c r="AB45" s="433">
        <v>273120839.00999999</v>
      </c>
      <c r="AC45" s="343">
        <v>1</v>
      </c>
      <c r="AD45" s="25">
        <f t="shared" si="34"/>
        <v>0.18355241484032847</v>
      </c>
      <c r="AE45" s="25">
        <f t="shared" si="35"/>
        <v>0</v>
      </c>
      <c r="AF45" s="387">
        <v>273453910.26999998</v>
      </c>
      <c r="AG45" s="343">
        <v>1</v>
      </c>
      <c r="AH45" s="25">
        <f t="shared" si="36"/>
        <v>1.2195014529367181E-3</v>
      </c>
      <c r="AI45" s="25">
        <f t="shared" si="37"/>
        <v>0</v>
      </c>
      <c r="AJ45" s="26">
        <f t="shared" si="44"/>
        <v>-1.1846372669863594E-2</v>
      </c>
      <c r="AK45" s="26">
        <f t="shared" si="45"/>
        <v>0</v>
      </c>
      <c r="AL45" s="27">
        <f t="shared" si="46"/>
        <v>8.6828192082833624E-3</v>
      </c>
      <c r="AM45" s="27">
        <f t="shared" si="47"/>
        <v>0</v>
      </c>
      <c r="AN45" s="28">
        <f t="shared" si="48"/>
        <v>0.10327405909535883</v>
      </c>
      <c r="AO45" s="85">
        <f t="shared" si="49"/>
        <v>0</v>
      </c>
      <c r="AP45" s="32"/>
      <c r="AQ45" s="40"/>
      <c r="AR45" s="37"/>
      <c r="AS45" s="31"/>
      <c r="AT45" s="31"/>
    </row>
    <row r="46" spans="1:47" s="95" customFormat="1">
      <c r="A46" s="217" t="s">
        <v>149</v>
      </c>
      <c r="B46" s="387">
        <v>433285633.01999998</v>
      </c>
      <c r="C46" s="343">
        <v>100</v>
      </c>
      <c r="D46" s="387">
        <v>426340800.07999998</v>
      </c>
      <c r="E46" s="343">
        <v>100</v>
      </c>
      <c r="F46" s="25">
        <f t="shared" si="22"/>
        <v>-1.6028301911592421E-2</v>
      </c>
      <c r="G46" s="25">
        <f t="shared" si="23"/>
        <v>0</v>
      </c>
      <c r="H46" s="387">
        <v>399952168.55000001</v>
      </c>
      <c r="I46" s="343">
        <v>100</v>
      </c>
      <c r="J46" s="25">
        <f t="shared" si="24"/>
        <v>-6.1895627922657938E-2</v>
      </c>
      <c r="K46" s="25">
        <f t="shared" si="25"/>
        <v>0</v>
      </c>
      <c r="L46" s="387">
        <v>414441365.91000003</v>
      </c>
      <c r="M46" s="343">
        <v>100</v>
      </c>
      <c r="N46" s="25">
        <f t="shared" si="26"/>
        <v>3.622732541376044E-2</v>
      </c>
      <c r="O46" s="25">
        <f t="shared" si="27"/>
        <v>0</v>
      </c>
      <c r="P46" s="387">
        <v>412658968.36000001</v>
      </c>
      <c r="Q46" s="343">
        <v>100</v>
      </c>
      <c r="R46" s="25">
        <f t="shared" si="28"/>
        <v>-4.300723085607909E-3</v>
      </c>
      <c r="S46" s="25">
        <f t="shared" si="29"/>
        <v>0</v>
      </c>
      <c r="T46" s="387">
        <v>420974098.88999999</v>
      </c>
      <c r="U46" s="343">
        <v>100</v>
      </c>
      <c r="V46" s="25">
        <f t="shared" si="30"/>
        <v>2.0150126781555672E-2</v>
      </c>
      <c r="W46" s="25">
        <f t="shared" si="31"/>
        <v>0</v>
      </c>
      <c r="X46" s="387">
        <v>429020055.66000003</v>
      </c>
      <c r="Y46" s="343">
        <v>100</v>
      </c>
      <c r="Z46" s="25">
        <f t="shared" si="32"/>
        <v>1.9112712138858783E-2</v>
      </c>
      <c r="AA46" s="25">
        <f t="shared" si="33"/>
        <v>0</v>
      </c>
      <c r="AB46" s="387">
        <v>434932968.81999999</v>
      </c>
      <c r="AC46" s="343">
        <v>100</v>
      </c>
      <c r="AD46" s="25">
        <f t="shared" si="34"/>
        <v>1.3782370036066501E-2</v>
      </c>
      <c r="AE46" s="25">
        <f t="shared" si="35"/>
        <v>0</v>
      </c>
      <c r="AF46" s="387">
        <v>442217360.69999999</v>
      </c>
      <c r="AG46" s="343">
        <v>100</v>
      </c>
      <c r="AH46" s="25">
        <f t="shared" si="36"/>
        <v>1.6748309284906591E-2</v>
      </c>
      <c r="AI46" s="25">
        <f t="shared" si="37"/>
        <v>0</v>
      </c>
      <c r="AJ46" s="26">
        <f t="shared" si="44"/>
        <v>2.9745238419112141E-3</v>
      </c>
      <c r="AK46" s="26">
        <f t="shared" si="45"/>
        <v>0</v>
      </c>
      <c r="AL46" s="27">
        <f t="shared" si="46"/>
        <v>3.7239130331933691E-2</v>
      </c>
      <c r="AM46" s="27">
        <f t="shared" si="47"/>
        <v>0</v>
      </c>
      <c r="AN46" s="28">
        <f t="shared" si="48"/>
        <v>3.0682454663964492E-2</v>
      </c>
      <c r="AO46" s="85">
        <f t="shared" si="49"/>
        <v>0</v>
      </c>
      <c r="AP46" s="32"/>
      <c r="AQ46" s="40"/>
      <c r="AR46" s="37"/>
      <c r="AS46" s="31"/>
      <c r="AT46" s="31"/>
    </row>
    <row r="47" spans="1:47" s="102" customFormat="1">
      <c r="A47" s="217" t="s">
        <v>161</v>
      </c>
      <c r="B47" s="387">
        <v>489788958.63</v>
      </c>
      <c r="C47" s="343">
        <v>1</v>
      </c>
      <c r="D47" s="387">
        <v>510068353.81999999</v>
      </c>
      <c r="E47" s="343">
        <v>1</v>
      </c>
      <c r="F47" s="25">
        <f t="shared" si="22"/>
        <v>4.1404353513243668E-2</v>
      </c>
      <c r="G47" s="25">
        <f t="shared" si="23"/>
        <v>0</v>
      </c>
      <c r="H47" s="387">
        <v>566890118.61000001</v>
      </c>
      <c r="I47" s="343">
        <v>1</v>
      </c>
      <c r="J47" s="25">
        <f t="shared" si="24"/>
        <v>0.11140029442024955</v>
      </c>
      <c r="K47" s="25">
        <f t="shared" si="25"/>
        <v>0</v>
      </c>
      <c r="L47" s="387">
        <v>586152133.34000003</v>
      </c>
      <c r="M47" s="343">
        <v>1</v>
      </c>
      <c r="N47" s="25">
        <f t="shared" si="26"/>
        <v>3.3978392103975956E-2</v>
      </c>
      <c r="O47" s="25">
        <f t="shared" si="27"/>
        <v>0</v>
      </c>
      <c r="P47" s="387">
        <v>613379939.86000001</v>
      </c>
      <c r="Q47" s="343">
        <v>1</v>
      </c>
      <c r="R47" s="25">
        <f t="shared" si="28"/>
        <v>4.6451774157761833E-2</v>
      </c>
      <c r="S47" s="25">
        <f t="shared" si="29"/>
        <v>0</v>
      </c>
      <c r="T47" s="387">
        <v>621279222.47000003</v>
      </c>
      <c r="U47" s="343">
        <v>1</v>
      </c>
      <c r="V47" s="25">
        <f t="shared" si="30"/>
        <v>1.2878286518145628E-2</v>
      </c>
      <c r="W47" s="25">
        <f t="shared" si="31"/>
        <v>0</v>
      </c>
      <c r="X47" s="387">
        <v>638236296.75999999</v>
      </c>
      <c r="Y47" s="343">
        <v>1</v>
      </c>
      <c r="Z47" s="25">
        <f t="shared" si="32"/>
        <v>2.7293805549434377E-2</v>
      </c>
      <c r="AA47" s="25">
        <f t="shared" si="33"/>
        <v>0</v>
      </c>
      <c r="AB47" s="387">
        <v>677833734.87</v>
      </c>
      <c r="AC47" s="343">
        <v>1</v>
      </c>
      <c r="AD47" s="25">
        <f t="shared" si="34"/>
        <v>6.204197146263226E-2</v>
      </c>
      <c r="AE47" s="25">
        <f t="shared" si="35"/>
        <v>0</v>
      </c>
      <c r="AF47" s="387">
        <v>695101758.38</v>
      </c>
      <c r="AG47" s="343">
        <v>1</v>
      </c>
      <c r="AH47" s="25">
        <f t="shared" si="36"/>
        <v>2.5475308503658024E-2</v>
      </c>
      <c r="AI47" s="25">
        <f t="shared" si="37"/>
        <v>0</v>
      </c>
      <c r="AJ47" s="26">
        <f t="shared" si="44"/>
        <v>4.5115523278637659E-2</v>
      </c>
      <c r="AK47" s="26">
        <f t="shared" si="45"/>
        <v>0</v>
      </c>
      <c r="AL47" s="27">
        <f t="shared" si="46"/>
        <v>0.36276197724138198</v>
      </c>
      <c r="AM47" s="27">
        <f t="shared" si="47"/>
        <v>0</v>
      </c>
      <c r="AN47" s="28">
        <f t="shared" si="48"/>
        <v>3.0618296735405084E-2</v>
      </c>
      <c r="AO47" s="85">
        <f t="shared" si="49"/>
        <v>0</v>
      </c>
      <c r="AP47" s="32"/>
      <c r="AQ47" s="40"/>
      <c r="AR47" s="37"/>
      <c r="AS47" s="31"/>
      <c r="AT47" s="31"/>
    </row>
    <row r="48" spans="1:47" s="102" customFormat="1">
      <c r="A48" s="217" t="s">
        <v>169</v>
      </c>
      <c r="B48" s="387">
        <v>1550014279.76</v>
      </c>
      <c r="C48" s="343">
        <v>1</v>
      </c>
      <c r="D48" s="387">
        <v>1593065799.0699999</v>
      </c>
      <c r="E48" s="343">
        <v>1</v>
      </c>
      <c r="F48" s="25">
        <f t="shared" si="22"/>
        <v>2.7774917865057296E-2</v>
      </c>
      <c r="G48" s="25">
        <f t="shared" si="23"/>
        <v>0</v>
      </c>
      <c r="H48" s="387">
        <v>1596965266.4200001</v>
      </c>
      <c r="I48" s="343">
        <v>1</v>
      </c>
      <c r="J48" s="25">
        <f t="shared" si="24"/>
        <v>2.4477754479925277E-3</v>
      </c>
      <c r="K48" s="25">
        <f t="shared" si="25"/>
        <v>0</v>
      </c>
      <c r="L48" s="387">
        <v>1101068549.9400001</v>
      </c>
      <c r="M48" s="343">
        <v>1</v>
      </c>
      <c r="N48" s="25">
        <f t="shared" si="26"/>
        <v>-0.31052442210698633</v>
      </c>
      <c r="O48" s="25">
        <f t="shared" si="27"/>
        <v>0</v>
      </c>
      <c r="P48" s="387">
        <v>1104049038.9100001</v>
      </c>
      <c r="Q48" s="343">
        <v>1</v>
      </c>
      <c r="R48" s="25">
        <f t="shared" si="28"/>
        <v>2.7069059144069121E-3</v>
      </c>
      <c r="S48" s="25">
        <f t="shared" si="29"/>
        <v>0</v>
      </c>
      <c r="T48" s="387">
        <v>1090109315.4100001</v>
      </c>
      <c r="U48" s="343">
        <v>1</v>
      </c>
      <c r="V48" s="25">
        <f t="shared" si="30"/>
        <v>-1.2626000303177058E-2</v>
      </c>
      <c r="W48" s="25">
        <f t="shared" si="31"/>
        <v>0</v>
      </c>
      <c r="X48" s="387">
        <v>1112434252.27</v>
      </c>
      <c r="Y48" s="343">
        <v>1</v>
      </c>
      <c r="Z48" s="25">
        <f t="shared" si="32"/>
        <v>2.0479539569481876E-2</v>
      </c>
      <c r="AA48" s="25">
        <f t="shared" si="33"/>
        <v>0</v>
      </c>
      <c r="AB48" s="387">
        <v>941319300.09000003</v>
      </c>
      <c r="AC48" s="343">
        <v>1</v>
      </c>
      <c r="AD48" s="25">
        <f t="shared" si="34"/>
        <v>-0.15382028360851702</v>
      </c>
      <c r="AE48" s="25">
        <f t="shared" si="35"/>
        <v>0</v>
      </c>
      <c r="AF48" s="387">
        <v>942664777.26999998</v>
      </c>
      <c r="AG48" s="343">
        <v>1</v>
      </c>
      <c r="AH48" s="25">
        <f t="shared" si="36"/>
        <v>1.4293525904242117E-3</v>
      </c>
      <c r="AI48" s="25">
        <f t="shared" si="37"/>
        <v>0</v>
      </c>
      <c r="AJ48" s="26">
        <f t="shared" si="44"/>
        <v>-5.2766526828914695E-2</v>
      </c>
      <c r="AK48" s="26">
        <f t="shared" si="45"/>
        <v>0</v>
      </c>
      <c r="AL48" s="27">
        <f t="shared" si="46"/>
        <v>-0.40827003013917634</v>
      </c>
      <c r="AM48" s="27">
        <f t="shared" si="47"/>
        <v>0</v>
      </c>
      <c r="AN48" s="28">
        <f t="shared" si="48"/>
        <v>0.11903017686148533</v>
      </c>
      <c r="AO48" s="85">
        <f t="shared" si="49"/>
        <v>0</v>
      </c>
      <c r="AP48" s="32"/>
      <c r="AQ48" s="40"/>
      <c r="AR48" s="37"/>
      <c r="AS48" s="31"/>
      <c r="AT48" s="31"/>
    </row>
    <row r="49" spans="1:48" s="113" customFormat="1">
      <c r="A49" s="217" t="s">
        <v>174</v>
      </c>
      <c r="B49" s="387">
        <v>135247314.12</v>
      </c>
      <c r="C49" s="343">
        <v>1</v>
      </c>
      <c r="D49" s="387">
        <v>135352313.33000001</v>
      </c>
      <c r="E49" s="343">
        <v>1</v>
      </c>
      <c r="F49" s="25">
        <f t="shared" si="22"/>
        <v>7.7634968711353769E-4</v>
      </c>
      <c r="G49" s="25">
        <f t="shared" si="23"/>
        <v>0</v>
      </c>
      <c r="H49" s="387">
        <v>135352313.27000001</v>
      </c>
      <c r="I49" s="343">
        <v>1</v>
      </c>
      <c r="J49" s="25">
        <f t="shared" si="24"/>
        <v>-4.4328760187423523E-10</v>
      </c>
      <c r="K49" s="25">
        <f t="shared" si="25"/>
        <v>0</v>
      </c>
      <c r="L49" s="387">
        <v>136542928.21000001</v>
      </c>
      <c r="M49" s="343">
        <v>1</v>
      </c>
      <c r="N49" s="25">
        <f t="shared" si="26"/>
        <v>8.7964136794985229E-3</v>
      </c>
      <c r="O49" s="25">
        <f t="shared" si="27"/>
        <v>0</v>
      </c>
      <c r="P49" s="387">
        <v>136542928.19999999</v>
      </c>
      <c r="Q49" s="343">
        <v>1</v>
      </c>
      <c r="R49" s="25">
        <f t="shared" si="28"/>
        <v>-7.3237189187853166E-11</v>
      </c>
      <c r="S49" s="25">
        <f t="shared" si="29"/>
        <v>0</v>
      </c>
      <c r="T49" s="387">
        <v>136522928.31999999</v>
      </c>
      <c r="U49" s="343">
        <v>1</v>
      </c>
      <c r="V49" s="25">
        <f t="shared" si="30"/>
        <v>-1.4647320270369911E-4</v>
      </c>
      <c r="W49" s="25">
        <f t="shared" si="31"/>
        <v>0</v>
      </c>
      <c r="X49" s="387">
        <v>136922925.28</v>
      </c>
      <c r="Y49" s="343">
        <v>1</v>
      </c>
      <c r="Z49" s="25">
        <f t="shared" si="32"/>
        <v>2.9298885170587906E-3</v>
      </c>
      <c r="AA49" s="25">
        <f t="shared" si="33"/>
        <v>0</v>
      </c>
      <c r="AB49" s="387">
        <v>137522920.72999999</v>
      </c>
      <c r="AC49" s="343">
        <v>1</v>
      </c>
      <c r="AD49" s="25">
        <f t="shared" si="34"/>
        <v>4.3819940946560245E-3</v>
      </c>
      <c r="AE49" s="25">
        <f t="shared" si="35"/>
        <v>0</v>
      </c>
      <c r="AF49" s="387">
        <v>137411921.59</v>
      </c>
      <c r="AG49" s="343">
        <v>1</v>
      </c>
      <c r="AH49" s="25">
        <f t="shared" si="36"/>
        <v>-8.0713192688738281E-4</v>
      </c>
      <c r="AI49" s="25">
        <f t="shared" si="37"/>
        <v>0</v>
      </c>
      <c r="AJ49" s="26">
        <f t="shared" si="44"/>
        <v>1.9913800415263753E-3</v>
      </c>
      <c r="AK49" s="26">
        <f t="shared" si="45"/>
        <v>0</v>
      </c>
      <c r="AL49" s="27">
        <f t="shared" si="46"/>
        <v>1.5216646168274176E-2</v>
      </c>
      <c r="AM49" s="27">
        <f t="shared" si="47"/>
        <v>0</v>
      </c>
      <c r="AN49" s="28">
        <f t="shared" si="48"/>
        <v>3.2670189997641131E-3</v>
      </c>
      <c r="AO49" s="85">
        <f t="shared" si="49"/>
        <v>0</v>
      </c>
      <c r="AP49" s="32"/>
      <c r="AQ49" s="40"/>
      <c r="AR49" s="37"/>
      <c r="AS49" s="31"/>
      <c r="AT49" s="31"/>
    </row>
    <row r="50" spans="1:48" s="113" customFormat="1">
      <c r="A50" s="217" t="s">
        <v>185</v>
      </c>
      <c r="B50" s="387">
        <v>1014735947.8</v>
      </c>
      <c r="C50" s="343">
        <v>1</v>
      </c>
      <c r="D50" s="387">
        <v>1025854810.76</v>
      </c>
      <c r="E50" s="343">
        <v>1</v>
      </c>
      <c r="F50" s="25">
        <f t="shared" si="22"/>
        <v>1.0957395354038958E-2</v>
      </c>
      <c r="G50" s="25">
        <f t="shared" si="23"/>
        <v>0</v>
      </c>
      <c r="H50" s="387">
        <v>1024436433.03</v>
      </c>
      <c r="I50" s="343">
        <v>1</v>
      </c>
      <c r="J50" s="25">
        <f t="shared" si="24"/>
        <v>-1.3826300906550511E-3</v>
      </c>
      <c r="K50" s="25">
        <f t="shared" si="25"/>
        <v>0</v>
      </c>
      <c r="L50" s="387">
        <v>1023287009.5599999</v>
      </c>
      <c r="M50" s="343">
        <v>1</v>
      </c>
      <c r="N50" s="25">
        <f t="shared" si="26"/>
        <v>-1.1220056539773303E-3</v>
      </c>
      <c r="O50" s="25">
        <f t="shared" si="27"/>
        <v>0</v>
      </c>
      <c r="P50" s="387">
        <v>1017047036.59</v>
      </c>
      <c r="Q50" s="343">
        <v>1</v>
      </c>
      <c r="R50" s="25">
        <f t="shared" si="28"/>
        <v>-6.0979694960488322E-3</v>
      </c>
      <c r="S50" s="25">
        <f t="shared" si="29"/>
        <v>0</v>
      </c>
      <c r="T50" s="387">
        <v>1025200015.99</v>
      </c>
      <c r="U50" s="343">
        <v>1</v>
      </c>
      <c r="V50" s="25">
        <f t="shared" si="30"/>
        <v>8.0163248175184141E-3</v>
      </c>
      <c r="W50" s="25">
        <f t="shared" si="31"/>
        <v>0</v>
      </c>
      <c r="X50" s="387">
        <v>1031879897.52</v>
      </c>
      <c r="Y50" s="343">
        <v>1</v>
      </c>
      <c r="Z50" s="25">
        <f t="shared" si="32"/>
        <v>6.5156861352069356E-3</v>
      </c>
      <c r="AA50" s="25">
        <f t="shared" si="33"/>
        <v>0</v>
      </c>
      <c r="AB50" s="387">
        <v>1037042805.53</v>
      </c>
      <c r="AC50" s="343">
        <v>1</v>
      </c>
      <c r="AD50" s="25">
        <f t="shared" si="34"/>
        <v>5.003400126708954E-3</v>
      </c>
      <c r="AE50" s="25">
        <f t="shared" si="35"/>
        <v>0</v>
      </c>
      <c r="AF50" s="387">
        <v>1084925020.8199999</v>
      </c>
      <c r="AG50" s="343">
        <v>1</v>
      </c>
      <c r="AH50" s="25">
        <f t="shared" si="36"/>
        <v>4.6171879342558932E-2</v>
      </c>
      <c r="AI50" s="25">
        <f t="shared" si="37"/>
        <v>0</v>
      </c>
      <c r="AJ50" s="26">
        <f t="shared" si="44"/>
        <v>8.5077600669188728E-3</v>
      </c>
      <c r="AK50" s="26">
        <f t="shared" si="45"/>
        <v>0</v>
      </c>
      <c r="AL50" s="27">
        <f t="shared" si="46"/>
        <v>5.7581452502267878E-2</v>
      </c>
      <c r="AM50" s="27">
        <f t="shared" si="47"/>
        <v>0</v>
      </c>
      <c r="AN50" s="28">
        <f t="shared" si="48"/>
        <v>1.6234691870756209E-2</v>
      </c>
      <c r="AO50" s="85">
        <f t="shared" si="49"/>
        <v>0</v>
      </c>
      <c r="AP50" s="32"/>
      <c r="AQ50" s="40"/>
      <c r="AR50" s="37"/>
      <c r="AS50" s="31"/>
      <c r="AT50" s="31"/>
    </row>
    <row r="51" spans="1:48" s="119" customFormat="1">
      <c r="A51" s="217" t="s">
        <v>195</v>
      </c>
      <c r="B51" s="387">
        <v>36236308.729999997</v>
      </c>
      <c r="C51" s="343">
        <v>100</v>
      </c>
      <c r="D51" s="387">
        <v>36923152.729999997</v>
      </c>
      <c r="E51" s="343">
        <v>100</v>
      </c>
      <c r="F51" s="25">
        <f t="shared" si="22"/>
        <v>1.8954579648764354E-2</v>
      </c>
      <c r="G51" s="25">
        <f t="shared" si="23"/>
        <v>0</v>
      </c>
      <c r="H51" s="387">
        <v>36923152.729999997</v>
      </c>
      <c r="I51" s="343">
        <v>100</v>
      </c>
      <c r="J51" s="25">
        <f t="shared" si="24"/>
        <v>0</v>
      </c>
      <c r="K51" s="25">
        <f t="shared" si="25"/>
        <v>0</v>
      </c>
      <c r="L51" s="387">
        <v>36923152.729999997</v>
      </c>
      <c r="M51" s="343">
        <v>100</v>
      </c>
      <c r="N51" s="25">
        <f t="shared" si="26"/>
        <v>0</v>
      </c>
      <c r="O51" s="25">
        <f t="shared" si="27"/>
        <v>0</v>
      </c>
      <c r="P51" s="387">
        <v>36923152.729999997</v>
      </c>
      <c r="Q51" s="343">
        <v>100</v>
      </c>
      <c r="R51" s="25">
        <f t="shared" si="28"/>
        <v>0</v>
      </c>
      <c r="S51" s="25">
        <f t="shared" si="29"/>
        <v>0</v>
      </c>
      <c r="T51" s="387">
        <v>36923152.729999997</v>
      </c>
      <c r="U51" s="343">
        <v>100</v>
      </c>
      <c r="V51" s="25">
        <f t="shared" si="30"/>
        <v>0</v>
      </c>
      <c r="W51" s="25">
        <f t="shared" si="31"/>
        <v>0</v>
      </c>
      <c r="X51" s="387">
        <v>38546362.039286934</v>
      </c>
      <c r="Y51" s="343">
        <v>100</v>
      </c>
      <c r="Z51" s="25">
        <f t="shared" si="32"/>
        <v>4.3961828534974545E-2</v>
      </c>
      <c r="AA51" s="25">
        <f t="shared" si="33"/>
        <v>0</v>
      </c>
      <c r="AB51" s="387">
        <v>38546362.039286934</v>
      </c>
      <c r="AC51" s="343">
        <v>100</v>
      </c>
      <c r="AD51" s="25">
        <f t="shared" si="34"/>
        <v>0</v>
      </c>
      <c r="AE51" s="25">
        <f t="shared" si="35"/>
        <v>0</v>
      </c>
      <c r="AF51" s="387">
        <v>36923152.729999997</v>
      </c>
      <c r="AG51" s="343">
        <v>100</v>
      </c>
      <c r="AH51" s="25">
        <f t="shared" si="36"/>
        <v>-4.2110570840188287E-2</v>
      </c>
      <c r="AI51" s="25">
        <f t="shared" si="37"/>
        <v>0</v>
      </c>
      <c r="AJ51" s="26">
        <f t="shared" si="44"/>
        <v>2.6007296679438257E-3</v>
      </c>
      <c r="AK51" s="26">
        <f t="shared" si="45"/>
        <v>0</v>
      </c>
      <c r="AL51" s="27">
        <f t="shared" si="46"/>
        <v>0</v>
      </c>
      <c r="AM51" s="27">
        <f t="shared" si="47"/>
        <v>0</v>
      </c>
      <c r="AN51" s="28">
        <f t="shared" si="48"/>
        <v>2.3937741497000637E-2</v>
      </c>
      <c r="AO51" s="85">
        <f t="shared" si="49"/>
        <v>0</v>
      </c>
      <c r="AP51" s="32"/>
      <c r="AQ51" s="40"/>
      <c r="AR51" s="37"/>
      <c r="AS51" s="31"/>
      <c r="AT51" s="31"/>
    </row>
    <row r="52" spans="1:48">
      <c r="A52" s="217" t="s">
        <v>204</v>
      </c>
      <c r="B52" s="387">
        <v>2379059134.7900004</v>
      </c>
      <c r="C52" s="343">
        <v>100</v>
      </c>
      <c r="D52" s="387">
        <v>2615683146.5699997</v>
      </c>
      <c r="E52" s="343">
        <v>100</v>
      </c>
      <c r="F52" s="25">
        <f t="shared" si="22"/>
        <v>9.9461172830782138E-2</v>
      </c>
      <c r="G52" s="25">
        <f t="shared" si="23"/>
        <v>0</v>
      </c>
      <c r="H52" s="387">
        <v>2687777877.7799997</v>
      </c>
      <c r="I52" s="343">
        <v>100</v>
      </c>
      <c r="J52" s="25">
        <f t="shared" si="24"/>
        <v>2.75624864213922E-2</v>
      </c>
      <c r="K52" s="25">
        <f t="shared" si="25"/>
        <v>0</v>
      </c>
      <c r="L52" s="387">
        <v>2743322843.6199994</v>
      </c>
      <c r="M52" s="343">
        <v>100</v>
      </c>
      <c r="N52" s="25">
        <f t="shared" si="26"/>
        <v>2.0665757501463499E-2</v>
      </c>
      <c r="O52" s="25">
        <f t="shared" si="27"/>
        <v>0</v>
      </c>
      <c r="P52" s="387">
        <v>2835783650.5099998</v>
      </c>
      <c r="Q52" s="343">
        <v>100</v>
      </c>
      <c r="R52" s="25">
        <f t="shared" si="28"/>
        <v>3.3703946695530763E-2</v>
      </c>
      <c r="S52" s="25">
        <f t="shared" si="29"/>
        <v>0</v>
      </c>
      <c r="T52" s="387">
        <v>2784419355.7399998</v>
      </c>
      <c r="U52" s="343">
        <v>100</v>
      </c>
      <c r="V52" s="25">
        <f t="shared" si="30"/>
        <v>-1.8112910257015693E-2</v>
      </c>
      <c r="W52" s="25">
        <f t="shared" si="31"/>
        <v>0</v>
      </c>
      <c r="X52" s="387">
        <v>2893650266.5900002</v>
      </c>
      <c r="Y52" s="343">
        <v>100</v>
      </c>
      <c r="Z52" s="25">
        <f t="shared" si="32"/>
        <v>3.9229331826337158E-2</v>
      </c>
      <c r="AA52" s="25">
        <f t="shared" si="33"/>
        <v>0</v>
      </c>
      <c r="AB52" s="387">
        <v>2979051482.6799998</v>
      </c>
      <c r="AC52" s="343">
        <v>100</v>
      </c>
      <c r="AD52" s="25">
        <f t="shared" si="34"/>
        <v>2.9513316476437935E-2</v>
      </c>
      <c r="AE52" s="25">
        <f t="shared" si="35"/>
        <v>0</v>
      </c>
      <c r="AF52" s="387">
        <v>2999562470.8000002</v>
      </c>
      <c r="AG52" s="343">
        <v>100</v>
      </c>
      <c r="AH52" s="25">
        <f t="shared" si="36"/>
        <v>6.8850733997884344E-3</v>
      </c>
      <c r="AI52" s="25">
        <f t="shared" si="37"/>
        <v>0</v>
      </c>
      <c r="AJ52" s="26">
        <f t="shared" si="44"/>
        <v>2.9863521861839552E-2</v>
      </c>
      <c r="AK52" s="26">
        <f t="shared" si="45"/>
        <v>0</v>
      </c>
      <c r="AL52" s="27">
        <f t="shared" si="46"/>
        <v>0.14676063678943282</v>
      </c>
      <c r="AM52" s="27">
        <f t="shared" si="47"/>
        <v>0</v>
      </c>
      <c r="AN52" s="28">
        <f t="shared" si="48"/>
        <v>3.3521983595644254E-2</v>
      </c>
      <c r="AO52" s="85">
        <f t="shared" si="49"/>
        <v>0</v>
      </c>
      <c r="AP52" s="32"/>
      <c r="AQ52" s="41">
        <v>2266908745.4000001</v>
      </c>
      <c r="AR52" s="37">
        <v>1</v>
      </c>
      <c r="AS52" s="31" t="e">
        <f>(#REF!/AQ52)-1</f>
        <v>#REF!</v>
      </c>
      <c r="AT52" s="31" t="e">
        <f>(#REF!/AR52)-1</f>
        <v>#REF!</v>
      </c>
    </row>
    <row r="53" spans="1:48">
      <c r="A53" s="219" t="s">
        <v>46</v>
      </c>
      <c r="B53" s="82">
        <f>SUM(B24:B52)</f>
        <v>590991900611.65771</v>
      </c>
      <c r="C53" s="94"/>
      <c r="D53" s="82">
        <f>SUM(D24:D52)</f>
        <v>599441283293.77356</v>
      </c>
      <c r="E53" s="94"/>
      <c r="F53" s="25">
        <f>((D53-B53)/B53)</f>
        <v>1.4296951740575469E-2</v>
      </c>
      <c r="G53" s="25"/>
      <c r="H53" s="82">
        <f>SUM(H24:H52)</f>
        <v>614697197461.63013</v>
      </c>
      <c r="I53" s="94"/>
      <c r="J53" s="25">
        <f>((H53-D53)/D53)</f>
        <v>2.545022272077975E-2</v>
      </c>
      <c r="K53" s="25"/>
      <c r="L53" s="82">
        <f>SUM(L24:L52)</f>
        <v>638005833111.39978</v>
      </c>
      <c r="M53" s="94"/>
      <c r="N53" s="25">
        <f>((L53-H53)/H53)</f>
        <v>3.7918890383788671E-2</v>
      </c>
      <c r="O53" s="25"/>
      <c r="P53" s="82">
        <f>SUM(P24:P52)</f>
        <v>652456174435.47937</v>
      </c>
      <c r="Q53" s="94"/>
      <c r="R53" s="25">
        <f>((P53-L53)/L53)</f>
        <v>2.2649230734472722E-2</v>
      </c>
      <c r="S53" s="25"/>
      <c r="T53" s="82">
        <f>SUM(T24:T52)</f>
        <v>668991989528.35986</v>
      </c>
      <c r="U53" s="94"/>
      <c r="V53" s="25">
        <f>((T53-P53)/P53)</f>
        <v>2.5343947594928768E-2</v>
      </c>
      <c r="W53" s="25"/>
      <c r="X53" s="82">
        <f>SUM(X24:X52)</f>
        <v>689393093044.69934</v>
      </c>
      <c r="Y53" s="94"/>
      <c r="Z53" s="25">
        <f>((X53-T53)/T53)</f>
        <v>3.049528818831191E-2</v>
      </c>
      <c r="AA53" s="25"/>
      <c r="AB53" s="82">
        <f>SUM(AB24:AB52)</f>
        <v>708387215249.38928</v>
      </c>
      <c r="AC53" s="94"/>
      <c r="AD53" s="25">
        <f>((AB53-X53)/X53)</f>
        <v>2.7551947352420583E-2</v>
      </c>
      <c r="AE53" s="25"/>
      <c r="AF53" s="82">
        <f>SUM(AF24:AF52)</f>
        <v>734404198247.47839</v>
      </c>
      <c r="AG53" s="94"/>
      <c r="AH53" s="25">
        <f>((AF53-AB53)/AB53)</f>
        <v>3.6727064574322919E-2</v>
      </c>
      <c r="AI53" s="25"/>
      <c r="AJ53" s="26">
        <f t="shared" si="44"/>
        <v>2.75541929112001E-2</v>
      </c>
      <c r="AK53" s="26"/>
      <c r="AL53" s="27">
        <f t="shared" si="46"/>
        <v>0.22514784802961652</v>
      </c>
      <c r="AM53" s="27"/>
      <c r="AN53" s="28">
        <f t="shared" si="48"/>
        <v>7.6470680380456664E-3</v>
      </c>
      <c r="AO53" s="85"/>
      <c r="AP53" s="32"/>
      <c r="AQ53" s="45">
        <f>SUM(AQ24:AQ52)</f>
        <v>132930613532.55411</v>
      </c>
      <c r="AR53" s="46"/>
      <c r="AS53" s="31" t="e">
        <f>(#REF!/AQ53)-1</f>
        <v>#REF!</v>
      </c>
      <c r="AT53" s="31" t="e">
        <f>(#REF!/AR53)-1</f>
        <v>#REF!</v>
      </c>
    </row>
    <row r="54" spans="1:48" s="119" customFormat="1" ht="8.25" customHeight="1">
      <c r="A54" s="219"/>
      <c r="B54" s="94"/>
      <c r="C54" s="94"/>
      <c r="D54" s="94"/>
      <c r="E54" s="94"/>
      <c r="F54" s="25"/>
      <c r="G54" s="25"/>
      <c r="H54" s="94"/>
      <c r="I54" s="94"/>
      <c r="J54" s="25"/>
      <c r="K54" s="25"/>
      <c r="L54" s="94"/>
      <c r="M54" s="94"/>
      <c r="N54" s="25"/>
      <c r="O54" s="25"/>
      <c r="P54" s="94"/>
      <c r="Q54" s="94"/>
      <c r="R54" s="25"/>
      <c r="S54" s="25"/>
      <c r="T54" s="94"/>
      <c r="U54" s="94"/>
      <c r="V54" s="25"/>
      <c r="W54" s="25"/>
      <c r="X54" s="94"/>
      <c r="Y54" s="94"/>
      <c r="Z54" s="25"/>
      <c r="AA54" s="25"/>
      <c r="AB54" s="94"/>
      <c r="AC54" s="94"/>
      <c r="AD54" s="25"/>
      <c r="AE54" s="25"/>
      <c r="AF54" s="94"/>
      <c r="AG54" s="94"/>
      <c r="AH54" s="25"/>
      <c r="AI54" s="25"/>
      <c r="AJ54" s="26"/>
      <c r="AK54" s="26"/>
      <c r="AL54" s="27"/>
      <c r="AM54" s="27"/>
      <c r="AN54" s="28"/>
      <c r="AO54" s="85"/>
      <c r="AP54" s="32"/>
      <c r="AQ54" s="45"/>
      <c r="AR54" s="46"/>
      <c r="AS54" s="31"/>
      <c r="AT54" s="31"/>
    </row>
    <row r="55" spans="1:48">
      <c r="A55" s="220" t="s">
        <v>209</v>
      </c>
      <c r="B55" s="94"/>
      <c r="C55" s="94"/>
      <c r="D55" s="94"/>
      <c r="E55" s="94"/>
      <c r="F55" s="25"/>
      <c r="G55" s="25"/>
      <c r="H55" s="94"/>
      <c r="I55" s="94"/>
      <c r="J55" s="25"/>
      <c r="K55" s="25"/>
      <c r="L55" s="94"/>
      <c r="M55" s="94"/>
      <c r="N55" s="25"/>
      <c r="O55" s="25"/>
      <c r="P55" s="94"/>
      <c r="Q55" s="94"/>
      <c r="R55" s="25"/>
      <c r="S55" s="25"/>
      <c r="T55" s="94"/>
      <c r="U55" s="94"/>
      <c r="V55" s="25"/>
      <c r="W55" s="25"/>
      <c r="X55" s="94"/>
      <c r="Y55" s="94"/>
      <c r="Z55" s="25"/>
      <c r="AA55" s="25"/>
      <c r="AB55" s="94"/>
      <c r="AC55" s="94"/>
      <c r="AD55" s="25"/>
      <c r="AE55" s="25"/>
      <c r="AF55" s="94"/>
      <c r="AG55" s="94"/>
      <c r="AH55" s="25"/>
      <c r="AI55" s="25"/>
      <c r="AJ55" s="26"/>
      <c r="AK55" s="26"/>
      <c r="AL55" s="27"/>
      <c r="AM55" s="27"/>
      <c r="AN55" s="28"/>
      <c r="AO55" s="85"/>
      <c r="AP55" s="32"/>
      <c r="AQ55" s="42"/>
      <c r="AR55" s="15"/>
      <c r="AS55" s="31" t="e">
        <f>(#REF!/AQ55)-1</f>
        <v>#REF!</v>
      </c>
      <c r="AT55" s="31" t="e">
        <f>(#REF!/AR55)-1</f>
        <v>#REF!</v>
      </c>
    </row>
    <row r="56" spans="1:48">
      <c r="A56" s="217" t="s">
        <v>20</v>
      </c>
      <c r="B56" s="393">
        <v>47700981350.269997</v>
      </c>
      <c r="C56" s="394">
        <v>244.55</v>
      </c>
      <c r="D56" s="393">
        <v>47161071001.010002</v>
      </c>
      <c r="E56" s="394">
        <v>244.74</v>
      </c>
      <c r="F56" s="25">
        <f t="shared" ref="F56:F84" si="50">((D56-B56)/B56)</f>
        <v>-1.1318642383799479E-2</v>
      </c>
      <c r="G56" s="25">
        <f t="shared" ref="G56:G84" si="51">((E56-C56)/C56)</f>
        <v>7.7693723164995996E-4</v>
      </c>
      <c r="H56" s="393">
        <v>46741526404.959999</v>
      </c>
      <c r="I56" s="394">
        <v>245.03</v>
      </c>
      <c r="J56" s="25">
        <f t="shared" ref="J56:J84" si="52">((H56-D56)/D56)</f>
        <v>-8.8959938174647916E-3</v>
      </c>
      <c r="K56" s="25">
        <f t="shared" ref="K56:K85" si="53">((I56-E56)/E56)</f>
        <v>1.1849309471275314E-3</v>
      </c>
      <c r="L56" s="393">
        <v>46712395049.68</v>
      </c>
      <c r="M56" s="394">
        <v>245.23</v>
      </c>
      <c r="N56" s="25">
        <f t="shared" ref="N56:N84" si="54">((L56-H56)/H56)</f>
        <v>-6.2324355921991224E-4</v>
      </c>
      <c r="O56" s="25">
        <f t="shared" ref="O56:O85" si="55">((M56-I56)/I56)</f>
        <v>8.1622658449981072E-4</v>
      </c>
      <c r="P56" s="393">
        <v>46507399602.230003</v>
      </c>
      <c r="Q56" s="394">
        <v>245.4</v>
      </c>
      <c r="R56" s="25">
        <f t="shared" ref="R56:R84" si="56">((P56-L56)/L56)</f>
        <v>-4.3884593635581792E-3</v>
      </c>
      <c r="S56" s="25">
        <f t="shared" ref="S56:S85" si="57">((Q56-M56)/M56)</f>
        <v>6.9322676670886894E-4</v>
      </c>
      <c r="T56" s="393">
        <v>45767085554.709999</v>
      </c>
      <c r="U56" s="394">
        <v>245.58</v>
      </c>
      <c r="V56" s="25">
        <f t="shared" ref="V56:V84" si="58">((T56-P56)/P56)</f>
        <v>-1.5918199122113605E-2</v>
      </c>
      <c r="W56" s="25">
        <f t="shared" ref="W56:W85" si="59">((U56-Q56)/Q56)</f>
        <v>7.334963325183652E-4</v>
      </c>
      <c r="X56" s="393">
        <v>45266681411.410004</v>
      </c>
      <c r="Y56" s="394">
        <v>245.82</v>
      </c>
      <c r="Z56" s="25">
        <f t="shared" ref="Z56:Z84" si="60">((X56-T56)/T56)</f>
        <v>-1.0933712235222232E-2</v>
      </c>
      <c r="AA56" s="25">
        <f t="shared" ref="AA56:AA85" si="61">((Y56-U56)/U56)</f>
        <v>9.7727827999014851E-4</v>
      </c>
      <c r="AB56" s="393">
        <v>45134879962.370003</v>
      </c>
      <c r="AC56" s="394">
        <v>245.96</v>
      </c>
      <c r="AD56" s="25">
        <f t="shared" ref="AD56:AD84" si="62">((AB56-X56)/X56)</f>
        <v>-2.9116658197695668E-3</v>
      </c>
      <c r="AE56" s="25">
        <f t="shared" ref="AE56:AE85" si="63">((AC56-Y56)/Y56)</f>
        <v>5.6952241477509875E-4</v>
      </c>
      <c r="AF56" s="393">
        <v>44924763261.139999</v>
      </c>
      <c r="AG56" s="394">
        <v>246.1</v>
      </c>
      <c r="AH56" s="25">
        <f t="shared" ref="AH56:AH84" si="64">((AF56-AB56)/AB56)</f>
        <v>-4.6553065257996153E-3</v>
      </c>
      <c r="AI56" s="25">
        <f t="shared" ref="AI56:AI85" si="65">((AG56-AC56)/AC56)</f>
        <v>5.6919824361679279E-4</v>
      </c>
      <c r="AJ56" s="26">
        <f t="shared" ref="AJ54:AJ117" si="66">AVERAGE(F56,J56,N56,R56,V56,Z56,AD56,AH56)</f>
        <v>-7.455652853368422E-3</v>
      </c>
      <c r="AK56" s="26">
        <f t="shared" ref="AK54:AK117" si="67">AVERAGE(G56,K56,O56,S56,W56,AA56,AE56,AI56)</f>
        <v>7.9010210011082208E-4</v>
      </c>
      <c r="AL56" s="27">
        <f t="shared" ref="AL54:AL117" si="68">((AF56-D56)/D56)</f>
        <v>-4.7418510487645837E-2</v>
      </c>
      <c r="AM56" s="27">
        <f t="shared" ref="AM54:AM117" si="69">((AG56-E56)/E56)</f>
        <v>5.5569175451498946E-3</v>
      </c>
      <c r="AN56" s="28">
        <f t="shared" ref="AN54:AN117" si="70">STDEV(F56,J56,N56,R56,V56,Z56,AD56,AH56)</f>
        <v>5.1448741064976829E-3</v>
      </c>
      <c r="AO56" s="85">
        <f t="shared" ref="AO54:AO117" si="71">STDEV(G56,K56,O56,S56,W56,AA56,AE56,AI56)</f>
        <v>2.0764788112164322E-4</v>
      </c>
      <c r="AP56" s="32"/>
      <c r="AQ56" s="30">
        <v>1092437778.4100001</v>
      </c>
      <c r="AR56" s="34">
        <v>143.21</v>
      </c>
      <c r="AS56" s="31" t="e">
        <f>(#REF!/AQ56)-1</f>
        <v>#REF!</v>
      </c>
      <c r="AT56" s="31" t="e">
        <f>(#REF!/AR56)-1</f>
        <v>#REF!</v>
      </c>
    </row>
    <row r="57" spans="1:48">
      <c r="A57" s="217" t="s">
        <v>21</v>
      </c>
      <c r="B57" s="393">
        <v>1426222522.1600001</v>
      </c>
      <c r="C57" s="394">
        <v>321.87270000000001</v>
      </c>
      <c r="D57" s="393">
        <v>1429327958.95</v>
      </c>
      <c r="E57" s="394">
        <v>322.5736</v>
      </c>
      <c r="F57" s="25">
        <f t="shared" si="50"/>
        <v>2.177385885967365E-3</v>
      </c>
      <c r="G57" s="25">
        <f t="shared" si="51"/>
        <v>2.1775689581626217E-3</v>
      </c>
      <c r="H57" s="393">
        <v>1432432714.52</v>
      </c>
      <c r="I57" s="394">
        <v>323.27420000000001</v>
      </c>
      <c r="J57" s="25">
        <f t="shared" si="52"/>
        <v>2.1721785756438437E-3</v>
      </c>
      <c r="K57" s="25">
        <f t="shared" si="53"/>
        <v>2.1719074344583949E-3</v>
      </c>
      <c r="L57" s="393">
        <v>1455535528.6600001</v>
      </c>
      <c r="M57" s="394">
        <v>323.96870000000001</v>
      </c>
      <c r="N57" s="25">
        <f t="shared" si="54"/>
        <v>1.6128376506495613E-2</v>
      </c>
      <c r="O57" s="25">
        <f t="shared" si="55"/>
        <v>2.1483310452860296E-3</v>
      </c>
      <c r="P57" s="393">
        <v>1458634593.3399999</v>
      </c>
      <c r="Q57" s="394">
        <v>324.6585</v>
      </c>
      <c r="R57" s="25">
        <f t="shared" si="56"/>
        <v>2.1291577010510349E-3</v>
      </c>
      <c r="S57" s="25">
        <f t="shared" si="57"/>
        <v>2.1292180386561759E-3</v>
      </c>
      <c r="T57" s="393">
        <v>1441464715.8299999</v>
      </c>
      <c r="U57" s="394">
        <v>325.31259999999997</v>
      </c>
      <c r="V57" s="25">
        <f t="shared" si="58"/>
        <v>-1.1771198618486202E-2</v>
      </c>
      <c r="W57" s="25">
        <f t="shared" si="59"/>
        <v>2.0147324034330573E-3</v>
      </c>
      <c r="X57" s="393">
        <v>1442895699.1199999</v>
      </c>
      <c r="Y57" s="394">
        <v>311.63119999999998</v>
      </c>
      <c r="Z57" s="25">
        <f t="shared" si="60"/>
        <v>9.9272862823839383E-4</v>
      </c>
      <c r="AA57" s="25">
        <f t="shared" si="61"/>
        <v>-4.2056163825194587E-2</v>
      </c>
      <c r="AB57" s="393">
        <v>1448176779.3299999</v>
      </c>
      <c r="AC57" s="394">
        <v>312.77179999999998</v>
      </c>
      <c r="AD57" s="25">
        <f t="shared" si="62"/>
        <v>3.6600567963581071E-3</v>
      </c>
      <c r="AE57" s="25">
        <f t="shared" si="63"/>
        <v>3.6600956515265683E-3</v>
      </c>
      <c r="AF57" s="393">
        <v>1469837436.77</v>
      </c>
      <c r="AG57" s="394">
        <v>317.47230000000002</v>
      </c>
      <c r="AH57" s="25">
        <f t="shared" si="64"/>
        <v>1.4957191517751982E-2</v>
      </c>
      <c r="AI57" s="25">
        <f t="shared" si="65"/>
        <v>1.5028528786802499E-2</v>
      </c>
      <c r="AJ57" s="26">
        <f t="shared" si="66"/>
        <v>3.8057346241275173E-3</v>
      </c>
      <c r="AK57" s="26">
        <f t="shared" si="67"/>
        <v>-1.5907226883586552E-3</v>
      </c>
      <c r="AL57" s="27">
        <f t="shared" si="68"/>
        <v>2.8341625563498136E-2</v>
      </c>
      <c r="AM57" s="27">
        <f t="shared" si="69"/>
        <v>-1.5814375385958368E-2</v>
      </c>
      <c r="AN57" s="28">
        <f t="shared" si="70"/>
        <v>8.7415959884280612E-3</v>
      </c>
      <c r="AO57" s="85">
        <f t="shared" si="71"/>
        <v>1.694696658427924E-2</v>
      </c>
      <c r="AP57" s="32"/>
      <c r="AQ57" s="33">
        <v>1186217562.8099999</v>
      </c>
      <c r="AR57" s="37">
        <v>212.98</v>
      </c>
      <c r="AS57" s="31" t="e">
        <f>(#REF!/AQ57)-1</f>
        <v>#REF!</v>
      </c>
      <c r="AT57" s="31" t="e">
        <f>(#REF!/AR57)-1</f>
        <v>#REF!</v>
      </c>
      <c r="AU57" s="92"/>
      <c r="AV57" s="92"/>
    </row>
    <row r="58" spans="1:48">
      <c r="A58" s="217" t="s">
        <v>230</v>
      </c>
      <c r="B58" s="393">
        <v>60279027430.220001</v>
      </c>
      <c r="C58" s="393">
        <v>1462.37</v>
      </c>
      <c r="D58" s="393">
        <v>62369822864.970001</v>
      </c>
      <c r="E58" s="393">
        <v>1464.97</v>
      </c>
      <c r="F58" s="25">
        <f t="shared" si="50"/>
        <v>3.4685288132266887E-2</v>
      </c>
      <c r="G58" s="25">
        <f t="shared" si="51"/>
        <v>1.7779358165171172E-3</v>
      </c>
      <c r="H58" s="393">
        <v>62909816646.620003</v>
      </c>
      <c r="I58" s="393">
        <v>1468.16</v>
      </c>
      <c r="J58" s="25">
        <f t="shared" si="52"/>
        <v>8.6579335461491099E-3</v>
      </c>
      <c r="K58" s="25">
        <f t="shared" si="53"/>
        <v>2.1775189935630455E-3</v>
      </c>
      <c r="L58" s="393">
        <v>62909816646.620003</v>
      </c>
      <c r="M58" s="393">
        <v>1468.16</v>
      </c>
      <c r="N58" s="25">
        <f t="shared" si="54"/>
        <v>0</v>
      </c>
      <c r="O58" s="25">
        <f t="shared" si="55"/>
        <v>0</v>
      </c>
      <c r="P58" s="393">
        <v>64474642694.279999</v>
      </c>
      <c r="Q58" s="393">
        <v>1474.96</v>
      </c>
      <c r="R58" s="25">
        <f t="shared" si="56"/>
        <v>2.4874115536689782E-2</v>
      </c>
      <c r="S58" s="25">
        <f t="shared" si="57"/>
        <v>4.6316477768090355E-3</v>
      </c>
      <c r="T58" s="393">
        <v>64835795122.18</v>
      </c>
      <c r="U58" s="393">
        <v>1479.54</v>
      </c>
      <c r="V58" s="25">
        <f t="shared" si="58"/>
        <v>5.6014645883728474E-3</v>
      </c>
      <c r="W58" s="25">
        <f t="shared" si="59"/>
        <v>3.1051689537342892E-3</v>
      </c>
      <c r="X58" s="393">
        <v>65901740998.370003</v>
      </c>
      <c r="Y58" s="393">
        <v>1483.71</v>
      </c>
      <c r="Z58" s="25">
        <f t="shared" si="60"/>
        <v>1.6440700298057234E-2</v>
      </c>
      <c r="AA58" s="25">
        <f t="shared" si="61"/>
        <v>2.818443570298926E-3</v>
      </c>
      <c r="AB58" s="393">
        <v>65781795758.760002</v>
      </c>
      <c r="AC58" s="393">
        <v>1487.3</v>
      </c>
      <c r="AD58" s="25">
        <f t="shared" si="62"/>
        <v>-1.8200617736785938E-3</v>
      </c>
      <c r="AE58" s="25">
        <f t="shared" si="63"/>
        <v>2.4196103012043579E-3</v>
      </c>
      <c r="AF58" s="393">
        <v>66073147157.080002</v>
      </c>
      <c r="AG58" s="393">
        <v>1490.89</v>
      </c>
      <c r="AH58" s="25">
        <f t="shared" si="64"/>
        <v>4.4290581453334853E-3</v>
      </c>
      <c r="AI58" s="25">
        <f t="shared" si="65"/>
        <v>2.4137699186446214E-3</v>
      </c>
      <c r="AJ58" s="26">
        <f t="shared" si="66"/>
        <v>1.1608562309148845E-2</v>
      </c>
      <c r="AK58" s="26">
        <f t="shared" si="67"/>
        <v>2.4180119163464244E-3</v>
      </c>
      <c r="AL58" s="27">
        <f t="shared" si="68"/>
        <v>5.9376860827834291E-2</v>
      </c>
      <c r="AM58" s="27">
        <f t="shared" si="69"/>
        <v>1.7693195082493205E-2</v>
      </c>
      <c r="AN58" s="28">
        <f t="shared" si="70"/>
        <v>1.2779912315245001E-2</v>
      </c>
      <c r="AO58" s="85">
        <f t="shared" si="71"/>
        <v>1.3009365012887778E-3</v>
      </c>
      <c r="AP58" s="32"/>
      <c r="AQ58" s="33">
        <v>4662655514.79</v>
      </c>
      <c r="AR58" s="37">
        <v>1067.58</v>
      </c>
      <c r="AS58" s="31" t="e">
        <f>(#REF!/AQ58)-1</f>
        <v>#REF!</v>
      </c>
      <c r="AT58" s="31" t="e">
        <f>(#REF!/AR58)-1</f>
        <v>#REF!</v>
      </c>
    </row>
    <row r="59" spans="1:48" s="113" customFormat="1">
      <c r="A59" s="217" t="s">
        <v>186</v>
      </c>
      <c r="B59" s="393">
        <v>672170719.53999996</v>
      </c>
      <c r="C59" s="354">
        <v>1.0628</v>
      </c>
      <c r="D59" s="393">
        <v>674057430.72000003</v>
      </c>
      <c r="E59" s="354">
        <v>1.0649</v>
      </c>
      <c r="F59" s="25">
        <f t="shared" si="50"/>
        <v>2.8068928400975836E-3</v>
      </c>
      <c r="G59" s="25">
        <f t="shared" si="51"/>
        <v>1.9759126834775977E-3</v>
      </c>
      <c r="H59" s="393">
        <v>675581246.38</v>
      </c>
      <c r="I59" s="354">
        <v>1.0671999999999999</v>
      </c>
      <c r="J59" s="25">
        <f t="shared" si="52"/>
        <v>2.2606614667422184E-3</v>
      </c>
      <c r="K59" s="25">
        <f t="shared" si="53"/>
        <v>2.1598272138228648E-3</v>
      </c>
      <c r="L59" s="393">
        <v>676263464.47000003</v>
      </c>
      <c r="M59" s="354">
        <v>1.0682</v>
      </c>
      <c r="N59" s="25">
        <f t="shared" si="54"/>
        <v>1.0098239015005166E-3</v>
      </c>
      <c r="O59" s="25">
        <f t="shared" si="55"/>
        <v>9.3703148425797601E-4</v>
      </c>
      <c r="P59" s="393">
        <v>677267967.00999999</v>
      </c>
      <c r="Q59" s="354">
        <v>1.0703</v>
      </c>
      <c r="R59" s="25">
        <f t="shared" si="56"/>
        <v>1.4853715937282058E-3</v>
      </c>
      <c r="S59" s="25">
        <f t="shared" si="57"/>
        <v>1.9659239842725993E-3</v>
      </c>
      <c r="T59" s="393">
        <v>679357116.98000002</v>
      </c>
      <c r="U59" s="354">
        <v>1.0736000000000001</v>
      </c>
      <c r="V59" s="25">
        <f t="shared" si="58"/>
        <v>3.0846726432717611E-3</v>
      </c>
      <c r="W59" s="25">
        <f t="shared" si="59"/>
        <v>3.0832476875643096E-3</v>
      </c>
      <c r="X59" s="393">
        <v>681006688.22000003</v>
      </c>
      <c r="Y59" s="354">
        <v>1.0757000000000001</v>
      </c>
      <c r="Z59" s="25">
        <f t="shared" si="60"/>
        <v>2.4281356576243422E-3</v>
      </c>
      <c r="AA59" s="25">
        <f t="shared" si="61"/>
        <v>1.9560357675111684E-3</v>
      </c>
      <c r="AB59" s="393">
        <v>682370353.85000002</v>
      </c>
      <c r="AC59" s="354">
        <v>1.0778000000000001</v>
      </c>
      <c r="AD59" s="25">
        <f t="shared" si="62"/>
        <v>2.0024261928532801E-3</v>
      </c>
      <c r="AE59" s="25">
        <f t="shared" si="63"/>
        <v>1.952217160918463E-3</v>
      </c>
      <c r="AF59" s="393">
        <v>683545437.17999995</v>
      </c>
      <c r="AG59" s="354">
        <v>1.0799000000000001</v>
      </c>
      <c r="AH59" s="25">
        <f t="shared" si="64"/>
        <v>1.7220609356341304E-3</v>
      </c>
      <c r="AI59" s="25">
        <f t="shared" si="65"/>
        <v>1.9484134347745321E-3</v>
      </c>
      <c r="AJ59" s="26">
        <f t="shared" si="66"/>
        <v>2.1000056539315047E-3</v>
      </c>
      <c r="AK59" s="26">
        <f t="shared" si="67"/>
        <v>1.9973261770749391E-3</v>
      </c>
      <c r="AL59" s="27">
        <f t="shared" si="68"/>
        <v>1.4075961524324753E-2</v>
      </c>
      <c r="AM59" s="27">
        <f t="shared" si="69"/>
        <v>1.4085829655366819E-2</v>
      </c>
      <c r="AN59" s="28">
        <f t="shared" si="70"/>
        <v>6.8882647679992931E-4</v>
      </c>
      <c r="AO59" s="85">
        <f t="shared" si="71"/>
        <v>5.7785734306564662E-4</v>
      </c>
      <c r="AP59" s="32"/>
      <c r="AQ59" s="33"/>
      <c r="AR59" s="33"/>
      <c r="AS59" s="31"/>
      <c r="AT59" s="31"/>
    </row>
    <row r="60" spans="1:48">
      <c r="A60" s="218" t="s">
        <v>22</v>
      </c>
      <c r="B60" s="393">
        <v>2768552004.5500002</v>
      </c>
      <c r="C60" s="393">
        <v>3699.4965999999999</v>
      </c>
      <c r="D60" s="393">
        <v>2774218484.6220999</v>
      </c>
      <c r="E60" s="393">
        <v>3705.6041539685498</v>
      </c>
      <c r="F60" s="25">
        <f t="shared" si="50"/>
        <v>2.0467305879705569E-3</v>
      </c>
      <c r="G60" s="25">
        <f t="shared" si="51"/>
        <v>1.6509148754319269E-3</v>
      </c>
      <c r="H60" s="393">
        <v>2779160539.0440998</v>
      </c>
      <c r="I60" s="393">
        <v>3711.2368188138298</v>
      </c>
      <c r="J60" s="25">
        <f t="shared" si="52"/>
        <v>1.7814222093156917E-3</v>
      </c>
      <c r="K60" s="25">
        <f t="shared" si="53"/>
        <v>1.5200395431464746E-3</v>
      </c>
      <c r="L60" s="393">
        <v>2782527104.9903002</v>
      </c>
      <c r="M60" s="393">
        <v>3717.3798506471599</v>
      </c>
      <c r="N60" s="25">
        <f t="shared" si="54"/>
        <v>1.2113607324599933E-3</v>
      </c>
      <c r="O60" s="25">
        <f t="shared" si="55"/>
        <v>1.6552519101417657E-3</v>
      </c>
      <c r="P60" s="393">
        <v>2783531082.0030999</v>
      </c>
      <c r="Q60" s="393">
        <v>3723.3897840357899</v>
      </c>
      <c r="R60" s="25">
        <f t="shared" si="56"/>
        <v>3.6081481865860916E-4</v>
      </c>
      <c r="S60" s="25">
        <f t="shared" si="57"/>
        <v>1.616712208622914E-3</v>
      </c>
      <c r="T60" s="393">
        <v>2786190226.1162901</v>
      </c>
      <c r="U60" s="393">
        <v>3728.8673447405199</v>
      </c>
      <c r="V60" s="25">
        <f t="shared" si="58"/>
        <v>9.5531324596403869E-4</v>
      </c>
      <c r="W60" s="25">
        <f t="shared" si="59"/>
        <v>1.471122021179536E-3</v>
      </c>
      <c r="X60" s="393">
        <v>2789583219.0589099</v>
      </c>
      <c r="Y60" s="393">
        <v>3734.5709536272698</v>
      </c>
      <c r="Z60" s="25">
        <f t="shared" si="60"/>
        <v>1.2177894067733276E-3</v>
      </c>
      <c r="AA60" s="25">
        <f t="shared" si="61"/>
        <v>1.5295821383387823E-3</v>
      </c>
      <c r="AB60" s="393">
        <v>2792536039.86694</v>
      </c>
      <c r="AC60" s="393">
        <v>3740.2730861172299</v>
      </c>
      <c r="AD60" s="25">
        <f t="shared" si="62"/>
        <v>1.0585168378759778E-3</v>
      </c>
      <c r="AE60" s="25">
        <f t="shared" si="63"/>
        <v>1.5268507576276867E-3</v>
      </c>
      <c r="AF60" s="393">
        <v>2801866564.71591</v>
      </c>
      <c r="AG60" s="393">
        <v>3745.6839867844401</v>
      </c>
      <c r="AH60" s="25">
        <f t="shared" si="64"/>
        <v>3.3412370389370233E-3</v>
      </c>
      <c r="AI60" s="25">
        <f t="shared" si="65"/>
        <v>1.4466592525807299E-3</v>
      </c>
      <c r="AJ60" s="26">
        <f t="shared" si="66"/>
        <v>1.4966481097444021E-3</v>
      </c>
      <c r="AK60" s="26">
        <f t="shared" si="67"/>
        <v>1.5521415883837271E-3</v>
      </c>
      <c r="AL60" s="27">
        <f t="shared" si="68"/>
        <v>9.9660788243851189E-3</v>
      </c>
      <c r="AM60" s="27">
        <f t="shared" si="69"/>
        <v>1.0816004934840777E-2</v>
      </c>
      <c r="AN60" s="28">
        <f t="shared" si="70"/>
        <v>9.0399637431878052E-4</v>
      </c>
      <c r="AO60" s="85">
        <f t="shared" si="71"/>
        <v>7.9666317794833627E-5</v>
      </c>
      <c r="AP60" s="32"/>
      <c r="AQ60" s="47">
        <v>1198249163.9190199</v>
      </c>
      <c r="AR60" s="47">
        <v>1987.7461478934799</v>
      </c>
      <c r="AS60" s="31" t="e">
        <f>(#REF!/AQ60)-1</f>
        <v>#REF!</v>
      </c>
      <c r="AT60" s="31" t="e">
        <f>(#REF!/AR60)-1</f>
        <v>#REF!</v>
      </c>
    </row>
    <row r="61" spans="1:48">
      <c r="A61" s="217" t="s">
        <v>167</v>
      </c>
      <c r="B61" s="393">
        <v>100204450229.63</v>
      </c>
      <c r="C61" s="393">
        <v>1.9454</v>
      </c>
      <c r="D61" s="393">
        <v>100371778930.53</v>
      </c>
      <c r="E61" s="393">
        <v>1.9489000000000001</v>
      </c>
      <c r="F61" s="25">
        <f t="shared" si="50"/>
        <v>1.6698729499192997E-3</v>
      </c>
      <c r="G61" s="25">
        <f t="shared" si="51"/>
        <v>1.7991158630616113E-3</v>
      </c>
      <c r="H61" s="393">
        <v>100521961444.42999</v>
      </c>
      <c r="I61" s="393">
        <v>1.9517</v>
      </c>
      <c r="J61" s="25">
        <f t="shared" si="52"/>
        <v>1.496262350834085E-3</v>
      </c>
      <c r="K61" s="25">
        <f t="shared" si="53"/>
        <v>1.4367078865000326E-3</v>
      </c>
      <c r="L61" s="393">
        <v>100625936251.25999</v>
      </c>
      <c r="M61" s="393">
        <v>1.9544999999999999</v>
      </c>
      <c r="N61" s="25">
        <f t="shared" si="54"/>
        <v>1.0343491644607494E-3</v>
      </c>
      <c r="O61" s="25">
        <f t="shared" si="55"/>
        <v>1.4346467182455877E-3</v>
      </c>
      <c r="P61" s="393">
        <v>100638180880.91</v>
      </c>
      <c r="Q61" s="393">
        <v>1.9573</v>
      </c>
      <c r="R61" s="25">
        <f t="shared" si="56"/>
        <v>1.2168462829935491E-4</v>
      </c>
      <c r="S61" s="25">
        <f t="shared" si="57"/>
        <v>1.4325914556153163E-3</v>
      </c>
      <c r="T61" s="393">
        <v>100823461417.21001</v>
      </c>
      <c r="U61" s="393">
        <v>1.9599</v>
      </c>
      <c r="V61" s="25">
        <f t="shared" si="58"/>
        <v>1.8410560949949444E-3</v>
      </c>
      <c r="W61" s="25">
        <f t="shared" si="59"/>
        <v>1.3283604966024298E-3</v>
      </c>
      <c r="X61" s="393">
        <v>100918801811.34</v>
      </c>
      <c r="Y61" s="393">
        <v>1.9626999999999999</v>
      </c>
      <c r="Z61" s="25">
        <f t="shared" si="60"/>
        <v>9.4561714892398593E-4</v>
      </c>
      <c r="AA61" s="25">
        <f t="shared" si="61"/>
        <v>1.4286443185876391E-3</v>
      </c>
      <c r="AB61" s="393">
        <v>100939786075.22</v>
      </c>
      <c r="AC61" s="393">
        <v>1.9652000000000001</v>
      </c>
      <c r="AD61" s="25">
        <f t="shared" si="62"/>
        <v>2.0793215439907187E-4</v>
      </c>
      <c r="AE61" s="25">
        <f t="shared" si="63"/>
        <v>1.2737555408366887E-3</v>
      </c>
      <c r="AF61" s="393">
        <v>101080280753.25</v>
      </c>
      <c r="AG61" s="393">
        <v>1.968</v>
      </c>
      <c r="AH61" s="25">
        <f t="shared" si="64"/>
        <v>1.3918662154217625E-3</v>
      </c>
      <c r="AI61" s="25">
        <f t="shared" si="65"/>
        <v>1.4247913698350874E-3</v>
      </c>
      <c r="AJ61" s="26">
        <f t="shared" si="66"/>
        <v>1.0885800884066566E-3</v>
      </c>
      <c r="AK61" s="26">
        <f t="shared" si="67"/>
        <v>1.4448267061605493E-3</v>
      </c>
      <c r="AL61" s="27">
        <f t="shared" si="68"/>
        <v>7.0587751882964468E-3</v>
      </c>
      <c r="AM61" s="27">
        <f t="shared" si="69"/>
        <v>9.8004002257683284E-3</v>
      </c>
      <c r="AN61" s="28">
        <f t="shared" si="70"/>
        <v>6.4321911873014312E-4</v>
      </c>
      <c r="AO61" s="85">
        <f t="shared" si="71"/>
        <v>1.5553275327243659E-4</v>
      </c>
      <c r="AP61" s="32"/>
      <c r="AQ61" s="30">
        <v>609639394.97000003</v>
      </c>
      <c r="AR61" s="34">
        <v>1.1629</v>
      </c>
      <c r="AS61" s="31" t="e">
        <f>(#REF!/AQ61)-1</f>
        <v>#REF!</v>
      </c>
      <c r="AT61" s="31" t="e">
        <f>(#REF!/AR61)-1</f>
        <v>#REF!</v>
      </c>
    </row>
    <row r="62" spans="1:48">
      <c r="A62" s="217" t="s">
        <v>53</v>
      </c>
      <c r="B62" s="393">
        <v>9662204479.1299992</v>
      </c>
      <c r="C62" s="394">
        <v>1</v>
      </c>
      <c r="D62" s="393">
        <v>9660295986.3099995</v>
      </c>
      <c r="E62" s="394">
        <v>1</v>
      </c>
      <c r="F62" s="25">
        <f t="shared" si="50"/>
        <v>-1.9752146874162807E-4</v>
      </c>
      <c r="G62" s="25">
        <f t="shared" si="51"/>
        <v>0</v>
      </c>
      <c r="H62" s="393">
        <v>9672470184.2800007</v>
      </c>
      <c r="I62" s="394">
        <v>1</v>
      </c>
      <c r="J62" s="25">
        <f t="shared" si="52"/>
        <v>1.260230327026602E-3</v>
      </c>
      <c r="K62" s="25">
        <f t="shared" si="53"/>
        <v>0</v>
      </c>
      <c r="L62" s="393">
        <v>9642551136.1100006</v>
      </c>
      <c r="M62" s="394">
        <v>1</v>
      </c>
      <c r="N62" s="25">
        <f t="shared" si="54"/>
        <v>-3.0932168928910677E-3</v>
      </c>
      <c r="O62" s="25">
        <f t="shared" si="55"/>
        <v>0</v>
      </c>
      <c r="P62" s="393">
        <v>9554837374.6900005</v>
      </c>
      <c r="Q62" s="394">
        <v>1</v>
      </c>
      <c r="R62" s="25">
        <f t="shared" si="56"/>
        <v>-9.0965305946394577E-3</v>
      </c>
      <c r="S62" s="25">
        <f t="shared" si="57"/>
        <v>0</v>
      </c>
      <c r="T62" s="393">
        <v>9805816423.0100002</v>
      </c>
      <c r="U62" s="394">
        <v>1</v>
      </c>
      <c r="V62" s="25">
        <f t="shared" si="58"/>
        <v>2.6267223446923661E-2</v>
      </c>
      <c r="W62" s="25">
        <f t="shared" si="59"/>
        <v>0</v>
      </c>
      <c r="X62" s="393">
        <v>9816509334.4599991</v>
      </c>
      <c r="Y62" s="394">
        <v>1</v>
      </c>
      <c r="Z62" s="25">
        <f t="shared" si="60"/>
        <v>1.0904662078832343E-3</v>
      </c>
      <c r="AA62" s="25">
        <f t="shared" si="61"/>
        <v>0</v>
      </c>
      <c r="AB62" s="393">
        <v>9875463395.9500008</v>
      </c>
      <c r="AC62" s="394">
        <v>1</v>
      </c>
      <c r="AD62" s="25">
        <f t="shared" si="62"/>
        <v>6.005603364838517E-3</v>
      </c>
      <c r="AE62" s="25">
        <f t="shared" si="63"/>
        <v>0</v>
      </c>
      <c r="AF62" s="393">
        <v>9886268816.0599995</v>
      </c>
      <c r="AG62" s="394">
        <v>1</v>
      </c>
      <c r="AH62" s="25">
        <f t="shared" si="64"/>
        <v>1.094168412839248E-3</v>
      </c>
      <c r="AI62" s="25">
        <f t="shared" si="65"/>
        <v>0</v>
      </c>
      <c r="AJ62" s="26">
        <f t="shared" si="66"/>
        <v>2.9163028504048888E-3</v>
      </c>
      <c r="AK62" s="26">
        <f t="shared" si="67"/>
        <v>0</v>
      </c>
      <c r="AL62" s="27">
        <f t="shared" si="68"/>
        <v>2.339191574152959E-2</v>
      </c>
      <c r="AM62" s="27">
        <f t="shared" si="69"/>
        <v>0</v>
      </c>
      <c r="AN62" s="28">
        <f t="shared" si="70"/>
        <v>1.03807796070002E-2</v>
      </c>
      <c r="AO62" s="85">
        <f t="shared" si="71"/>
        <v>0</v>
      </c>
      <c r="AP62" s="32"/>
      <c r="AQ62" s="30">
        <v>4056683843.0900002</v>
      </c>
      <c r="AR62" s="37">
        <v>1</v>
      </c>
      <c r="AS62" s="31" t="e">
        <f>(#REF!/AQ62)-1</f>
        <v>#REF!</v>
      </c>
      <c r="AT62" s="31" t="e">
        <f>(#REF!/AR62)-1</f>
        <v>#REF!</v>
      </c>
    </row>
    <row r="63" spans="1:48" ht="15" customHeight="1">
      <c r="A63" s="217" t="s">
        <v>23</v>
      </c>
      <c r="B63" s="393">
        <v>3609400726.27</v>
      </c>
      <c r="C63" s="394">
        <v>23.8018</v>
      </c>
      <c r="D63" s="393">
        <v>3459149646.1300001</v>
      </c>
      <c r="E63" s="394">
        <v>23.517099999999999</v>
      </c>
      <c r="F63" s="25">
        <f t="shared" si="50"/>
        <v>-4.1627708180596287E-2</v>
      </c>
      <c r="G63" s="25">
        <f t="shared" si="51"/>
        <v>-1.1961280239309667E-2</v>
      </c>
      <c r="H63" s="393">
        <v>3463939758.4299998</v>
      </c>
      <c r="I63" s="394">
        <v>23.543600000000001</v>
      </c>
      <c r="J63" s="25">
        <f t="shared" si="52"/>
        <v>1.3847658499997991E-3</v>
      </c>
      <c r="K63" s="25">
        <f t="shared" si="53"/>
        <v>1.1268396188306462E-3</v>
      </c>
      <c r="L63" s="393">
        <v>3466320641.5900002</v>
      </c>
      <c r="M63" s="394">
        <v>23.575500000000002</v>
      </c>
      <c r="N63" s="25">
        <f t="shared" si="54"/>
        <v>6.8733388166064373E-4</v>
      </c>
      <c r="O63" s="25">
        <f t="shared" si="55"/>
        <v>1.3549329754158352E-3</v>
      </c>
      <c r="P63" s="393">
        <v>3468085438.9499998</v>
      </c>
      <c r="Q63" s="394">
        <v>23.598700000000001</v>
      </c>
      <c r="R63" s="25">
        <f t="shared" si="56"/>
        <v>5.0912698001017722E-4</v>
      </c>
      <c r="S63" s="25">
        <f t="shared" si="57"/>
        <v>9.840724480922661E-4</v>
      </c>
      <c r="T63" s="393">
        <v>3481204543.0999999</v>
      </c>
      <c r="U63" s="394">
        <v>23.654</v>
      </c>
      <c r="V63" s="25">
        <f t="shared" si="58"/>
        <v>3.7828088093389205E-3</v>
      </c>
      <c r="W63" s="25">
        <f t="shared" si="59"/>
        <v>2.3433494217901417E-3</v>
      </c>
      <c r="X63" s="393">
        <v>3484348469.6100001</v>
      </c>
      <c r="Y63" s="394">
        <v>23.685300000000002</v>
      </c>
      <c r="Z63" s="25">
        <f t="shared" si="60"/>
        <v>9.0311456022649388E-4</v>
      </c>
      <c r="AA63" s="25">
        <f t="shared" si="61"/>
        <v>1.3232434260590877E-3</v>
      </c>
      <c r="AB63" s="393">
        <v>3487799753.27</v>
      </c>
      <c r="AC63" s="394">
        <v>23.717600000000001</v>
      </c>
      <c r="AD63" s="25">
        <f t="shared" si="62"/>
        <v>9.9051047566035963E-4</v>
      </c>
      <c r="AE63" s="25">
        <f t="shared" si="63"/>
        <v>1.3637150468855926E-3</v>
      </c>
      <c r="AF63" s="393">
        <v>3471159531.71</v>
      </c>
      <c r="AG63" s="394">
        <v>23.717600000000001</v>
      </c>
      <c r="AH63" s="25">
        <f t="shared" si="64"/>
        <v>-4.7709796253064237E-3</v>
      </c>
      <c r="AI63" s="25">
        <f t="shared" si="65"/>
        <v>0</v>
      </c>
      <c r="AJ63" s="26">
        <f t="shared" si="66"/>
        <v>-4.7676284061257904E-3</v>
      </c>
      <c r="AK63" s="26">
        <f t="shared" si="67"/>
        <v>-4.3314091277951239E-4</v>
      </c>
      <c r="AL63" s="27">
        <f t="shared" si="68"/>
        <v>3.4719184795709108E-3</v>
      </c>
      <c r="AM63" s="27">
        <f t="shared" si="69"/>
        <v>8.525711078321804E-3</v>
      </c>
      <c r="AN63" s="28">
        <f t="shared" si="70"/>
        <v>1.5083300481980861E-2</v>
      </c>
      <c r="AO63" s="85">
        <f t="shared" si="71"/>
        <v>4.7017827081796025E-3</v>
      </c>
      <c r="AP63" s="32"/>
      <c r="AQ63" s="30">
        <v>739078842.02999997</v>
      </c>
      <c r="AR63" s="34">
        <v>16.871500000000001</v>
      </c>
      <c r="AS63" s="31" t="e">
        <f>(#REF!/AQ63)-1</f>
        <v>#REF!</v>
      </c>
      <c r="AT63" s="31" t="e">
        <f>(#REF!/AR63)-1</f>
        <v>#REF!</v>
      </c>
    </row>
    <row r="64" spans="1:48">
      <c r="A64" s="217" t="s">
        <v>112</v>
      </c>
      <c r="B64" s="393">
        <v>411064777.54000002</v>
      </c>
      <c r="C64" s="394">
        <v>2.0787</v>
      </c>
      <c r="D64" s="393">
        <v>411826531.14999998</v>
      </c>
      <c r="E64" s="394">
        <v>2.0825999999999998</v>
      </c>
      <c r="F64" s="25">
        <f t="shared" si="50"/>
        <v>1.8531230395331785E-3</v>
      </c>
      <c r="G64" s="25">
        <f t="shared" si="51"/>
        <v>1.8761726078798252E-3</v>
      </c>
      <c r="H64" s="393">
        <v>412686356.10000002</v>
      </c>
      <c r="I64" s="394">
        <v>2.0863999999999998</v>
      </c>
      <c r="J64" s="25">
        <f t="shared" si="52"/>
        <v>2.0878328251437324E-3</v>
      </c>
      <c r="K64" s="25">
        <f t="shared" si="53"/>
        <v>1.8246422740804888E-3</v>
      </c>
      <c r="L64" s="393">
        <v>414930495.36000001</v>
      </c>
      <c r="M64" s="394">
        <v>2.0988000000000002</v>
      </c>
      <c r="N64" s="25">
        <f t="shared" si="54"/>
        <v>5.4378809156855239E-3</v>
      </c>
      <c r="O64" s="25">
        <f t="shared" si="55"/>
        <v>5.9432515337425286E-3</v>
      </c>
      <c r="P64" s="393">
        <v>414930495.36000001</v>
      </c>
      <c r="Q64" s="394">
        <v>2.0988000000000002</v>
      </c>
      <c r="R64" s="25">
        <f t="shared" si="56"/>
        <v>0</v>
      </c>
      <c r="S64" s="25">
        <f t="shared" si="57"/>
        <v>0</v>
      </c>
      <c r="T64" s="393">
        <v>412899995.08999997</v>
      </c>
      <c r="U64" s="394">
        <v>2.1053999999999999</v>
      </c>
      <c r="V64" s="25">
        <f t="shared" si="58"/>
        <v>-4.8935913188023154E-3</v>
      </c>
      <c r="W64" s="25">
        <f t="shared" si="59"/>
        <v>3.1446540880501793E-3</v>
      </c>
      <c r="X64" s="393">
        <v>416692178.63</v>
      </c>
      <c r="Y64" s="394">
        <v>2.1244999999999998</v>
      </c>
      <c r="Z64" s="25">
        <f t="shared" si="60"/>
        <v>9.1842663722324289E-3</v>
      </c>
      <c r="AA64" s="25">
        <f t="shared" si="61"/>
        <v>9.071910325828771E-3</v>
      </c>
      <c r="AB64" s="393">
        <v>416910135.31</v>
      </c>
      <c r="AC64" s="394">
        <v>2.1255999999999999</v>
      </c>
      <c r="AD64" s="25">
        <f t="shared" si="62"/>
        <v>5.2306400546466903E-4</v>
      </c>
      <c r="AE64" s="25">
        <f t="shared" si="63"/>
        <v>5.1776888679694094E-4</v>
      </c>
      <c r="AF64" s="393">
        <v>419497477.39999998</v>
      </c>
      <c r="AG64" s="394">
        <v>2.1385999999999998</v>
      </c>
      <c r="AH64" s="25">
        <f t="shared" si="64"/>
        <v>6.2059946997357488E-3</v>
      </c>
      <c r="AI64" s="25">
        <f t="shared" si="65"/>
        <v>6.1159202107639726E-3</v>
      </c>
      <c r="AJ64" s="26">
        <f t="shared" si="66"/>
        <v>2.5498213173741208E-3</v>
      </c>
      <c r="AK64" s="26">
        <f t="shared" si="67"/>
        <v>3.5617899908928379E-3</v>
      </c>
      <c r="AL64" s="27">
        <f t="shared" si="68"/>
        <v>1.8626644156653435E-2</v>
      </c>
      <c r="AM64" s="27">
        <f t="shared" si="69"/>
        <v>2.6889465091712309E-2</v>
      </c>
      <c r="AN64" s="28">
        <f t="shared" si="70"/>
        <v>4.3496617391113948E-3</v>
      </c>
      <c r="AO64" s="85">
        <f t="shared" si="71"/>
        <v>3.1744913945925143E-3</v>
      </c>
      <c r="AP64" s="32"/>
      <c r="AQ64" s="38">
        <v>0</v>
      </c>
      <c r="AR64" s="39">
        <v>0</v>
      </c>
      <c r="AS64" s="31" t="e">
        <f>(#REF!/AQ64)-1</f>
        <v>#REF!</v>
      </c>
      <c r="AT64" s="31" t="e">
        <f>(#REF!/AR64)-1</f>
        <v>#REF!</v>
      </c>
    </row>
    <row r="65" spans="1:46">
      <c r="A65" s="217" t="s">
        <v>68</v>
      </c>
      <c r="B65" s="393">
        <v>15539477236.98</v>
      </c>
      <c r="C65" s="394">
        <v>331.69</v>
      </c>
      <c r="D65" s="393">
        <v>15434207148.58</v>
      </c>
      <c r="E65" s="394">
        <v>332.02</v>
      </c>
      <c r="F65" s="25">
        <f t="shared" si="50"/>
        <v>-6.7743648511858308E-3</v>
      </c>
      <c r="G65" s="25">
        <f t="shared" si="51"/>
        <v>9.9490488106359579E-4</v>
      </c>
      <c r="H65" s="393">
        <v>15374180590.620001</v>
      </c>
      <c r="I65" s="394">
        <v>332.46</v>
      </c>
      <c r="J65" s="25">
        <f t="shared" si="52"/>
        <v>-3.8891896021702502E-3</v>
      </c>
      <c r="K65" s="25">
        <f t="shared" si="53"/>
        <v>1.3252213722064869E-3</v>
      </c>
      <c r="L65" s="393">
        <v>15357547109.43</v>
      </c>
      <c r="M65" s="394">
        <v>332.79</v>
      </c>
      <c r="N65" s="25">
        <f t="shared" si="54"/>
        <v>-1.0819100954329137E-3</v>
      </c>
      <c r="O65" s="25">
        <f t="shared" si="55"/>
        <v>9.9260061360777522E-4</v>
      </c>
      <c r="P65" s="393">
        <v>15228761887.76</v>
      </c>
      <c r="Q65" s="394">
        <v>333.22</v>
      </c>
      <c r="R65" s="25">
        <f t="shared" si="56"/>
        <v>-8.3857936916841395E-3</v>
      </c>
      <c r="S65" s="25">
        <f t="shared" si="57"/>
        <v>1.2921061329968051E-3</v>
      </c>
      <c r="T65" s="393">
        <v>15234542421.57</v>
      </c>
      <c r="U65" s="394">
        <v>333.65</v>
      </c>
      <c r="V65" s="25">
        <f t="shared" si="58"/>
        <v>3.7958002446971908E-4</v>
      </c>
      <c r="W65" s="25">
        <f t="shared" si="59"/>
        <v>1.2904387491745693E-3</v>
      </c>
      <c r="X65" s="393">
        <v>15237704481.639999</v>
      </c>
      <c r="Y65" s="394">
        <v>334.08</v>
      </c>
      <c r="Z65" s="25">
        <f t="shared" si="60"/>
        <v>2.075585851218384E-4</v>
      </c>
      <c r="AA65" s="25">
        <f t="shared" si="61"/>
        <v>1.2887756631200565E-3</v>
      </c>
      <c r="AB65" s="393">
        <v>15199943360.51</v>
      </c>
      <c r="AC65" s="394">
        <v>334.41</v>
      </c>
      <c r="AD65" s="25">
        <f t="shared" si="62"/>
        <v>-2.4781371219987735E-3</v>
      </c>
      <c r="AE65" s="25">
        <f t="shared" si="63"/>
        <v>9.8778735632196169E-4</v>
      </c>
      <c r="AF65" s="393">
        <v>15125976500.41</v>
      </c>
      <c r="AG65" s="394">
        <v>334.76</v>
      </c>
      <c r="AH65" s="25">
        <f t="shared" si="64"/>
        <v>-4.8662589291068644E-3</v>
      </c>
      <c r="AI65" s="25">
        <f t="shared" si="65"/>
        <v>1.0466194192756374E-3</v>
      </c>
      <c r="AJ65" s="26">
        <f t="shared" si="66"/>
        <v>-3.3610644602484014E-3</v>
      </c>
      <c r="AK65" s="26">
        <f t="shared" si="67"/>
        <v>1.152306773470861E-3</v>
      </c>
      <c r="AL65" s="27">
        <f t="shared" si="68"/>
        <v>-1.9970617551181329E-2</v>
      </c>
      <c r="AM65" s="27">
        <f t="shared" si="69"/>
        <v>8.2525149087404655E-3</v>
      </c>
      <c r="AN65" s="28">
        <f t="shared" si="70"/>
        <v>3.2103548283398788E-3</v>
      </c>
      <c r="AO65" s="85">
        <f t="shared" si="71"/>
        <v>1.5841418975992867E-4</v>
      </c>
      <c r="AP65" s="32"/>
      <c r="AQ65" s="30">
        <v>3320655667.8400002</v>
      </c>
      <c r="AR65" s="34">
        <v>177.09</v>
      </c>
      <c r="AS65" s="31" t="e">
        <f>(#REF!/AQ65)-1</f>
        <v>#REF!</v>
      </c>
      <c r="AT65" s="31" t="e">
        <f>(#REF!/AR65)-1</f>
        <v>#REF!</v>
      </c>
    </row>
    <row r="66" spans="1:46">
      <c r="A66" s="217" t="s">
        <v>39</v>
      </c>
      <c r="B66" s="393">
        <v>6930044655.1499996</v>
      </c>
      <c r="C66" s="394">
        <v>1.0900000000000001</v>
      </c>
      <c r="D66" s="393">
        <v>6559050836.9499998</v>
      </c>
      <c r="E66" s="394">
        <v>1.1000000000000001</v>
      </c>
      <c r="F66" s="25">
        <f t="shared" si="50"/>
        <v>-5.3534116540547703E-2</v>
      </c>
      <c r="G66" s="25">
        <f t="shared" si="51"/>
        <v>9.174311926605512E-3</v>
      </c>
      <c r="H66" s="393">
        <v>6551967511.0699997</v>
      </c>
      <c r="I66" s="394">
        <v>1.1000000000000001</v>
      </c>
      <c r="J66" s="25">
        <f t="shared" si="52"/>
        <v>-1.0799315413286088E-3</v>
      </c>
      <c r="K66" s="25">
        <f t="shared" si="53"/>
        <v>0</v>
      </c>
      <c r="L66" s="393">
        <v>6454636622.2600002</v>
      </c>
      <c r="M66" s="394">
        <v>1</v>
      </c>
      <c r="N66" s="25">
        <f t="shared" si="54"/>
        <v>-1.4855215421253575E-2</v>
      </c>
      <c r="O66" s="25">
        <f t="shared" si="55"/>
        <v>-9.0909090909090981E-2</v>
      </c>
      <c r="P66" s="393">
        <v>6573397093.9200001</v>
      </c>
      <c r="Q66" s="394">
        <v>1</v>
      </c>
      <c r="R66" s="25">
        <f t="shared" si="56"/>
        <v>1.8399249812209806E-2</v>
      </c>
      <c r="S66" s="25">
        <f t="shared" si="57"/>
        <v>0</v>
      </c>
      <c r="T66" s="393">
        <v>6671908602.7700005</v>
      </c>
      <c r="U66" s="394">
        <v>1.01</v>
      </c>
      <c r="V66" s="25">
        <f t="shared" si="58"/>
        <v>1.4986392491200273E-2</v>
      </c>
      <c r="W66" s="25">
        <f t="shared" si="59"/>
        <v>1.0000000000000009E-2</v>
      </c>
      <c r="X66" s="393">
        <v>6464200299.3000002</v>
      </c>
      <c r="Y66" s="394">
        <v>1.01</v>
      </c>
      <c r="Z66" s="25">
        <f t="shared" si="60"/>
        <v>-3.1131766910560684E-2</v>
      </c>
      <c r="AA66" s="25">
        <f t="shared" si="61"/>
        <v>0</v>
      </c>
      <c r="AB66" s="393">
        <v>6563947332.9499998</v>
      </c>
      <c r="AC66" s="394">
        <v>1.01</v>
      </c>
      <c r="AD66" s="25">
        <f t="shared" si="62"/>
        <v>1.5430684234954955E-2</v>
      </c>
      <c r="AE66" s="25">
        <f t="shared" si="63"/>
        <v>0</v>
      </c>
      <c r="AF66" s="393">
        <v>6547686679.6000004</v>
      </c>
      <c r="AG66" s="394">
        <v>1.01</v>
      </c>
      <c r="AH66" s="25">
        <f t="shared" si="64"/>
        <v>-2.4772674924391095E-3</v>
      </c>
      <c r="AI66" s="25">
        <f t="shared" si="65"/>
        <v>0</v>
      </c>
      <c r="AJ66" s="26">
        <f t="shared" si="66"/>
        <v>-6.7827464209705805E-3</v>
      </c>
      <c r="AK66" s="26">
        <f t="shared" si="67"/>
        <v>-8.9668473728106816E-3</v>
      </c>
      <c r="AL66" s="27">
        <f t="shared" si="68"/>
        <v>-1.7325917472662605E-3</v>
      </c>
      <c r="AM66" s="27">
        <f t="shared" si="69"/>
        <v>-8.1818181818181887E-2</v>
      </c>
      <c r="AN66" s="28">
        <f t="shared" si="70"/>
        <v>2.5344073000399651E-2</v>
      </c>
      <c r="AO66" s="85">
        <f t="shared" si="71"/>
        <v>3.3392462782545422E-2</v>
      </c>
      <c r="AP66" s="32"/>
      <c r="AQ66" s="48">
        <v>1300500308</v>
      </c>
      <c r="AR66" s="34">
        <v>1.19</v>
      </c>
      <c r="AS66" s="31" t="e">
        <f>(#REF!/AQ66)-1</f>
        <v>#REF!</v>
      </c>
      <c r="AT66" s="31" t="e">
        <f>(#REF!/AR66)-1</f>
        <v>#REF!</v>
      </c>
    </row>
    <row r="67" spans="1:46">
      <c r="A67" s="217" t="s">
        <v>119</v>
      </c>
      <c r="B67" s="393">
        <v>1665794587.76</v>
      </c>
      <c r="C67" s="394">
        <v>3.57</v>
      </c>
      <c r="D67" s="393">
        <v>1666467123.74</v>
      </c>
      <c r="E67" s="394">
        <v>3.57</v>
      </c>
      <c r="F67" s="25">
        <f t="shared" si="50"/>
        <v>4.0373284013629833E-4</v>
      </c>
      <c r="G67" s="25">
        <f t="shared" si="51"/>
        <v>0</v>
      </c>
      <c r="H67" s="393">
        <v>1667804957.21</v>
      </c>
      <c r="I67" s="394">
        <v>3.57</v>
      </c>
      <c r="J67" s="25">
        <f t="shared" si="52"/>
        <v>8.027961973816626E-4</v>
      </c>
      <c r="K67" s="25">
        <f t="shared" si="53"/>
        <v>0</v>
      </c>
      <c r="L67" s="393">
        <v>1669419183.8699999</v>
      </c>
      <c r="M67" s="394">
        <v>3.58</v>
      </c>
      <c r="N67" s="25">
        <f t="shared" si="54"/>
        <v>9.6787496224991351E-4</v>
      </c>
      <c r="O67" s="25">
        <f t="shared" si="55"/>
        <v>2.8011204481793364E-3</v>
      </c>
      <c r="P67" s="393">
        <v>1669419183.8699999</v>
      </c>
      <c r="Q67" s="394">
        <v>3.58</v>
      </c>
      <c r="R67" s="25">
        <f t="shared" si="56"/>
        <v>0</v>
      </c>
      <c r="S67" s="25">
        <f t="shared" si="57"/>
        <v>0</v>
      </c>
      <c r="T67" s="393">
        <v>1541763718.3099999</v>
      </c>
      <c r="U67" s="394">
        <v>3.53</v>
      </c>
      <c r="V67" s="25">
        <f t="shared" si="58"/>
        <v>-7.6466993307260728E-2</v>
      </c>
      <c r="W67" s="25">
        <f t="shared" si="59"/>
        <v>-1.3966480446927448E-2</v>
      </c>
      <c r="X67" s="393">
        <v>1543349555.27</v>
      </c>
      <c r="Y67" s="394">
        <v>3.54</v>
      </c>
      <c r="Z67" s="25">
        <f t="shared" si="60"/>
        <v>1.0285862490903269E-3</v>
      </c>
      <c r="AA67" s="25">
        <f t="shared" si="61"/>
        <v>2.8328611898017653E-3</v>
      </c>
      <c r="AB67" s="393">
        <v>1504009068.04</v>
      </c>
      <c r="AC67" s="394">
        <v>3.54</v>
      </c>
      <c r="AD67" s="25">
        <f t="shared" si="62"/>
        <v>-2.5490328549139102E-2</v>
      </c>
      <c r="AE67" s="25">
        <f t="shared" si="63"/>
        <v>0</v>
      </c>
      <c r="AF67" s="393">
        <v>1504770352.8699999</v>
      </c>
      <c r="AG67" s="394">
        <v>3.55</v>
      </c>
      <c r="AH67" s="25">
        <f t="shared" si="64"/>
        <v>5.0617037235820505E-4</v>
      </c>
      <c r="AI67" s="25">
        <f t="shared" si="65"/>
        <v>2.8248587570620866E-3</v>
      </c>
      <c r="AJ67" s="26">
        <f t="shared" si="66"/>
        <v>-1.2281020154397929E-2</v>
      </c>
      <c r="AK67" s="26">
        <f t="shared" si="67"/>
        <v>-6.8845500648553252E-4</v>
      </c>
      <c r="AL67" s="27">
        <f t="shared" si="68"/>
        <v>-9.7029679473729508E-2</v>
      </c>
      <c r="AM67" s="27">
        <f t="shared" si="69"/>
        <v>-5.6022408963585487E-3</v>
      </c>
      <c r="AN67" s="28">
        <f t="shared" si="70"/>
        <v>2.7499165516520277E-2</v>
      </c>
      <c r="AO67" s="85">
        <f t="shared" si="71"/>
        <v>5.5436194853699097E-3</v>
      </c>
      <c r="AP67" s="32"/>
      <c r="AQ67" s="33">
        <v>776682398.99000001</v>
      </c>
      <c r="AR67" s="37">
        <v>2.4700000000000002</v>
      </c>
      <c r="AS67" s="31" t="e">
        <f>(#REF!/AQ67)-1</f>
        <v>#REF!</v>
      </c>
      <c r="AT67" s="31" t="e">
        <f>(#REF!/AR67)-1</f>
        <v>#REF!</v>
      </c>
    </row>
    <row r="68" spans="1:46">
      <c r="A68" s="218" t="s">
        <v>73</v>
      </c>
      <c r="B68" s="393">
        <v>38757414936.410004</v>
      </c>
      <c r="C68" s="393">
        <v>4560.3999999999996</v>
      </c>
      <c r="D68" s="393">
        <v>38213912030.050003</v>
      </c>
      <c r="E68" s="393">
        <v>4562.5600000000004</v>
      </c>
      <c r="F68" s="25">
        <f t="shared" si="50"/>
        <v>-1.4023198070659142E-2</v>
      </c>
      <c r="G68" s="25">
        <f t="shared" si="51"/>
        <v>4.7364266292447245E-4</v>
      </c>
      <c r="H68" s="393">
        <v>47044717555.330002</v>
      </c>
      <c r="I68" s="393">
        <v>4570.4399999999996</v>
      </c>
      <c r="J68" s="25">
        <f t="shared" si="52"/>
        <v>0.23108875946372046</v>
      </c>
      <c r="K68" s="25">
        <f t="shared" si="53"/>
        <v>1.727100575115549E-3</v>
      </c>
      <c r="L68" s="393">
        <v>46972332393.550003</v>
      </c>
      <c r="M68" s="393">
        <v>4576.53</v>
      </c>
      <c r="N68" s="25">
        <f t="shared" si="54"/>
        <v>-1.538645899932665E-3</v>
      </c>
      <c r="O68" s="25">
        <f t="shared" si="55"/>
        <v>1.3324756478588814E-3</v>
      </c>
      <c r="P68" s="393">
        <v>46050980936.120003</v>
      </c>
      <c r="Q68" s="393">
        <v>4580.96</v>
      </c>
      <c r="R68" s="25">
        <f t="shared" si="56"/>
        <v>-1.9614769173278597E-2</v>
      </c>
      <c r="S68" s="25">
        <f t="shared" si="57"/>
        <v>9.6798229226079395E-4</v>
      </c>
      <c r="T68" s="393">
        <v>44213188501.279999</v>
      </c>
      <c r="U68" s="393">
        <v>4586.42</v>
      </c>
      <c r="V68" s="25">
        <f t="shared" si="58"/>
        <v>-3.9907780409483846E-2</v>
      </c>
      <c r="W68" s="25">
        <f t="shared" si="59"/>
        <v>1.19188990953862E-3</v>
      </c>
      <c r="X68" s="393">
        <v>42997908215.529999</v>
      </c>
      <c r="Y68" s="393">
        <v>4591.88</v>
      </c>
      <c r="Z68" s="25">
        <f t="shared" si="60"/>
        <v>-2.7486827504304895E-2</v>
      </c>
      <c r="AA68" s="25">
        <f t="shared" si="61"/>
        <v>1.1904709991671142E-3</v>
      </c>
      <c r="AB68" s="393">
        <v>42631431626.849998</v>
      </c>
      <c r="AC68" s="393">
        <v>4598.99</v>
      </c>
      <c r="AD68" s="25">
        <f t="shared" si="62"/>
        <v>-8.5231259819201193E-3</v>
      </c>
      <c r="AE68" s="25">
        <f t="shared" si="63"/>
        <v>1.5483854107685028E-3</v>
      </c>
      <c r="AF68" s="393">
        <v>40527765481.970001</v>
      </c>
      <c r="AG68" s="393">
        <v>4608.74</v>
      </c>
      <c r="AH68" s="25">
        <f t="shared" si="64"/>
        <v>-4.9345425771605396E-2</v>
      </c>
      <c r="AI68" s="25">
        <f t="shared" si="65"/>
        <v>2.1200307023933516E-3</v>
      </c>
      <c r="AJ68" s="26">
        <f t="shared" si="66"/>
        <v>8.8311233315669785E-3</v>
      </c>
      <c r="AK68" s="26">
        <f t="shared" si="67"/>
        <v>1.3189972750034106E-3</v>
      </c>
      <c r="AL68" s="27">
        <f t="shared" si="68"/>
        <v>6.0550028222718197E-2</v>
      </c>
      <c r="AM68" s="27">
        <f t="shared" si="69"/>
        <v>1.012151073081765E-2</v>
      </c>
      <c r="AN68" s="28">
        <f t="shared" si="70"/>
        <v>9.1196516902241315E-2</v>
      </c>
      <c r="AO68" s="85">
        <f t="shared" si="71"/>
        <v>4.9735222685907824E-4</v>
      </c>
      <c r="AP68" s="32"/>
      <c r="AQ68" s="30">
        <v>8144502990.9799995</v>
      </c>
      <c r="AR68" s="30">
        <v>2263.5700000000002</v>
      </c>
      <c r="AS68" s="31" t="e">
        <f>(#REF!/AQ68)-1</f>
        <v>#REF!</v>
      </c>
      <c r="AT68" s="31" t="e">
        <f>(#REF!/AR68)-1</f>
        <v>#REF!</v>
      </c>
    </row>
    <row r="69" spans="1:46">
      <c r="A69" s="218" t="s">
        <v>74</v>
      </c>
      <c r="B69" s="393">
        <v>235492171.16999999</v>
      </c>
      <c r="C69" s="393">
        <v>4185.92</v>
      </c>
      <c r="D69" s="393">
        <v>237358787.83000001</v>
      </c>
      <c r="E69" s="393">
        <v>4219.2</v>
      </c>
      <c r="F69" s="25">
        <f t="shared" si="50"/>
        <v>7.9264488952056501E-3</v>
      </c>
      <c r="G69" s="25">
        <f t="shared" si="51"/>
        <v>7.9504625028666929E-3</v>
      </c>
      <c r="H69" s="393">
        <v>239509173.63</v>
      </c>
      <c r="I69" s="393">
        <v>4257.57</v>
      </c>
      <c r="J69" s="25">
        <f t="shared" si="52"/>
        <v>9.0596426602082298E-3</v>
      </c>
      <c r="K69" s="25">
        <f t="shared" si="53"/>
        <v>9.0941410693970159E-3</v>
      </c>
      <c r="L69" s="393">
        <v>240963324.24000001</v>
      </c>
      <c r="M69" s="393">
        <v>4283.72</v>
      </c>
      <c r="N69" s="25">
        <f t="shared" si="54"/>
        <v>6.0713775090987703E-3</v>
      </c>
      <c r="O69" s="25">
        <f t="shared" si="55"/>
        <v>6.1420011884714869E-3</v>
      </c>
      <c r="P69" s="393">
        <v>242585253.30000001</v>
      </c>
      <c r="Q69" s="393">
        <v>4312.6499999999996</v>
      </c>
      <c r="R69" s="25">
        <f t="shared" si="56"/>
        <v>6.7310204368883847E-3</v>
      </c>
      <c r="S69" s="25">
        <f t="shared" si="57"/>
        <v>6.7534759508089647E-3</v>
      </c>
      <c r="T69" s="393">
        <v>243248345.88999999</v>
      </c>
      <c r="U69" s="393">
        <v>4324.46</v>
      </c>
      <c r="V69" s="25">
        <f t="shared" si="58"/>
        <v>2.73344146430839E-3</v>
      </c>
      <c r="W69" s="25">
        <f t="shared" si="59"/>
        <v>2.7384554740125912E-3</v>
      </c>
      <c r="X69" s="393">
        <v>244171568.50999999</v>
      </c>
      <c r="Y69" s="393">
        <v>4341.07</v>
      </c>
      <c r="Z69" s="25">
        <f t="shared" si="60"/>
        <v>3.7953911531118812E-3</v>
      </c>
      <c r="AA69" s="25">
        <f t="shared" si="61"/>
        <v>3.8409419904449739E-3</v>
      </c>
      <c r="AB69" s="393">
        <v>246173710.88</v>
      </c>
      <c r="AC69" s="393">
        <v>4377.1099999999997</v>
      </c>
      <c r="AD69" s="25">
        <f t="shared" si="62"/>
        <v>8.1997358751373529E-3</v>
      </c>
      <c r="AE69" s="25">
        <f t="shared" si="63"/>
        <v>8.3021006341754376E-3</v>
      </c>
      <c r="AF69" s="393">
        <v>246408335.30000001</v>
      </c>
      <c r="AG69" s="393">
        <v>4372.3100000000004</v>
      </c>
      <c r="AH69" s="25">
        <f t="shared" si="64"/>
        <v>9.530847918784751E-4</v>
      </c>
      <c r="AI69" s="25">
        <f t="shared" si="65"/>
        <v>-1.096613975888034E-3</v>
      </c>
      <c r="AJ69" s="26">
        <f t="shared" si="66"/>
        <v>5.6837678482296403E-3</v>
      </c>
      <c r="AK69" s="26">
        <f t="shared" si="67"/>
        <v>5.4656206042861411E-3</v>
      </c>
      <c r="AL69" s="27">
        <f t="shared" si="68"/>
        <v>3.8126026648237783E-2</v>
      </c>
      <c r="AM69" s="27">
        <f t="shared" si="69"/>
        <v>3.6288869927948567E-2</v>
      </c>
      <c r="AN69" s="28">
        <f t="shared" si="70"/>
        <v>2.8946496917259534E-3</v>
      </c>
      <c r="AO69" s="85">
        <f t="shared" si="71"/>
        <v>3.4359904790768532E-3</v>
      </c>
      <c r="AP69" s="32"/>
      <c r="AQ69" s="30"/>
      <c r="AR69" s="30"/>
      <c r="AS69" s="31"/>
      <c r="AT69" s="31"/>
    </row>
    <row r="70" spans="1:46">
      <c r="A70" s="218" t="s">
        <v>97</v>
      </c>
      <c r="B70" s="393">
        <v>54471334.799999997</v>
      </c>
      <c r="C70" s="393">
        <v>11.765102000000001</v>
      </c>
      <c r="D70" s="393">
        <v>54471334.799999997</v>
      </c>
      <c r="E70" s="393">
        <v>11.765102000000001</v>
      </c>
      <c r="F70" s="25">
        <f t="shared" si="50"/>
        <v>0</v>
      </c>
      <c r="G70" s="25">
        <f t="shared" si="51"/>
        <v>0</v>
      </c>
      <c r="H70" s="393">
        <v>53735796.859999999</v>
      </c>
      <c r="I70" s="393">
        <v>11.61585</v>
      </c>
      <c r="J70" s="25">
        <f t="shared" si="52"/>
        <v>-1.3503211233957087E-2</v>
      </c>
      <c r="K70" s="25">
        <f t="shared" si="53"/>
        <v>-1.2685992862620366E-2</v>
      </c>
      <c r="L70" s="393">
        <v>53672625.829999998</v>
      </c>
      <c r="M70" s="393">
        <v>11.638166</v>
      </c>
      <c r="N70" s="25">
        <f t="shared" si="54"/>
        <v>-1.1755856187372299E-3</v>
      </c>
      <c r="O70" s="25">
        <f t="shared" si="55"/>
        <v>1.9211680591605439E-3</v>
      </c>
      <c r="P70" s="393">
        <v>53701823.649999999</v>
      </c>
      <c r="Q70" s="393">
        <v>11.647703999999999</v>
      </c>
      <c r="R70" s="25">
        <f t="shared" si="56"/>
        <v>5.4399835201802906E-4</v>
      </c>
      <c r="S70" s="25">
        <f t="shared" si="57"/>
        <v>8.1954493517270323E-4</v>
      </c>
      <c r="T70" s="393">
        <v>53763448.409999996</v>
      </c>
      <c r="U70" s="393">
        <v>11.692159999999999</v>
      </c>
      <c r="V70" s="25">
        <f t="shared" si="58"/>
        <v>1.1475357038456535E-3</v>
      </c>
      <c r="W70" s="25">
        <f t="shared" si="59"/>
        <v>3.8167178698909482E-3</v>
      </c>
      <c r="X70" s="393">
        <v>53887213.490000002</v>
      </c>
      <c r="Y70" s="393">
        <v>11.716478</v>
      </c>
      <c r="Z70" s="25">
        <f t="shared" si="60"/>
        <v>2.3020301647352177E-3</v>
      </c>
      <c r="AA70" s="25">
        <f t="shared" si="61"/>
        <v>2.0798552192239032E-3</v>
      </c>
      <c r="AB70" s="393">
        <v>53499589.799999997</v>
      </c>
      <c r="AC70" s="393">
        <v>11.651462</v>
      </c>
      <c r="AD70" s="25">
        <f t="shared" si="62"/>
        <v>-7.1932405647944196E-3</v>
      </c>
      <c r="AE70" s="25">
        <f t="shared" si="63"/>
        <v>-5.5491078462316032E-3</v>
      </c>
      <c r="AF70" s="393">
        <v>53594505.380000003</v>
      </c>
      <c r="AG70" s="393">
        <v>11.707857000000001</v>
      </c>
      <c r="AH70" s="25">
        <f t="shared" si="64"/>
        <v>1.774136593473576E-3</v>
      </c>
      <c r="AI70" s="25">
        <f t="shared" si="65"/>
        <v>4.8401651226258292E-3</v>
      </c>
      <c r="AJ70" s="26">
        <f t="shared" si="66"/>
        <v>-2.0130420754270327E-3</v>
      </c>
      <c r="AK70" s="26">
        <f t="shared" si="67"/>
        <v>-5.9470618784725519E-4</v>
      </c>
      <c r="AL70" s="27">
        <f t="shared" si="68"/>
        <v>-1.6097079743307381E-2</v>
      </c>
      <c r="AM70" s="27">
        <f t="shared" si="69"/>
        <v>-4.8656611731882973E-3</v>
      </c>
      <c r="AN70" s="28">
        <f t="shared" si="70"/>
        <v>5.5175356008895574E-3</v>
      </c>
      <c r="AO70" s="85">
        <f t="shared" si="71"/>
        <v>5.8012373219428768E-3</v>
      </c>
      <c r="AP70" s="32"/>
      <c r="AQ70" s="30">
        <v>421796041.39999998</v>
      </c>
      <c r="AR70" s="30">
        <v>2004.5</v>
      </c>
      <c r="AS70" s="31" t="e">
        <f>(#REF!/AQ70)-1</f>
        <v>#REF!</v>
      </c>
      <c r="AT70" s="31" t="e">
        <f>(#REF!/AR70)-1</f>
        <v>#REF!</v>
      </c>
    </row>
    <row r="71" spans="1:46">
      <c r="A71" s="217" t="s">
        <v>91</v>
      </c>
      <c r="B71" s="393">
        <v>15162122681.92</v>
      </c>
      <c r="C71" s="393">
        <v>1178.83</v>
      </c>
      <c r="D71" s="393">
        <v>14991061991.209999</v>
      </c>
      <c r="E71" s="393">
        <v>1176.95</v>
      </c>
      <c r="F71" s="25">
        <f t="shared" si="50"/>
        <v>-1.1282107017507613E-2</v>
      </c>
      <c r="G71" s="25">
        <f t="shared" si="51"/>
        <v>-1.5948016253402796E-3</v>
      </c>
      <c r="H71" s="393">
        <v>15529502889.469999</v>
      </c>
      <c r="I71" s="393">
        <v>1183.8499999999999</v>
      </c>
      <c r="J71" s="25">
        <f t="shared" si="52"/>
        <v>3.5917461923359047E-2</v>
      </c>
      <c r="K71" s="25">
        <f t="shared" si="53"/>
        <v>5.862610986023079E-3</v>
      </c>
      <c r="L71" s="393">
        <v>15529502889.469999</v>
      </c>
      <c r="M71" s="393">
        <v>1183.8499999999999</v>
      </c>
      <c r="N71" s="25">
        <f t="shared" si="54"/>
        <v>0</v>
      </c>
      <c r="O71" s="25">
        <f t="shared" si="55"/>
        <v>0</v>
      </c>
      <c r="P71" s="393">
        <v>15628115601.200001</v>
      </c>
      <c r="Q71" s="393">
        <v>1185.71</v>
      </c>
      <c r="R71" s="25">
        <f t="shared" si="56"/>
        <v>6.3500237214204197E-3</v>
      </c>
      <c r="S71" s="25">
        <f t="shared" si="57"/>
        <v>1.5711449930313193E-3</v>
      </c>
      <c r="T71" s="393">
        <v>15627517056.77</v>
      </c>
      <c r="U71" s="393">
        <v>1186.45</v>
      </c>
      <c r="V71" s="25">
        <f t="shared" si="58"/>
        <v>-3.8299206716537605E-5</v>
      </c>
      <c r="W71" s="25">
        <f t="shared" si="59"/>
        <v>6.2409864132039795E-4</v>
      </c>
      <c r="X71" s="393">
        <v>15481166021.469999</v>
      </c>
      <c r="Y71" s="393">
        <v>1164.53</v>
      </c>
      <c r="Z71" s="25">
        <f t="shared" si="60"/>
        <v>-9.3649576428777841E-3</v>
      </c>
      <c r="AA71" s="25">
        <f t="shared" si="61"/>
        <v>-1.8475283408487565E-2</v>
      </c>
      <c r="AB71" s="393">
        <v>15253556583.790001</v>
      </c>
      <c r="AC71" s="393">
        <v>1166.44</v>
      </c>
      <c r="AD71" s="25">
        <f t="shared" si="62"/>
        <v>-1.4702344601455671E-2</v>
      </c>
      <c r="AE71" s="25">
        <f t="shared" si="63"/>
        <v>1.6401466686131589E-3</v>
      </c>
      <c r="AF71" s="393">
        <v>15393079324.059999</v>
      </c>
      <c r="AG71" s="393">
        <v>1168.4100000000001</v>
      </c>
      <c r="AH71" s="25">
        <f t="shared" si="64"/>
        <v>9.1468989218075059E-3</v>
      </c>
      <c r="AI71" s="25">
        <f t="shared" si="65"/>
        <v>1.6888995576283625E-3</v>
      </c>
      <c r="AJ71" s="26">
        <f t="shared" si="66"/>
        <v>2.0033345122536707E-3</v>
      </c>
      <c r="AK71" s="26">
        <f t="shared" si="67"/>
        <v>-1.0853980234014409E-3</v>
      </c>
      <c r="AL71" s="27">
        <f t="shared" si="68"/>
        <v>2.6817134975875827E-2</v>
      </c>
      <c r="AM71" s="27">
        <f t="shared" si="69"/>
        <v>-7.256043162411286E-3</v>
      </c>
      <c r="AN71" s="28">
        <f t="shared" si="70"/>
        <v>1.6093896859355441E-2</v>
      </c>
      <c r="AO71" s="85">
        <f t="shared" si="71"/>
        <v>7.3409365340775133E-3</v>
      </c>
      <c r="AP71" s="32"/>
      <c r="AQ71" s="30"/>
      <c r="AR71" s="30"/>
      <c r="AS71" s="31"/>
      <c r="AT71" s="31"/>
    </row>
    <row r="72" spans="1:46">
      <c r="A72" s="217" t="s">
        <v>190</v>
      </c>
      <c r="B72" s="393">
        <v>23023250.620000001</v>
      </c>
      <c r="C72" s="393">
        <v>0.68130000000000002</v>
      </c>
      <c r="D72" s="393">
        <v>23054719.539999999</v>
      </c>
      <c r="E72" s="393">
        <v>0.68220000000000003</v>
      </c>
      <c r="F72" s="25">
        <f t="shared" si="50"/>
        <v>1.3668321871396134E-3</v>
      </c>
      <c r="G72" s="25">
        <f t="shared" si="51"/>
        <v>1.3210039630119064E-3</v>
      </c>
      <c r="H72" s="393">
        <v>23086167.539999999</v>
      </c>
      <c r="I72" s="393">
        <v>0.68310000000000004</v>
      </c>
      <c r="J72" s="25">
        <f t="shared" si="52"/>
        <v>1.3640591005862222E-3</v>
      </c>
      <c r="K72" s="25">
        <f t="shared" si="53"/>
        <v>1.3192612137203339E-3</v>
      </c>
      <c r="L72" s="393">
        <v>21354460.920000002</v>
      </c>
      <c r="M72" s="393">
        <v>0.63190000000000002</v>
      </c>
      <c r="N72" s="25">
        <f t="shared" si="54"/>
        <v>-7.5010571460142728E-2</v>
      </c>
      <c r="O72" s="25">
        <f t="shared" si="55"/>
        <v>-7.4952422778509761E-2</v>
      </c>
      <c r="P72" s="393">
        <v>21398702.379999999</v>
      </c>
      <c r="Q72" s="393">
        <v>0.63319999999999999</v>
      </c>
      <c r="R72" s="25">
        <f t="shared" si="56"/>
        <v>2.0717666517426265E-3</v>
      </c>
      <c r="S72" s="25">
        <f t="shared" si="57"/>
        <v>2.0572875454976545E-3</v>
      </c>
      <c r="T72" s="393">
        <v>21413212.379999999</v>
      </c>
      <c r="U72" s="393">
        <v>0.63360000000000005</v>
      </c>
      <c r="V72" s="25">
        <f t="shared" si="58"/>
        <v>6.7807849944964747E-4</v>
      </c>
      <c r="W72" s="25">
        <f t="shared" si="59"/>
        <v>6.317119393557596E-4</v>
      </c>
      <c r="X72" s="393">
        <v>21232230.949999999</v>
      </c>
      <c r="Y72" s="393">
        <v>0.62829999999999997</v>
      </c>
      <c r="Z72" s="25">
        <f t="shared" si="60"/>
        <v>-8.4518579832065215E-3</v>
      </c>
      <c r="AA72" s="25">
        <f t="shared" si="61"/>
        <v>-8.3648989898991201E-3</v>
      </c>
      <c r="AB72" s="393">
        <v>21237029.399999999</v>
      </c>
      <c r="AC72" s="393">
        <v>0.62839999999999996</v>
      </c>
      <c r="AD72" s="25">
        <f t="shared" si="62"/>
        <v>2.2599838949091946E-4</v>
      </c>
      <c r="AE72" s="25">
        <f t="shared" si="63"/>
        <v>1.5915963711600985E-4</v>
      </c>
      <c r="AF72" s="393">
        <v>21935492.049999997</v>
      </c>
      <c r="AG72" s="393">
        <v>0.64910000000000001</v>
      </c>
      <c r="AH72" s="25">
        <f t="shared" si="64"/>
        <v>3.2888905356979851E-2</v>
      </c>
      <c r="AI72" s="25">
        <f t="shared" si="65"/>
        <v>3.2940802036919244E-2</v>
      </c>
      <c r="AJ72" s="26">
        <f t="shared" si="66"/>
        <v>-5.6083486572450483E-3</v>
      </c>
      <c r="AK72" s="26">
        <f t="shared" si="67"/>
        <v>-5.6110119290984977E-3</v>
      </c>
      <c r="AL72" s="27">
        <f t="shared" si="68"/>
        <v>-4.8546567138157526E-2</v>
      </c>
      <c r="AM72" s="27">
        <f t="shared" si="69"/>
        <v>-4.8519495749047223E-2</v>
      </c>
      <c r="AN72" s="28">
        <f t="shared" si="70"/>
        <v>3.0558148790874342E-2</v>
      </c>
      <c r="AO72" s="85">
        <f t="shared" si="71"/>
        <v>3.0540858676292491E-2</v>
      </c>
      <c r="AP72" s="32"/>
      <c r="AQ72" s="30"/>
      <c r="AR72" s="30"/>
      <c r="AS72" s="31"/>
      <c r="AT72" s="31"/>
    </row>
    <row r="73" spans="1:46">
      <c r="A73" s="217" t="s">
        <v>108</v>
      </c>
      <c r="B73" s="393">
        <v>396967577.81</v>
      </c>
      <c r="C73" s="393">
        <v>1168.03</v>
      </c>
      <c r="D73" s="393">
        <v>399426631.81999999</v>
      </c>
      <c r="E73" s="393">
        <v>1175.57</v>
      </c>
      <c r="F73" s="25">
        <f t="shared" si="50"/>
        <v>6.1945966055116063E-3</v>
      </c>
      <c r="G73" s="25">
        <f t="shared" si="51"/>
        <v>6.4553136477658651E-3</v>
      </c>
      <c r="H73" s="393">
        <v>400617975.57999998</v>
      </c>
      <c r="I73" s="393">
        <v>1179.08</v>
      </c>
      <c r="J73" s="25">
        <f t="shared" si="52"/>
        <v>2.9826347696737076E-3</v>
      </c>
      <c r="K73" s="25">
        <f t="shared" si="53"/>
        <v>2.9857856188912537E-3</v>
      </c>
      <c r="L73" s="393">
        <v>381123781.33999997</v>
      </c>
      <c r="M73" s="393">
        <v>1108.96</v>
      </c>
      <c r="N73" s="25">
        <f t="shared" si="54"/>
        <v>-4.8660308394242749E-2</v>
      </c>
      <c r="O73" s="25">
        <f t="shared" si="55"/>
        <v>-5.9470095328561165E-2</v>
      </c>
      <c r="P73" s="393">
        <v>381614571.61000001</v>
      </c>
      <c r="Q73" s="393">
        <v>1112.1099999999999</v>
      </c>
      <c r="R73" s="25">
        <f t="shared" si="56"/>
        <v>1.2877450687397731E-3</v>
      </c>
      <c r="S73" s="25">
        <f t="shared" si="57"/>
        <v>2.8404992064635908E-3</v>
      </c>
      <c r="T73" s="393">
        <v>360938156.56999999</v>
      </c>
      <c r="U73" s="393">
        <v>1107.03</v>
      </c>
      <c r="V73" s="25">
        <f t="shared" si="58"/>
        <v>-5.4181408620661294E-2</v>
      </c>
      <c r="W73" s="25">
        <f t="shared" si="59"/>
        <v>-4.5678934637760002E-3</v>
      </c>
      <c r="X73" s="393">
        <v>359262473.38</v>
      </c>
      <c r="Y73" s="393">
        <v>1110.6300000000001</v>
      </c>
      <c r="Z73" s="25">
        <f t="shared" si="60"/>
        <v>-4.6425770163067183E-3</v>
      </c>
      <c r="AA73" s="25">
        <f t="shared" si="61"/>
        <v>3.2519443917510245E-3</v>
      </c>
      <c r="AB73" s="393">
        <v>360065095.25999999</v>
      </c>
      <c r="AC73" s="78">
        <v>1113.53</v>
      </c>
      <c r="AD73" s="25">
        <f t="shared" si="62"/>
        <v>2.2340821529418242E-3</v>
      </c>
      <c r="AE73" s="25">
        <f t="shared" si="63"/>
        <v>2.6111306195581458E-3</v>
      </c>
      <c r="AF73" s="393">
        <v>359816791.54000002</v>
      </c>
      <c r="AG73" s="78">
        <v>1118.3499999999999</v>
      </c>
      <c r="AH73" s="25">
        <f t="shared" si="64"/>
        <v>-6.8960786054719065E-4</v>
      </c>
      <c r="AI73" s="25">
        <f t="shared" si="65"/>
        <v>4.328576688548972E-3</v>
      </c>
      <c r="AJ73" s="26">
        <f t="shared" si="66"/>
        <v>-1.1934355411861379E-2</v>
      </c>
      <c r="AK73" s="26">
        <f t="shared" si="67"/>
        <v>-5.1955923274197881E-3</v>
      </c>
      <c r="AL73" s="27">
        <f t="shared" si="68"/>
        <v>-9.9166748345037706E-2</v>
      </c>
      <c r="AM73" s="27">
        <f t="shared" si="69"/>
        <v>-4.8674260146141894E-2</v>
      </c>
      <c r="AN73" s="28">
        <f t="shared" si="70"/>
        <v>2.4611169265846378E-2</v>
      </c>
      <c r="AO73" s="85">
        <f t="shared" si="71"/>
        <v>2.2156548852606692E-2</v>
      </c>
      <c r="AP73" s="32"/>
      <c r="AQ73" s="30"/>
      <c r="AR73" s="30"/>
      <c r="AS73" s="31"/>
      <c r="AT73" s="31"/>
    </row>
    <row r="74" spans="1:46">
      <c r="A74" s="217" t="s">
        <v>111</v>
      </c>
      <c r="B74" s="393">
        <v>729205714.49000001</v>
      </c>
      <c r="C74" s="394">
        <v>198.45895400000001</v>
      </c>
      <c r="D74" s="393">
        <v>729710706.53999996</v>
      </c>
      <c r="E74" s="394">
        <v>198.92843500000001</v>
      </c>
      <c r="F74" s="25">
        <f t="shared" si="50"/>
        <v>6.9252344018332231E-4</v>
      </c>
      <c r="G74" s="25">
        <f t="shared" si="51"/>
        <v>2.3656327443910734E-3</v>
      </c>
      <c r="H74" s="393">
        <v>731251484.28999996</v>
      </c>
      <c r="I74" s="394">
        <v>199.36254700000001</v>
      </c>
      <c r="J74" s="25">
        <f t="shared" si="52"/>
        <v>2.1114912200010873E-3</v>
      </c>
      <c r="K74" s="25">
        <f t="shared" si="53"/>
        <v>2.1822521249915778E-3</v>
      </c>
      <c r="L74" s="393">
        <v>729510875.46000004</v>
      </c>
      <c r="M74" s="394">
        <v>199.06486000000001</v>
      </c>
      <c r="N74" s="25">
        <f t="shared" si="54"/>
        <v>-2.3803149359620753E-3</v>
      </c>
      <c r="O74" s="25">
        <f t="shared" si="55"/>
        <v>-1.4931942056297879E-3</v>
      </c>
      <c r="P74" s="393">
        <v>720954491.48000002</v>
      </c>
      <c r="Q74" s="394">
        <v>199.52411799999999</v>
      </c>
      <c r="R74" s="25">
        <f t="shared" si="56"/>
        <v>-1.1728932724415808E-2</v>
      </c>
      <c r="S74" s="25">
        <f t="shared" si="57"/>
        <v>2.3070772008679835E-3</v>
      </c>
      <c r="T74" s="393">
        <v>720903124.25</v>
      </c>
      <c r="U74" s="394">
        <v>199.80257399999999</v>
      </c>
      <c r="V74" s="25">
        <f t="shared" si="58"/>
        <v>-7.1248921543675618E-5</v>
      </c>
      <c r="W74" s="25">
        <f t="shared" si="59"/>
        <v>1.3956007062765495E-3</v>
      </c>
      <c r="X74" s="393">
        <v>714641406.76999998</v>
      </c>
      <c r="Y74" s="394">
        <v>198.16141099999999</v>
      </c>
      <c r="Z74" s="25">
        <f t="shared" si="60"/>
        <v>-8.6859347246059874E-3</v>
      </c>
      <c r="AA74" s="25">
        <f t="shared" si="61"/>
        <v>-8.2139232100183358E-3</v>
      </c>
      <c r="AB74" s="393">
        <v>714641406.76999998</v>
      </c>
      <c r="AC74" s="394">
        <v>198.16141099999999</v>
      </c>
      <c r="AD74" s="25">
        <f t="shared" si="62"/>
        <v>0</v>
      </c>
      <c r="AE74" s="25">
        <f t="shared" si="63"/>
        <v>0</v>
      </c>
      <c r="AF74" s="393">
        <v>780786261.21000004</v>
      </c>
      <c r="AG74" s="394">
        <v>199.10397399999999</v>
      </c>
      <c r="AH74" s="25">
        <f t="shared" si="64"/>
        <v>9.2556705801526695E-2</v>
      </c>
      <c r="AI74" s="25">
        <f t="shared" si="65"/>
        <v>4.7565416255539632E-3</v>
      </c>
      <c r="AJ74" s="26">
        <f t="shared" si="66"/>
        <v>9.0617861443979437E-3</v>
      </c>
      <c r="AK74" s="26">
        <f t="shared" si="67"/>
        <v>4.1249837330412803E-4</v>
      </c>
      <c r="AL74" s="27">
        <f t="shared" si="68"/>
        <v>6.9994251437230773E-2</v>
      </c>
      <c r="AM74" s="27">
        <f t="shared" si="69"/>
        <v>8.8242286729891747E-4</v>
      </c>
      <c r="AN74" s="28">
        <f t="shared" si="70"/>
        <v>3.4086944145398174E-2</v>
      </c>
      <c r="AO74" s="85">
        <f t="shared" si="71"/>
        <v>3.9386430144710896E-3</v>
      </c>
      <c r="AP74" s="32"/>
      <c r="AQ74" s="30"/>
      <c r="AR74" s="30"/>
      <c r="AS74" s="31"/>
      <c r="AT74" s="31"/>
    </row>
    <row r="75" spans="1:46" s="95" customFormat="1">
      <c r="A75" s="217" t="s">
        <v>117</v>
      </c>
      <c r="B75" s="393">
        <v>325872548.5</v>
      </c>
      <c r="C75" s="394">
        <v>1.3671</v>
      </c>
      <c r="D75" s="393">
        <v>328035830.23000002</v>
      </c>
      <c r="E75" s="394">
        <v>1.3898999999999999</v>
      </c>
      <c r="F75" s="25">
        <f t="shared" si="50"/>
        <v>6.6384288580233668E-3</v>
      </c>
      <c r="G75" s="25">
        <f t="shared" si="51"/>
        <v>1.6677638797454417E-2</v>
      </c>
      <c r="H75" s="393">
        <v>329076934.24000001</v>
      </c>
      <c r="I75" s="394">
        <v>1.3939999999999999</v>
      </c>
      <c r="J75" s="25">
        <f t="shared" si="52"/>
        <v>3.1737508956568182E-3</v>
      </c>
      <c r="K75" s="25">
        <f t="shared" si="53"/>
        <v>2.949852507374626E-3</v>
      </c>
      <c r="L75" s="393">
        <v>329076934.24000001</v>
      </c>
      <c r="M75" s="394">
        <v>1.3944000000000001</v>
      </c>
      <c r="N75" s="25">
        <f t="shared" si="54"/>
        <v>0</v>
      </c>
      <c r="O75" s="25">
        <f t="shared" si="55"/>
        <v>2.8694404591117506E-4</v>
      </c>
      <c r="P75" s="393">
        <v>341312067.02999997</v>
      </c>
      <c r="Q75" s="394">
        <v>1.4457</v>
      </c>
      <c r="R75" s="25">
        <f t="shared" si="56"/>
        <v>3.7180159157179711E-2</v>
      </c>
      <c r="S75" s="25">
        <f t="shared" si="57"/>
        <v>3.6790017211703885E-2</v>
      </c>
      <c r="T75" s="393">
        <v>337672067.02999997</v>
      </c>
      <c r="U75" s="394">
        <v>1.4137999999999999</v>
      </c>
      <c r="V75" s="25">
        <f t="shared" si="58"/>
        <v>-1.0664726951127862E-2</v>
      </c>
      <c r="W75" s="25">
        <f t="shared" si="59"/>
        <v>-2.2065435429203875E-2</v>
      </c>
      <c r="X75" s="393">
        <v>331462654.23000002</v>
      </c>
      <c r="Y75" s="394">
        <v>1.3561000000000001</v>
      </c>
      <c r="Z75" s="25">
        <f t="shared" si="60"/>
        <v>-1.8388884975339952E-2</v>
      </c>
      <c r="AA75" s="25">
        <f t="shared" si="61"/>
        <v>-4.0811996039043619E-2</v>
      </c>
      <c r="AB75" s="393">
        <v>331755186.32999998</v>
      </c>
      <c r="AC75" s="394">
        <v>1.3561000000000001</v>
      </c>
      <c r="AD75" s="25">
        <f t="shared" si="62"/>
        <v>8.8254919903277523E-4</v>
      </c>
      <c r="AE75" s="25">
        <f t="shared" si="63"/>
        <v>0</v>
      </c>
      <c r="AF75" s="393">
        <v>335225579.20999998</v>
      </c>
      <c r="AG75" s="394">
        <v>1.3714</v>
      </c>
      <c r="AH75" s="25">
        <f t="shared" si="64"/>
        <v>1.0460704227086183E-2</v>
      </c>
      <c r="AI75" s="25">
        <f t="shared" si="65"/>
        <v>1.1282353808716073E-2</v>
      </c>
      <c r="AJ75" s="26">
        <f t="shared" si="66"/>
        <v>3.6602475513138801E-3</v>
      </c>
      <c r="AK75" s="26">
        <f t="shared" si="67"/>
        <v>6.3867186286408503E-4</v>
      </c>
      <c r="AL75" s="27">
        <f t="shared" si="68"/>
        <v>2.19175721595989E-2</v>
      </c>
      <c r="AM75" s="27">
        <f t="shared" si="69"/>
        <v>-1.3310310094251357E-2</v>
      </c>
      <c r="AN75" s="28">
        <f t="shared" si="70"/>
        <v>1.6437844349038108E-2</v>
      </c>
      <c r="AO75" s="85">
        <f t="shared" si="71"/>
        <v>2.3655152636659422E-2</v>
      </c>
      <c r="AP75" s="32"/>
      <c r="AQ75" s="30"/>
      <c r="AR75" s="30"/>
      <c r="AS75" s="31"/>
      <c r="AT75" s="31"/>
    </row>
    <row r="76" spans="1:46" s="95" customFormat="1">
      <c r="A76" s="217" t="s">
        <v>148</v>
      </c>
      <c r="B76" s="393">
        <v>427741047.83999997</v>
      </c>
      <c r="C76" s="394">
        <v>1.2157</v>
      </c>
      <c r="D76" s="393">
        <v>430500523.10000002</v>
      </c>
      <c r="E76" s="394">
        <v>1.2295</v>
      </c>
      <c r="F76" s="25">
        <f t="shared" si="50"/>
        <v>6.4512753076535556E-3</v>
      </c>
      <c r="G76" s="25">
        <f t="shared" si="51"/>
        <v>1.1351484741301337E-2</v>
      </c>
      <c r="H76" s="393">
        <v>431046640.11000001</v>
      </c>
      <c r="I76" s="394">
        <v>1.2311000000000001</v>
      </c>
      <c r="J76" s="25">
        <f t="shared" si="52"/>
        <v>1.2685629417298853E-3</v>
      </c>
      <c r="K76" s="25">
        <f t="shared" si="53"/>
        <v>1.3013420089467635E-3</v>
      </c>
      <c r="L76" s="393">
        <v>434223646.60000002</v>
      </c>
      <c r="M76" s="394">
        <v>1.2404999999999999</v>
      </c>
      <c r="N76" s="25">
        <f t="shared" si="54"/>
        <v>7.3704471729306607E-3</v>
      </c>
      <c r="O76" s="25">
        <f t="shared" si="55"/>
        <v>7.63544797335704E-3</v>
      </c>
      <c r="P76" s="393">
        <v>433248355.13</v>
      </c>
      <c r="Q76" s="394">
        <v>1.2387999999999999</v>
      </c>
      <c r="R76" s="25">
        <f t="shared" si="56"/>
        <v>-2.2460579418846155E-3</v>
      </c>
      <c r="S76" s="25">
        <f t="shared" si="57"/>
        <v>-1.3704151551793913E-3</v>
      </c>
      <c r="T76" s="393">
        <v>426006472.60000002</v>
      </c>
      <c r="U76" s="394">
        <v>1.2181</v>
      </c>
      <c r="V76" s="25">
        <f t="shared" si="58"/>
        <v>-1.6715314540148643E-2</v>
      </c>
      <c r="W76" s="25">
        <f t="shared" si="59"/>
        <v>-1.6709719082983486E-2</v>
      </c>
      <c r="X76" s="393">
        <v>429134588.19999999</v>
      </c>
      <c r="Y76" s="394">
        <v>1.2272000000000001</v>
      </c>
      <c r="Z76" s="25">
        <f t="shared" si="60"/>
        <v>7.3428827991942674E-3</v>
      </c>
      <c r="AA76" s="25">
        <f t="shared" si="61"/>
        <v>7.4706510138741553E-3</v>
      </c>
      <c r="AB76" s="393">
        <v>426638654.23000002</v>
      </c>
      <c r="AC76" s="394">
        <v>1.2239</v>
      </c>
      <c r="AD76" s="25">
        <f t="shared" si="62"/>
        <v>-5.8162032113727646E-3</v>
      </c>
      <c r="AE76" s="25">
        <f t="shared" si="63"/>
        <v>-2.6890482398957633E-3</v>
      </c>
      <c r="AF76" s="393">
        <v>426430973.39999998</v>
      </c>
      <c r="AG76" s="394">
        <v>1.2234</v>
      </c>
      <c r="AH76" s="25">
        <f t="shared" si="64"/>
        <v>-4.867839046953364E-4</v>
      </c>
      <c r="AI76" s="25">
        <f t="shared" si="65"/>
        <v>-4.085301086689639E-4</v>
      </c>
      <c r="AJ76" s="26">
        <f t="shared" si="66"/>
        <v>-3.538989220741236E-4</v>
      </c>
      <c r="AK76" s="26">
        <f t="shared" si="67"/>
        <v>8.2265164384396142E-4</v>
      </c>
      <c r="AL76" s="27">
        <f t="shared" si="68"/>
        <v>-9.4530656332204761E-3</v>
      </c>
      <c r="AM76" s="27">
        <f t="shared" si="69"/>
        <v>-4.9613664091093896E-3</v>
      </c>
      <c r="AN76" s="28">
        <f t="shared" si="70"/>
        <v>8.1851726887083049E-3</v>
      </c>
      <c r="AO76" s="85">
        <f t="shared" si="71"/>
        <v>8.682798842540659E-3</v>
      </c>
      <c r="AP76" s="32"/>
      <c r="AQ76" s="30"/>
      <c r="AR76" s="30"/>
      <c r="AS76" s="31"/>
      <c r="AT76" s="31"/>
    </row>
    <row r="77" spans="1:46" s="95" customFormat="1">
      <c r="A77" s="217" t="s">
        <v>154</v>
      </c>
      <c r="B77" s="393">
        <v>947944881.15999997</v>
      </c>
      <c r="C77" s="394">
        <v>1.0629999999999999</v>
      </c>
      <c r="D77" s="393">
        <v>964410272.22000003</v>
      </c>
      <c r="E77" s="394">
        <v>1.0817000000000001</v>
      </c>
      <c r="F77" s="25">
        <f t="shared" si="50"/>
        <v>1.7369565875867556E-2</v>
      </c>
      <c r="G77" s="25">
        <f t="shared" si="51"/>
        <v>1.7591721542803539E-2</v>
      </c>
      <c r="H77" s="393">
        <v>1026359586.5</v>
      </c>
      <c r="I77" s="394">
        <v>1.1074999999999999</v>
      </c>
      <c r="J77" s="25">
        <f t="shared" si="52"/>
        <v>6.4235435959632922E-2</v>
      </c>
      <c r="K77" s="25">
        <f t="shared" si="53"/>
        <v>2.3851345104927264E-2</v>
      </c>
      <c r="L77" s="393">
        <v>1022278222.96</v>
      </c>
      <c r="M77" s="394">
        <v>1.1088</v>
      </c>
      <c r="N77" s="25">
        <f t="shared" si="54"/>
        <v>-3.9765434977012924E-3</v>
      </c>
      <c r="O77" s="25">
        <f t="shared" si="55"/>
        <v>1.1738148984199359E-3</v>
      </c>
      <c r="P77" s="393">
        <v>1027838657.5</v>
      </c>
      <c r="Q77" s="394">
        <v>1.1147</v>
      </c>
      <c r="R77" s="25">
        <f t="shared" si="56"/>
        <v>5.4392575476172808E-3</v>
      </c>
      <c r="S77" s="25">
        <f t="shared" si="57"/>
        <v>5.3210678210678358E-3</v>
      </c>
      <c r="T77" s="393">
        <v>1023618232.6</v>
      </c>
      <c r="U77" s="394">
        <v>1.1156999999999999</v>
      </c>
      <c r="V77" s="25">
        <f t="shared" si="58"/>
        <v>-4.1061161391470393E-3</v>
      </c>
      <c r="W77" s="25">
        <f t="shared" si="59"/>
        <v>8.9710235937910633E-4</v>
      </c>
      <c r="X77" s="393">
        <v>1003334455.79</v>
      </c>
      <c r="Y77" s="394">
        <v>1.117</v>
      </c>
      <c r="Z77" s="25">
        <f t="shared" si="60"/>
        <v>-1.9815763498544841E-2</v>
      </c>
      <c r="AA77" s="25">
        <f t="shared" si="61"/>
        <v>1.1651877744914216E-3</v>
      </c>
      <c r="AB77" s="393">
        <v>1003073941.77</v>
      </c>
      <c r="AC77" s="394">
        <v>1.1181000000000001</v>
      </c>
      <c r="AD77" s="25">
        <f t="shared" si="62"/>
        <v>-2.5964823444128493E-4</v>
      </c>
      <c r="AE77" s="25">
        <f t="shared" si="63"/>
        <v>9.8478066248889966E-4</v>
      </c>
      <c r="AF77" s="393">
        <v>1003134841.78</v>
      </c>
      <c r="AG77" s="394">
        <v>1.1192</v>
      </c>
      <c r="AH77" s="25">
        <f t="shared" si="64"/>
        <v>6.0713380603355899E-5</v>
      </c>
      <c r="AI77" s="25">
        <f t="shared" si="65"/>
        <v>9.838118236292629E-4</v>
      </c>
      <c r="AJ77" s="26">
        <f t="shared" si="66"/>
        <v>7.3683626742358337E-3</v>
      </c>
      <c r="AK77" s="26">
        <f t="shared" si="67"/>
        <v>6.4961039984009084E-3</v>
      </c>
      <c r="AL77" s="27">
        <f t="shared" si="68"/>
        <v>4.0153626185315192E-2</v>
      </c>
      <c r="AM77" s="27">
        <f t="shared" si="69"/>
        <v>3.466765276878974E-2</v>
      </c>
      <c r="AN77" s="28">
        <f t="shared" si="70"/>
        <v>2.5209253121493507E-2</v>
      </c>
      <c r="AO77" s="85">
        <f t="shared" si="71"/>
        <v>9.0597392812712309E-3</v>
      </c>
      <c r="AP77" s="32"/>
      <c r="AQ77" s="30"/>
      <c r="AR77" s="30"/>
      <c r="AS77" s="31"/>
      <c r="AT77" s="31"/>
    </row>
    <row r="78" spans="1:46" s="113" customFormat="1" ht="15.75" customHeight="1">
      <c r="A78" s="217" t="s">
        <v>178</v>
      </c>
      <c r="B78" s="393">
        <v>24040733530.689999</v>
      </c>
      <c r="C78" s="394">
        <v>114.54</v>
      </c>
      <c r="D78" s="393">
        <v>24210812747.16</v>
      </c>
      <c r="E78" s="394">
        <v>114.75</v>
      </c>
      <c r="F78" s="25">
        <f t="shared" si="50"/>
        <v>7.0746267476772678E-3</v>
      </c>
      <c r="G78" s="25">
        <f t="shared" si="51"/>
        <v>1.8334206390779966E-3</v>
      </c>
      <c r="H78" s="393">
        <v>23667193388.049999</v>
      </c>
      <c r="I78" s="394">
        <v>114.97</v>
      </c>
      <c r="J78" s="25">
        <f t="shared" si="52"/>
        <v>-2.2453577448521167E-2</v>
      </c>
      <c r="K78" s="25">
        <f t="shared" si="53"/>
        <v>1.9172113289760249E-3</v>
      </c>
      <c r="L78" s="393">
        <v>22875844665</v>
      </c>
      <c r="M78" s="394">
        <v>115.18</v>
      </c>
      <c r="N78" s="25">
        <f t="shared" si="54"/>
        <v>-3.3436525830289859E-2</v>
      </c>
      <c r="O78" s="25">
        <f t="shared" si="55"/>
        <v>1.8265634513352001E-3</v>
      </c>
      <c r="P78" s="393">
        <v>22373892491.91</v>
      </c>
      <c r="Q78" s="394">
        <v>115.35</v>
      </c>
      <c r="R78" s="25">
        <f t="shared" si="56"/>
        <v>-2.1942454166861258E-2</v>
      </c>
      <c r="S78" s="25">
        <f t="shared" si="57"/>
        <v>1.4759506858828572E-3</v>
      </c>
      <c r="T78" s="393">
        <v>21349180755.75</v>
      </c>
      <c r="U78" s="394">
        <v>115.56</v>
      </c>
      <c r="V78" s="25">
        <f t="shared" si="58"/>
        <v>-4.5799439526694664E-2</v>
      </c>
      <c r="W78" s="25">
        <f t="shared" si="59"/>
        <v>1.8205461638492238E-3</v>
      </c>
      <c r="X78" s="393">
        <v>21151189880.599998</v>
      </c>
      <c r="Y78" s="394">
        <v>115.75</v>
      </c>
      <c r="Z78" s="25">
        <f t="shared" si="60"/>
        <v>-9.2739331506515258E-3</v>
      </c>
      <c r="AA78" s="25">
        <f t="shared" si="61"/>
        <v>1.6441675320179796E-3</v>
      </c>
      <c r="AB78" s="393">
        <v>26446086162.439999</v>
      </c>
      <c r="AC78" s="394">
        <v>115.89</v>
      </c>
      <c r="AD78" s="25">
        <f t="shared" si="62"/>
        <v>0.25033562233283679</v>
      </c>
      <c r="AE78" s="25">
        <f t="shared" si="63"/>
        <v>1.2095032397408257E-3</v>
      </c>
      <c r="AF78" s="393">
        <v>20037422223.549999</v>
      </c>
      <c r="AG78" s="394">
        <v>116.05</v>
      </c>
      <c r="AH78" s="25">
        <f t="shared" si="64"/>
        <v>-0.24232939042571416</v>
      </c>
      <c r="AI78" s="25">
        <f t="shared" si="65"/>
        <v>1.3806195530243902E-3</v>
      </c>
      <c r="AJ78" s="26">
        <f t="shared" si="66"/>
        <v>-1.4728133933527322E-2</v>
      </c>
      <c r="AK78" s="26">
        <f t="shared" si="67"/>
        <v>1.6384978242380622E-3</v>
      </c>
      <c r="AL78" s="27">
        <f t="shared" si="68"/>
        <v>-0.17237713443137309</v>
      </c>
      <c r="AM78" s="27">
        <f t="shared" si="69"/>
        <v>1.1328976034858364E-2</v>
      </c>
      <c r="AN78" s="28">
        <f t="shared" si="70"/>
        <v>0.13309148001866869</v>
      </c>
      <c r="AO78" s="85">
        <f t="shared" si="71"/>
        <v>2.5667591394178292E-4</v>
      </c>
      <c r="AP78" s="32"/>
      <c r="AQ78" s="30"/>
      <c r="AR78" s="30"/>
      <c r="AS78" s="31"/>
      <c r="AT78" s="31"/>
    </row>
    <row r="79" spans="1:46" s="113" customFormat="1" ht="15.75" customHeight="1">
      <c r="A79" s="217" t="s">
        <v>183</v>
      </c>
      <c r="B79" s="393">
        <v>243633320.91999999</v>
      </c>
      <c r="C79" s="393">
        <v>1105.72</v>
      </c>
      <c r="D79" s="393">
        <v>246720067.06999999</v>
      </c>
      <c r="E79" s="393">
        <v>1123.29</v>
      </c>
      <c r="F79" s="25">
        <f t="shared" si="50"/>
        <v>1.2669638694510005E-2</v>
      </c>
      <c r="G79" s="25">
        <f t="shared" si="51"/>
        <v>1.5890098759179482E-2</v>
      </c>
      <c r="H79" s="393">
        <v>247256046.61000001</v>
      </c>
      <c r="I79" s="393">
        <v>1125.73</v>
      </c>
      <c r="J79" s="25">
        <f t="shared" si="52"/>
        <v>2.1724197239616997E-3</v>
      </c>
      <c r="K79" s="25">
        <f t="shared" si="53"/>
        <v>2.1721906186292538E-3</v>
      </c>
      <c r="L79" s="393">
        <v>248673933.28999999</v>
      </c>
      <c r="M79" s="393">
        <v>1128.1300000000001</v>
      </c>
      <c r="N79" s="25">
        <f t="shared" si="54"/>
        <v>5.7344873843931804E-3</v>
      </c>
      <c r="O79" s="25">
        <f t="shared" si="55"/>
        <v>2.1319499347091141E-3</v>
      </c>
      <c r="P79" s="393">
        <v>249792009.34999999</v>
      </c>
      <c r="Q79" s="393">
        <v>1131.1300000000001</v>
      </c>
      <c r="R79" s="25">
        <f t="shared" si="56"/>
        <v>4.4961530354535309E-3</v>
      </c>
      <c r="S79" s="25">
        <f t="shared" si="57"/>
        <v>2.6592679921640236E-3</v>
      </c>
      <c r="T79" s="393">
        <v>243576735.93000001</v>
      </c>
      <c r="U79" s="393">
        <v>1101.98</v>
      </c>
      <c r="V79" s="25">
        <f t="shared" si="58"/>
        <v>-2.4881794402363603E-2</v>
      </c>
      <c r="W79" s="25">
        <f t="shared" si="59"/>
        <v>-2.5770689487503724E-2</v>
      </c>
      <c r="X79" s="393">
        <v>244186014.75</v>
      </c>
      <c r="Y79" s="78">
        <v>1104.29</v>
      </c>
      <c r="Z79" s="25">
        <f t="shared" si="60"/>
        <v>2.5013834661742479E-3</v>
      </c>
      <c r="AA79" s="25">
        <f t="shared" si="61"/>
        <v>2.0962267917747556E-3</v>
      </c>
      <c r="AB79" s="393">
        <v>245300840.37</v>
      </c>
      <c r="AC79" s="78">
        <v>1107.05</v>
      </c>
      <c r="AD79" s="25">
        <f t="shared" si="62"/>
        <v>4.5654769424095564E-3</v>
      </c>
      <c r="AE79" s="25">
        <f t="shared" si="63"/>
        <v>2.4993434695596184E-3</v>
      </c>
      <c r="AF79" s="393">
        <v>244211454.37</v>
      </c>
      <c r="AG79" s="78">
        <v>1103.78</v>
      </c>
      <c r="AH79" s="25">
        <f t="shared" si="64"/>
        <v>-4.4410202523432959E-3</v>
      </c>
      <c r="AI79" s="25">
        <f t="shared" si="65"/>
        <v>-2.9537961248362601E-3</v>
      </c>
      <c r="AJ79" s="26">
        <f t="shared" si="66"/>
        <v>3.5209307402441555E-4</v>
      </c>
      <c r="AK79" s="26">
        <f t="shared" si="67"/>
        <v>-1.5942600579046728E-4</v>
      </c>
      <c r="AL79" s="27">
        <f t="shared" si="68"/>
        <v>-1.0167850267681059E-2</v>
      </c>
      <c r="AM79" s="27">
        <f t="shared" si="69"/>
        <v>-1.7368622528465483E-2</v>
      </c>
      <c r="AN79" s="28">
        <f t="shared" si="70"/>
        <v>1.1233076070528735E-2</v>
      </c>
      <c r="AO79" s="85">
        <f t="shared" si="71"/>
        <v>1.1662647745060978E-2</v>
      </c>
      <c r="AP79" s="32"/>
      <c r="AQ79" s="30"/>
      <c r="AR79" s="30"/>
      <c r="AS79" s="31"/>
      <c r="AT79" s="31"/>
    </row>
    <row r="80" spans="1:46" s="311" customFormat="1" ht="15.75" customHeight="1">
      <c r="A80" s="217" t="s">
        <v>192</v>
      </c>
      <c r="B80" s="393">
        <v>1280114718.01</v>
      </c>
      <c r="C80" s="394">
        <v>1.0374000000000001</v>
      </c>
      <c r="D80" s="393">
        <v>1281617986.0999999</v>
      </c>
      <c r="E80" s="394">
        <v>1.0392999999999999</v>
      </c>
      <c r="F80" s="25">
        <f t="shared" si="50"/>
        <v>1.174322948443884E-3</v>
      </c>
      <c r="G80" s="25">
        <f t="shared" si="51"/>
        <v>1.8315018315016296E-3</v>
      </c>
      <c r="H80" s="393">
        <v>1282595713.29</v>
      </c>
      <c r="I80" s="394">
        <v>1.0409999999999999</v>
      </c>
      <c r="J80" s="25">
        <f t="shared" si="52"/>
        <v>7.6288504109973433E-4</v>
      </c>
      <c r="K80" s="25">
        <f t="shared" si="53"/>
        <v>1.6357163475416482E-3</v>
      </c>
      <c r="L80" s="393">
        <v>1292594143.1500001</v>
      </c>
      <c r="M80" s="394">
        <v>1.0426</v>
      </c>
      <c r="N80" s="25">
        <f t="shared" si="54"/>
        <v>7.7954648970041032E-3</v>
      </c>
      <c r="O80" s="25">
        <f t="shared" si="55"/>
        <v>1.5369836695485553E-3</v>
      </c>
      <c r="P80" s="393">
        <v>1283931018.8599999</v>
      </c>
      <c r="Q80" s="394">
        <v>1.0442</v>
      </c>
      <c r="R80" s="25">
        <f t="shared" si="56"/>
        <v>-6.7021224998656684E-3</v>
      </c>
      <c r="S80" s="25">
        <f t="shared" si="57"/>
        <v>1.5346249760215288E-3</v>
      </c>
      <c r="T80" s="393">
        <v>1324407119.21</v>
      </c>
      <c r="U80" s="394">
        <v>1.046</v>
      </c>
      <c r="V80" s="25">
        <f t="shared" si="58"/>
        <v>3.1525136284921915E-2</v>
      </c>
      <c r="W80" s="25">
        <f t="shared" si="59"/>
        <v>1.7238076996744147E-3</v>
      </c>
      <c r="X80" s="393">
        <v>1341122344.1199999</v>
      </c>
      <c r="Y80" s="394">
        <v>1.046</v>
      </c>
      <c r="Z80" s="25">
        <f t="shared" si="60"/>
        <v>1.2620911400695555E-2</v>
      </c>
      <c r="AA80" s="25">
        <f t="shared" si="61"/>
        <v>0</v>
      </c>
      <c r="AB80" s="393">
        <v>1350463246.6500001</v>
      </c>
      <c r="AC80" s="394">
        <v>1.0492999999999999</v>
      </c>
      <c r="AD80" s="25">
        <f t="shared" si="62"/>
        <v>6.96498911598509E-3</v>
      </c>
      <c r="AE80" s="25">
        <f t="shared" si="63"/>
        <v>3.154875717017073E-3</v>
      </c>
      <c r="AF80" s="393">
        <v>1346391519.6800001</v>
      </c>
      <c r="AG80" s="394">
        <v>1.0125999999999999</v>
      </c>
      <c r="AH80" s="25">
        <f t="shared" si="64"/>
        <v>-3.0150594472678005E-3</v>
      </c>
      <c r="AI80" s="25">
        <f t="shared" si="65"/>
        <v>-3.4975698084437207E-2</v>
      </c>
      <c r="AJ80" s="26">
        <f t="shared" si="66"/>
        <v>6.3908159676271019E-3</v>
      </c>
      <c r="AK80" s="26">
        <f t="shared" si="67"/>
        <v>-2.9447734803915446E-3</v>
      </c>
      <c r="AL80" s="27">
        <f t="shared" si="68"/>
        <v>5.0540437386578721E-2</v>
      </c>
      <c r="AM80" s="27">
        <f t="shared" si="69"/>
        <v>-2.5690368517271189E-2</v>
      </c>
      <c r="AN80" s="28">
        <f t="shared" si="70"/>
        <v>1.1902171448363294E-2</v>
      </c>
      <c r="AO80" s="85">
        <f t="shared" si="71"/>
        <v>1.2970284956712971E-2</v>
      </c>
      <c r="AP80" s="32"/>
      <c r="AQ80" s="30"/>
      <c r="AR80" s="30"/>
      <c r="AS80" s="31"/>
      <c r="AT80" s="31"/>
    </row>
    <row r="81" spans="1:46" s="311" customFormat="1" ht="15.75" customHeight="1">
      <c r="A81" s="217" t="s">
        <v>241</v>
      </c>
      <c r="B81" s="393">
        <v>2436059436.8899999</v>
      </c>
      <c r="C81" s="394">
        <v>109.07</v>
      </c>
      <c r="D81" s="393">
        <v>1987822943.95</v>
      </c>
      <c r="E81" s="394">
        <v>108.19</v>
      </c>
      <c r="F81" s="25">
        <f t="shared" si="50"/>
        <v>-0.18400063896316168</v>
      </c>
      <c r="G81" s="25">
        <f t="shared" si="51"/>
        <v>-8.0682130741725078E-3</v>
      </c>
      <c r="H81" s="393">
        <v>2049611821.29</v>
      </c>
      <c r="I81" s="394">
        <v>108.39</v>
      </c>
      <c r="J81" s="25">
        <f t="shared" si="52"/>
        <v>3.1083692603537078E-2</v>
      </c>
      <c r="K81" s="25">
        <f t="shared" si="53"/>
        <v>1.8485996857380796E-3</v>
      </c>
      <c r="L81" s="393">
        <v>1999948878.1800001</v>
      </c>
      <c r="M81" s="394">
        <v>108.55</v>
      </c>
      <c r="N81" s="25">
        <f t="shared" si="54"/>
        <v>-2.4230414068719931E-2</v>
      </c>
      <c r="O81" s="25">
        <f t="shared" si="55"/>
        <v>1.4761509364332188E-3</v>
      </c>
      <c r="P81" s="393">
        <v>2003707828.8</v>
      </c>
      <c r="Q81" s="394">
        <v>108.78</v>
      </c>
      <c r="R81" s="25">
        <f t="shared" si="56"/>
        <v>1.8795233523271945E-3</v>
      </c>
      <c r="S81" s="25">
        <f t="shared" si="57"/>
        <v>2.1188392445877845E-3</v>
      </c>
      <c r="T81" s="393">
        <v>2008744570.27</v>
      </c>
      <c r="U81" s="394">
        <v>108.97</v>
      </c>
      <c r="V81" s="25">
        <f t="shared" si="58"/>
        <v>2.513710530849441E-3</v>
      </c>
      <c r="W81" s="25">
        <f t="shared" si="59"/>
        <v>1.7466446037874401E-3</v>
      </c>
      <c r="X81" s="393">
        <v>2026614723.6400001</v>
      </c>
      <c r="Y81" s="394">
        <v>109.18</v>
      </c>
      <c r="Z81" s="25">
        <f t="shared" si="60"/>
        <v>8.8961800492126063E-3</v>
      </c>
      <c r="AA81" s="25">
        <f t="shared" si="61"/>
        <v>1.9271359089658435E-3</v>
      </c>
      <c r="AB81" s="393">
        <v>1728347180.1600001</v>
      </c>
      <c r="AC81" s="394">
        <v>108.04</v>
      </c>
      <c r="AD81" s="25">
        <f t="shared" si="62"/>
        <v>-0.14717525733962994</v>
      </c>
      <c r="AE81" s="25">
        <f t="shared" si="63"/>
        <v>-1.0441472797215611E-2</v>
      </c>
      <c r="AF81" s="393">
        <v>1891581941.0999999</v>
      </c>
      <c r="AG81" s="394">
        <v>108.22</v>
      </c>
      <c r="AH81" s="25">
        <f t="shared" si="64"/>
        <v>9.4445585246876448E-2</v>
      </c>
      <c r="AI81" s="25">
        <f t="shared" si="65"/>
        <v>1.6660496112550223E-3</v>
      </c>
      <c r="AJ81" s="26">
        <f t="shared" si="66"/>
        <v>-2.7073452323588591E-2</v>
      </c>
      <c r="AK81" s="26">
        <f t="shared" si="67"/>
        <v>-9.657832350775914E-4</v>
      </c>
      <c r="AL81" s="27">
        <f t="shared" si="68"/>
        <v>-4.8415279209304121E-2</v>
      </c>
      <c r="AM81" s="27">
        <f t="shared" si="69"/>
        <v>2.772899528607185E-4</v>
      </c>
      <c r="AN81" s="28">
        <f t="shared" si="70"/>
        <v>9.2747959391235382E-2</v>
      </c>
      <c r="AO81" s="85">
        <f t="shared" si="71"/>
        <v>5.1586914446586944E-3</v>
      </c>
      <c r="AP81" s="32"/>
      <c r="AQ81" s="30"/>
      <c r="AR81" s="30"/>
      <c r="AS81" s="31"/>
      <c r="AT81" s="31"/>
    </row>
    <row r="82" spans="1:46" s="314" customFormat="1" ht="15.75" customHeight="1">
      <c r="A82" s="217" t="s">
        <v>243</v>
      </c>
      <c r="B82" s="393">
        <v>367323796.73000002</v>
      </c>
      <c r="C82" s="394">
        <v>104.89</v>
      </c>
      <c r="D82" s="393">
        <v>368831698.93000001</v>
      </c>
      <c r="E82" s="394">
        <v>105.13</v>
      </c>
      <c r="F82" s="25">
        <f t="shared" si="50"/>
        <v>4.1051034902276316E-3</v>
      </c>
      <c r="G82" s="25">
        <f t="shared" si="51"/>
        <v>2.2881113547525492E-3</v>
      </c>
      <c r="H82" s="393">
        <v>363630273.51999998</v>
      </c>
      <c r="I82" s="394">
        <v>105.72</v>
      </c>
      <c r="J82" s="25">
        <f t="shared" si="52"/>
        <v>-1.4102435948671528E-2</v>
      </c>
      <c r="K82" s="25">
        <f t="shared" si="53"/>
        <v>5.612099305621644E-3</v>
      </c>
      <c r="L82" s="393">
        <v>360867459.51999998</v>
      </c>
      <c r="M82" s="394">
        <v>105.83</v>
      </c>
      <c r="N82" s="25">
        <f t="shared" si="54"/>
        <v>-7.5978657476879269E-3</v>
      </c>
      <c r="O82" s="25">
        <f t="shared" si="55"/>
        <v>1.0404842981460408E-3</v>
      </c>
      <c r="P82" s="393">
        <v>366295470.23000002</v>
      </c>
      <c r="Q82" s="394">
        <v>105.79</v>
      </c>
      <c r="R82" s="25">
        <f t="shared" si="56"/>
        <v>1.5041563229945943E-2</v>
      </c>
      <c r="S82" s="25">
        <f t="shared" si="57"/>
        <v>-3.7796466030418638E-4</v>
      </c>
      <c r="T82" s="393">
        <v>367417908.73000002</v>
      </c>
      <c r="U82" s="394">
        <v>106.06</v>
      </c>
      <c r="V82" s="25">
        <f t="shared" si="58"/>
        <v>3.0642980632417088E-3</v>
      </c>
      <c r="W82" s="25">
        <f t="shared" si="59"/>
        <v>2.5522261083277815E-3</v>
      </c>
      <c r="X82" s="393">
        <v>367032930.50999999</v>
      </c>
      <c r="Y82" s="394">
        <v>106.25</v>
      </c>
      <c r="Z82" s="25">
        <f t="shared" si="60"/>
        <v>-1.0477938359910836E-3</v>
      </c>
      <c r="AA82" s="25">
        <f t="shared" si="61"/>
        <v>1.7914388082217398E-3</v>
      </c>
      <c r="AB82" s="393">
        <v>367920524.94</v>
      </c>
      <c r="AC82" s="394">
        <v>115.08</v>
      </c>
      <c r="AD82" s="25">
        <f t="shared" si="62"/>
        <v>2.4182964421385188E-3</v>
      </c>
      <c r="AE82" s="25">
        <f t="shared" si="63"/>
        <v>8.3105882352941154E-2</v>
      </c>
      <c r="AF82" s="393">
        <v>368789026.88999999</v>
      </c>
      <c r="AG82" s="394">
        <v>106.65</v>
      </c>
      <c r="AH82" s="25">
        <f t="shared" si="64"/>
        <v>2.3605694467347866E-3</v>
      </c>
      <c r="AI82" s="25">
        <f t="shared" si="65"/>
        <v>-7.3253388946819542E-2</v>
      </c>
      <c r="AJ82" s="26">
        <f t="shared" si="66"/>
        <v>5.3021689249225634E-4</v>
      </c>
      <c r="AK82" s="26">
        <f t="shared" si="67"/>
        <v>2.8448610776108975E-3</v>
      </c>
      <c r="AL82" s="27">
        <f t="shared" si="68"/>
        <v>-1.1569515343669015E-4</v>
      </c>
      <c r="AM82" s="27">
        <f t="shared" si="69"/>
        <v>1.4458289736516791E-2</v>
      </c>
      <c r="AN82" s="28">
        <f t="shared" si="70"/>
        <v>8.6136599437470381E-3</v>
      </c>
      <c r="AO82" s="85">
        <f t="shared" si="71"/>
        <v>4.1842528750417052E-2</v>
      </c>
      <c r="AP82" s="32"/>
      <c r="AQ82" s="30"/>
      <c r="AR82" s="30"/>
      <c r="AS82" s="31"/>
      <c r="AT82" s="31"/>
    </row>
    <row r="83" spans="1:46" s="330" customFormat="1" ht="15.75" customHeight="1">
      <c r="A83" s="217" t="s">
        <v>247</v>
      </c>
      <c r="B83" s="393">
        <v>889862484.91999996</v>
      </c>
      <c r="C83" s="394">
        <v>1.0290999999999999</v>
      </c>
      <c r="D83" s="393">
        <v>888628441.63</v>
      </c>
      <c r="E83" s="394">
        <v>1.0306999999999999</v>
      </c>
      <c r="F83" s="25">
        <f t="shared" si="50"/>
        <v>-1.3867797675625175E-3</v>
      </c>
      <c r="G83" s="25">
        <f t="shared" si="51"/>
        <v>1.5547565834224525E-3</v>
      </c>
      <c r="H83" s="393">
        <v>886592223.48000002</v>
      </c>
      <c r="I83" s="394">
        <v>1.0351999999999999</v>
      </c>
      <c r="J83" s="25">
        <f t="shared" si="52"/>
        <v>-2.2914168111308332E-3</v>
      </c>
      <c r="K83" s="25">
        <f t="shared" si="53"/>
        <v>4.3659648782380413E-3</v>
      </c>
      <c r="L83" s="393">
        <v>877500150.46000004</v>
      </c>
      <c r="M83" s="394">
        <v>1.0367999999999999</v>
      </c>
      <c r="N83" s="25">
        <f t="shared" si="54"/>
        <v>-1.0255078692560947E-2</v>
      </c>
      <c r="O83" s="25">
        <f t="shared" si="55"/>
        <v>1.5455950540958713E-3</v>
      </c>
      <c r="P83" s="393">
        <v>873158180.47000003</v>
      </c>
      <c r="Q83" s="394">
        <v>1.0381</v>
      </c>
      <c r="R83" s="25">
        <f t="shared" si="56"/>
        <v>-4.9481131002927772E-3</v>
      </c>
      <c r="S83" s="25">
        <f t="shared" si="57"/>
        <v>1.2538580246914341E-3</v>
      </c>
      <c r="T83" s="393">
        <v>873265802.91999996</v>
      </c>
      <c r="U83" s="394">
        <v>1.0395000000000001</v>
      </c>
      <c r="V83" s="25">
        <f t="shared" si="58"/>
        <v>1.2325653290220324E-4</v>
      </c>
      <c r="W83" s="25">
        <f t="shared" si="59"/>
        <v>1.3486176668915015E-3</v>
      </c>
      <c r="X83" s="393">
        <v>868481092.48000002</v>
      </c>
      <c r="Y83" s="394">
        <v>1.0407</v>
      </c>
      <c r="Z83" s="25">
        <f t="shared" si="60"/>
        <v>-5.4790997471800308E-3</v>
      </c>
      <c r="AA83" s="25">
        <f t="shared" si="61"/>
        <v>1.1544011544010271E-3</v>
      </c>
      <c r="AB83" s="393">
        <v>867392324.47000003</v>
      </c>
      <c r="AC83" s="394">
        <v>1.0419</v>
      </c>
      <c r="AD83" s="25">
        <f t="shared" si="62"/>
        <v>-1.2536461869203713E-3</v>
      </c>
      <c r="AE83" s="25">
        <f t="shared" si="63"/>
        <v>1.1530700490055635E-3</v>
      </c>
      <c r="AF83" s="393">
        <v>868095152.28999996</v>
      </c>
      <c r="AG83" s="394">
        <v>1.0430999999999999</v>
      </c>
      <c r="AH83" s="25">
        <f t="shared" si="64"/>
        <v>8.1027673426713783E-4</v>
      </c>
      <c r="AI83" s="25">
        <f t="shared" si="65"/>
        <v>1.1517420097896802E-3</v>
      </c>
      <c r="AJ83" s="26">
        <f t="shared" si="66"/>
        <v>-3.0850751298097672E-3</v>
      </c>
      <c r="AK83" s="26">
        <f t="shared" si="67"/>
        <v>1.6910006775669468E-3</v>
      </c>
      <c r="AL83" s="27">
        <f t="shared" si="68"/>
        <v>-2.3106720849870706E-2</v>
      </c>
      <c r="AM83" s="27">
        <f t="shared" si="69"/>
        <v>1.2030658775589374E-2</v>
      </c>
      <c r="AN83" s="28">
        <f t="shared" si="70"/>
        <v>3.6439108950592444E-3</v>
      </c>
      <c r="AO83" s="85">
        <f t="shared" si="71"/>
        <v>1.0935895592392505E-3</v>
      </c>
      <c r="AP83" s="32"/>
      <c r="AQ83" s="30"/>
      <c r="AR83" s="30"/>
      <c r="AS83" s="31"/>
      <c r="AT83" s="31"/>
    </row>
    <row r="84" spans="1:46" s="330" customFormat="1" ht="15.75" customHeight="1">
      <c r="A84" s="217" t="s">
        <v>260</v>
      </c>
      <c r="B84" s="393">
        <v>413737915.79000002</v>
      </c>
      <c r="C84" s="78">
        <v>1000</v>
      </c>
      <c r="D84" s="393">
        <v>414865997.49000001</v>
      </c>
      <c r="E84" s="78">
        <v>1000</v>
      </c>
      <c r="F84" s="25">
        <f t="shared" si="50"/>
        <v>2.7265610835932328E-3</v>
      </c>
      <c r="G84" s="25">
        <f t="shared" si="51"/>
        <v>0</v>
      </c>
      <c r="H84" s="393">
        <v>416673586.12</v>
      </c>
      <c r="I84" s="78">
        <v>1000</v>
      </c>
      <c r="J84" s="25">
        <f t="shared" si="52"/>
        <v>4.3570421315223973E-3</v>
      </c>
      <c r="K84" s="25">
        <f t="shared" si="53"/>
        <v>0</v>
      </c>
      <c r="L84" s="393">
        <v>428192921.66000003</v>
      </c>
      <c r="M84" s="78">
        <v>1000</v>
      </c>
      <c r="N84" s="25">
        <f t="shared" si="54"/>
        <v>2.7645946188397236E-2</v>
      </c>
      <c r="O84" s="25">
        <f t="shared" si="55"/>
        <v>0</v>
      </c>
      <c r="P84" s="393">
        <v>390608749.48000002</v>
      </c>
      <c r="Q84" s="78">
        <v>1000</v>
      </c>
      <c r="R84" s="25">
        <f t="shared" si="56"/>
        <v>-8.7773922171098237E-2</v>
      </c>
      <c r="S84" s="25">
        <f t="shared" si="57"/>
        <v>0</v>
      </c>
      <c r="T84" s="393">
        <v>395480500.27999997</v>
      </c>
      <c r="U84" s="78">
        <v>1000</v>
      </c>
      <c r="V84" s="25">
        <f t="shared" si="58"/>
        <v>1.247220090816065E-2</v>
      </c>
      <c r="W84" s="25">
        <f t="shared" si="59"/>
        <v>0</v>
      </c>
      <c r="X84" s="393">
        <v>395198998.81</v>
      </c>
      <c r="Y84" s="78">
        <v>1000</v>
      </c>
      <c r="Z84" s="25">
        <f t="shared" si="60"/>
        <v>-7.1179608046582855E-4</v>
      </c>
      <c r="AA84" s="25">
        <f t="shared" si="61"/>
        <v>0</v>
      </c>
      <c r="AB84" s="393">
        <v>395937942.35000002</v>
      </c>
      <c r="AC84" s="78">
        <v>1000</v>
      </c>
      <c r="AD84" s="25">
        <f t="shared" si="62"/>
        <v>1.8698011437910643E-3</v>
      </c>
      <c r="AE84" s="25">
        <f t="shared" si="63"/>
        <v>0</v>
      </c>
      <c r="AF84" s="393">
        <v>400914957.50999999</v>
      </c>
      <c r="AG84" s="78">
        <v>1000</v>
      </c>
      <c r="AH84" s="25">
        <f t="shared" si="64"/>
        <v>1.2570189991037534E-2</v>
      </c>
      <c r="AI84" s="25">
        <f t="shared" si="65"/>
        <v>0</v>
      </c>
      <c r="AJ84" s="26">
        <f t="shared" si="66"/>
        <v>-3.3554971006327433E-3</v>
      </c>
      <c r="AK84" s="26">
        <f t="shared" si="67"/>
        <v>0</v>
      </c>
      <c r="AL84" s="27">
        <f t="shared" si="68"/>
        <v>-3.3627822150780862E-2</v>
      </c>
      <c r="AM84" s="27">
        <f t="shared" si="69"/>
        <v>0</v>
      </c>
      <c r="AN84" s="28">
        <f t="shared" si="70"/>
        <v>3.5299678470755727E-2</v>
      </c>
      <c r="AO84" s="85">
        <f t="shared" si="71"/>
        <v>0</v>
      </c>
      <c r="AP84" s="32"/>
      <c r="AQ84" s="30"/>
      <c r="AR84" s="30"/>
      <c r="AS84" s="31"/>
      <c r="AT84" s="31"/>
    </row>
    <row r="85" spans="1:46" s="119" customFormat="1" ht="15.75" customHeight="1">
      <c r="A85" s="217" t="s">
        <v>270</v>
      </c>
      <c r="B85" s="393"/>
      <c r="C85" s="78"/>
      <c r="D85" s="393">
        <v>52580649.780000001</v>
      </c>
      <c r="E85" s="78">
        <v>101.70099999999999</v>
      </c>
      <c r="F85" s="25" t="e">
        <f>((#REF!-B85)/B85)</f>
        <v>#REF!</v>
      </c>
      <c r="G85" s="25" t="e">
        <f>((E85-C85)/C85)</f>
        <v>#DIV/0!</v>
      </c>
      <c r="H85" s="393">
        <v>52686146</v>
      </c>
      <c r="I85" s="78">
        <v>101.905</v>
      </c>
      <c r="J85" s="25" t="e">
        <f>((#REF!-D85)/D85)</f>
        <v>#REF!</v>
      </c>
      <c r="K85" s="25">
        <f t="shared" si="53"/>
        <v>2.0058799815145154E-3</v>
      </c>
      <c r="L85" s="393">
        <v>54791189.200000003</v>
      </c>
      <c r="M85" s="78">
        <v>102.1018</v>
      </c>
      <c r="N85" s="25" t="e">
        <f>((#REF!-H85)/H85)</f>
        <v>#REF!</v>
      </c>
      <c r="O85" s="25">
        <f t="shared" si="55"/>
        <v>1.9312104410970619E-3</v>
      </c>
      <c r="P85" s="393">
        <v>54911054.799999997</v>
      </c>
      <c r="Q85" s="78">
        <v>102.1018</v>
      </c>
      <c r="R85" s="25" t="e">
        <f>((#REF!-L85)/L85)</f>
        <v>#REF!</v>
      </c>
      <c r="S85" s="25">
        <f t="shared" si="57"/>
        <v>0</v>
      </c>
      <c r="T85" s="393">
        <v>54982272.899999999</v>
      </c>
      <c r="U85" s="78">
        <v>102.4019</v>
      </c>
      <c r="V85" s="25" t="e">
        <f>((#REF!-P85)/P85)</f>
        <v>#REF!</v>
      </c>
      <c r="W85" s="25">
        <f t="shared" si="59"/>
        <v>2.9392234025257193E-3</v>
      </c>
      <c r="X85" s="393">
        <v>55080400.369999997</v>
      </c>
      <c r="Y85" s="78">
        <v>102.5847</v>
      </c>
      <c r="Z85" s="25" t="e">
        <f>((#REF!-T85)/T85)</f>
        <v>#REF!</v>
      </c>
      <c r="AA85" s="25">
        <f t="shared" si="61"/>
        <v>1.7851231275982213E-3</v>
      </c>
      <c r="AB85" s="393">
        <v>55180067.270000003</v>
      </c>
      <c r="AC85" s="78">
        <v>102.7688</v>
      </c>
      <c r="AD85" s="25" t="e">
        <f>((#REF!-X85)/X85)</f>
        <v>#REF!</v>
      </c>
      <c r="AE85" s="25">
        <f t="shared" si="63"/>
        <v>1.7946145965236611E-3</v>
      </c>
      <c r="AF85" s="393">
        <v>55288822.280000001</v>
      </c>
      <c r="AG85" s="78">
        <v>102.95269999999999</v>
      </c>
      <c r="AH85" s="25" t="e">
        <f>((#REF!-AB85)/AB85)</f>
        <v>#REF!</v>
      </c>
      <c r="AI85" s="25">
        <f t="shared" si="65"/>
        <v>1.7894536084881226E-3</v>
      </c>
      <c r="AJ85" s="26" t="e">
        <f t="shared" si="66"/>
        <v>#REF!</v>
      </c>
      <c r="AK85" s="26" t="e">
        <f t="shared" si="67"/>
        <v>#DIV/0!</v>
      </c>
      <c r="AL85" s="27">
        <f t="shared" si="68"/>
        <v>5.1505116641409443E-2</v>
      </c>
      <c r="AM85" s="27">
        <f t="shared" si="69"/>
        <v>1.2307646925792269E-2</v>
      </c>
      <c r="AN85" s="28" t="e">
        <f t="shared" si="70"/>
        <v>#REF!</v>
      </c>
      <c r="AO85" s="85" t="e">
        <f t="shared" si="71"/>
        <v>#DIV/0!</v>
      </c>
      <c r="AP85" s="32"/>
      <c r="AQ85" s="30"/>
      <c r="AR85" s="30"/>
      <c r="AS85" s="31"/>
      <c r="AT85" s="31"/>
    </row>
    <row r="86" spans="1:46">
      <c r="A86" s="219" t="s">
        <v>46</v>
      </c>
      <c r="B86" s="82">
        <f>SUM(B56:B85)</f>
        <v>337601112067.86987</v>
      </c>
      <c r="C86" s="94"/>
      <c r="D86" s="82">
        <f>SUM(D56:D85)</f>
        <v>337795097303.112</v>
      </c>
      <c r="E86" s="94"/>
      <c r="F86" s="25">
        <f>((D85-B86)/B86)</f>
        <v>-0.99984425214283812</v>
      </c>
      <c r="G86" s="25"/>
      <c r="H86" s="82">
        <f>SUM(H56:H85)</f>
        <v>346978671755.57391</v>
      </c>
      <c r="I86" s="94"/>
      <c r="J86" s="25">
        <f>((H85-D86)/D86)</f>
        <v>-0.9998440292756744</v>
      </c>
      <c r="K86" s="25"/>
      <c r="L86" s="82">
        <f>SUM(L56:L85)</f>
        <v>346020331729.3703</v>
      </c>
      <c r="M86" s="94"/>
      <c r="N86" s="25">
        <f>((L85-H86)/H86)</f>
        <v>-0.99984209061345819</v>
      </c>
      <c r="O86" s="25"/>
      <c r="P86" s="82">
        <f>SUM(P56:P85)</f>
        <v>345947135557.62299</v>
      </c>
      <c r="Q86" s="94"/>
      <c r="R86" s="25">
        <f>((P85-L86)/L86)</f>
        <v>-0.9998413068546419</v>
      </c>
      <c r="S86" s="25"/>
      <c r="T86" s="82">
        <f>SUM(T56:T85)</f>
        <v>343126814140.64636</v>
      </c>
      <c r="U86" s="94"/>
      <c r="V86" s="25">
        <f>((T85-P86)/P86)</f>
        <v>-0.9998410674139232</v>
      </c>
      <c r="W86" s="25"/>
      <c r="X86" s="82">
        <f>SUM(X56:X85)</f>
        <v>342048621360.02881</v>
      </c>
      <c r="Y86" s="94"/>
      <c r="Z86" s="25">
        <f>((X85-T86)/T86)</f>
        <v>-0.99983947509171511</v>
      </c>
      <c r="AA86" s="25"/>
      <c r="AB86" s="82">
        <f>SUM(AB56:AB85)</f>
        <v>346326319129.15698</v>
      </c>
      <c r="AC86" s="94"/>
      <c r="AD86" s="25">
        <f>((AB85-X86)/X86)</f>
        <v>-0.99983867770888646</v>
      </c>
      <c r="AE86" s="25"/>
      <c r="AF86" s="82">
        <f>SUM(AF56:AF85)</f>
        <v>338349672651.75592</v>
      </c>
      <c r="AG86" s="94"/>
      <c r="AH86" s="25">
        <f>((AF85-AB86)/AB86)</f>
        <v>-0.99984035627895951</v>
      </c>
      <c r="AI86" s="25"/>
      <c r="AJ86" s="26">
        <f t="shared" si="66"/>
        <v>-0.99984140692251211</v>
      </c>
      <c r="AK86" s="26"/>
      <c r="AL86" s="27">
        <f t="shared" si="68"/>
        <v>1.6417507331264981E-3</v>
      </c>
      <c r="AM86" s="27"/>
      <c r="AN86" s="28">
        <f t="shared" si="70"/>
        <v>1.9946054711545577E-6</v>
      </c>
      <c r="AO86" s="85"/>
      <c r="AP86" s="32"/>
      <c r="AQ86" s="42"/>
      <c r="AR86" s="15"/>
      <c r="AS86" s="31" t="e">
        <f>(#REF!/AQ86)-1</f>
        <v>#REF!</v>
      </c>
      <c r="AT86" s="31" t="e">
        <f>(#REF!/AR86)-1</f>
        <v>#REF!</v>
      </c>
    </row>
    <row r="87" spans="1:46" s="119" customFormat="1" ht="7.5" customHeight="1">
      <c r="A87" s="219"/>
      <c r="B87" s="94"/>
      <c r="C87" s="94"/>
      <c r="D87" s="94"/>
      <c r="E87" s="94"/>
      <c r="F87" s="25"/>
      <c r="G87" s="25"/>
      <c r="H87" s="94"/>
      <c r="I87" s="94"/>
      <c r="J87" s="25"/>
      <c r="K87" s="25"/>
      <c r="L87" s="94"/>
      <c r="M87" s="94"/>
      <c r="N87" s="25"/>
      <c r="O87" s="25"/>
      <c r="P87" s="94"/>
      <c r="Q87" s="94"/>
      <c r="R87" s="25"/>
      <c r="S87" s="25"/>
      <c r="T87" s="94"/>
      <c r="U87" s="94"/>
      <c r="V87" s="25"/>
      <c r="W87" s="25"/>
      <c r="X87" s="94"/>
      <c r="Y87" s="94"/>
      <c r="Z87" s="25"/>
      <c r="AA87" s="25"/>
      <c r="AB87" s="94"/>
      <c r="AC87" s="94"/>
      <c r="AD87" s="25"/>
      <c r="AE87" s="25"/>
      <c r="AF87" s="94"/>
      <c r="AG87" s="94"/>
      <c r="AH87" s="25"/>
      <c r="AI87" s="25"/>
      <c r="AJ87" s="26"/>
      <c r="AK87" s="26"/>
      <c r="AL87" s="27"/>
      <c r="AM87" s="27"/>
      <c r="AN87" s="28"/>
      <c r="AO87" s="85"/>
      <c r="AP87" s="32"/>
      <c r="AQ87" s="42"/>
      <c r="AR87" s="15"/>
      <c r="AS87" s="31"/>
      <c r="AT87" s="31"/>
    </row>
    <row r="88" spans="1:46" s="119" customFormat="1">
      <c r="A88" s="216" t="s">
        <v>211</v>
      </c>
      <c r="B88" s="94"/>
      <c r="C88" s="94"/>
      <c r="D88" s="94"/>
      <c r="E88" s="94"/>
      <c r="F88" s="25"/>
      <c r="G88" s="25"/>
      <c r="H88" s="94"/>
      <c r="I88" s="94"/>
      <c r="J88" s="25"/>
      <c r="K88" s="25"/>
      <c r="L88" s="94"/>
      <c r="M88" s="94"/>
      <c r="N88" s="25"/>
      <c r="O88" s="25"/>
      <c r="P88" s="94"/>
      <c r="Q88" s="94"/>
      <c r="R88" s="25"/>
      <c r="S88" s="25"/>
      <c r="T88" s="94"/>
      <c r="U88" s="94"/>
      <c r="V88" s="25"/>
      <c r="W88" s="25"/>
      <c r="X88" s="94"/>
      <c r="Y88" s="94"/>
      <c r="Z88" s="25"/>
      <c r="AA88" s="25"/>
      <c r="AB88" s="94"/>
      <c r="AC88" s="94"/>
      <c r="AD88" s="25"/>
      <c r="AE88" s="25"/>
      <c r="AF88" s="94"/>
      <c r="AG88" s="94"/>
      <c r="AH88" s="25"/>
      <c r="AI88" s="25"/>
      <c r="AJ88" s="26"/>
      <c r="AK88" s="26"/>
      <c r="AL88" s="27"/>
      <c r="AM88" s="27"/>
      <c r="AN88" s="28"/>
      <c r="AO88" s="85"/>
      <c r="AP88" s="32"/>
      <c r="AQ88" s="42"/>
      <c r="AR88" s="15"/>
      <c r="AS88" s="31"/>
      <c r="AT88" s="31"/>
    </row>
    <row r="89" spans="1:46" s="119" customFormat="1">
      <c r="A89" s="215" t="s">
        <v>212</v>
      </c>
      <c r="B89" s="94"/>
      <c r="C89" s="94"/>
      <c r="D89" s="94"/>
      <c r="E89" s="94"/>
      <c r="F89" s="25"/>
      <c r="G89" s="25"/>
      <c r="H89" s="94"/>
      <c r="I89" s="94"/>
      <c r="J89" s="25"/>
      <c r="K89" s="25"/>
      <c r="L89" s="94"/>
      <c r="M89" s="94"/>
      <c r="N89" s="25"/>
      <c r="O89" s="25"/>
      <c r="P89" s="94"/>
      <c r="Q89" s="94"/>
      <c r="R89" s="25"/>
      <c r="S89" s="25"/>
      <c r="T89" s="94"/>
      <c r="U89" s="94"/>
      <c r="V89" s="25"/>
      <c r="W89" s="25"/>
      <c r="X89" s="94"/>
      <c r="Y89" s="94"/>
      <c r="Z89" s="25"/>
      <c r="AA89" s="25"/>
      <c r="AB89" s="94"/>
      <c r="AC89" s="94"/>
      <c r="AD89" s="25"/>
      <c r="AE89" s="25"/>
      <c r="AF89" s="94"/>
      <c r="AG89" s="94"/>
      <c r="AH89" s="25"/>
      <c r="AI89" s="25"/>
      <c r="AJ89" s="26"/>
      <c r="AK89" s="26"/>
      <c r="AL89" s="27"/>
      <c r="AM89" s="27"/>
      <c r="AN89" s="28"/>
      <c r="AO89" s="85"/>
      <c r="AP89" s="32"/>
      <c r="AQ89" s="42"/>
      <c r="AR89" s="15"/>
      <c r="AS89" s="31"/>
      <c r="AT89" s="31"/>
    </row>
    <row r="90" spans="1:46">
      <c r="A90" s="217" t="s">
        <v>261</v>
      </c>
      <c r="B90" s="393">
        <v>12878418727.9</v>
      </c>
      <c r="C90" s="393">
        <v>54125.82</v>
      </c>
      <c r="D90" s="393">
        <v>13021036875.49</v>
      </c>
      <c r="E90" s="393">
        <v>54793.7</v>
      </c>
      <c r="F90" s="25">
        <f>((D90-B90)/B90)</f>
        <v>1.1074197120259031E-2</v>
      </c>
      <c r="G90" s="25">
        <f>((E90-C90)/C90)</f>
        <v>1.23393973523172E-2</v>
      </c>
      <c r="H90" s="393">
        <v>13163655023.09</v>
      </c>
      <c r="I90" s="393">
        <v>55472.3</v>
      </c>
      <c r="J90" s="25">
        <f>((H90-D90)/D90)</f>
        <v>1.0952902519495666E-2</v>
      </c>
      <c r="K90" s="25">
        <f t="shared" ref="K90:K95" si="72">((I90-E90)/E90)</f>
        <v>1.2384635459916119E-2</v>
      </c>
      <c r="L90" s="393">
        <v>13168504040.110001</v>
      </c>
      <c r="M90" s="393">
        <v>55571.217900000003</v>
      </c>
      <c r="N90" s="25">
        <f>((L90-H90)/H90)</f>
        <v>3.6836403046835639E-4</v>
      </c>
      <c r="O90" s="25">
        <f t="shared" ref="O90:O95" si="73">((M90-I90)/I90)</f>
        <v>1.7831944952706191E-3</v>
      </c>
      <c r="P90" s="393">
        <v>13175064474.889999</v>
      </c>
      <c r="Q90" s="393">
        <v>55700.52</v>
      </c>
      <c r="R90" s="25">
        <f>((P90-L90)/L90)</f>
        <v>4.981913480845147E-4</v>
      </c>
      <c r="S90" s="25">
        <f t="shared" ref="S90:S95" si="74">((Q90-M90)/M90)</f>
        <v>2.3267818285478588E-3</v>
      </c>
      <c r="T90" s="393">
        <v>13167363094.92</v>
      </c>
      <c r="U90" s="393">
        <v>55667.96</v>
      </c>
      <c r="V90" s="25">
        <f>((T90-P90)/P90)</f>
        <v>-5.8454210866877847E-4</v>
      </c>
      <c r="W90" s="25">
        <f t="shared" ref="W90:W98" si="75">((U90-Q90)/Q90)</f>
        <v>-5.8455468638349652E-4</v>
      </c>
      <c r="X90" s="393">
        <v>13170785930.469999</v>
      </c>
      <c r="Y90" s="393">
        <v>55682.43</v>
      </c>
      <c r="Z90" s="25">
        <f>((X90-T90)/T90)</f>
        <v>2.5994844414367027E-4</v>
      </c>
      <c r="AA90" s="25">
        <f t="shared" ref="AA90:AA98" si="76">((Y90-U90)/U90)</f>
        <v>2.5993408057347825E-4</v>
      </c>
      <c r="AB90" s="393">
        <v>13163655023.09</v>
      </c>
      <c r="AC90" s="393">
        <v>55652.29</v>
      </c>
      <c r="AD90" s="25">
        <f>((AB90-X90)/X90)</f>
        <v>-5.4141851652923301E-4</v>
      </c>
      <c r="AE90" s="25">
        <f t="shared" ref="AE90:AE98" si="77">((AC90-Y90)/Y90)</f>
        <v>-5.4128384842398974E-4</v>
      </c>
      <c r="AF90" s="393">
        <v>13163655023.09</v>
      </c>
      <c r="AG90" s="393">
        <v>55652.29</v>
      </c>
      <c r="AH90" s="25">
        <f>((AF90-AB90)/AB90)</f>
        <v>0</v>
      </c>
      <c r="AI90" s="25">
        <f t="shared" ref="AI90:AI98" si="78">((AG90-AC90)/AC90)</f>
        <v>0</v>
      </c>
      <c r="AJ90" s="26">
        <f t="shared" si="66"/>
        <v>2.7534553546566527E-3</v>
      </c>
      <c r="AK90" s="26">
        <f t="shared" si="67"/>
        <v>3.4960130852272234E-3</v>
      </c>
      <c r="AL90" s="27">
        <f t="shared" si="68"/>
        <v>1.0952902519495666E-2</v>
      </c>
      <c r="AM90" s="27">
        <f t="shared" si="69"/>
        <v>1.5669502150794778E-2</v>
      </c>
      <c r="AN90" s="28">
        <f t="shared" si="70"/>
        <v>5.1135403963809417E-3</v>
      </c>
      <c r="AO90" s="85">
        <f t="shared" si="71"/>
        <v>5.569804009818732E-3</v>
      </c>
      <c r="AP90" s="32"/>
      <c r="AQ90" s="51">
        <v>31507613595.857655</v>
      </c>
      <c r="AR90" s="51">
        <v>11.808257597614354</v>
      </c>
      <c r="AS90" s="31" t="e">
        <f>(#REF!/AQ90)-1</f>
        <v>#REF!</v>
      </c>
      <c r="AT90" s="31" t="e">
        <f>(#REF!/AR90)-1</f>
        <v>#REF!</v>
      </c>
    </row>
    <row r="91" spans="1:46">
      <c r="A91" s="217" t="s">
        <v>177</v>
      </c>
      <c r="B91" s="393">
        <v>76579811268.139999</v>
      </c>
      <c r="C91" s="393">
        <v>56477.77</v>
      </c>
      <c r="D91" s="393">
        <v>77171782276.050003</v>
      </c>
      <c r="E91" s="393">
        <v>57162.11</v>
      </c>
      <c r="F91" s="25">
        <f>((D103-B91)/B91)</f>
        <v>-0.92456485317673576</v>
      </c>
      <c r="G91" s="25">
        <f t="shared" ref="G91:G98" si="79">((E91-C91)/C91)</f>
        <v>1.2116979831179663E-2</v>
      </c>
      <c r="H91" s="393">
        <v>78095108316.550003</v>
      </c>
      <c r="I91" s="393">
        <v>57847.73</v>
      </c>
      <c r="J91" s="25">
        <f>((H103-D91)/D91)</f>
        <v>-0.92495274177311071</v>
      </c>
      <c r="K91" s="25">
        <f t="shared" si="72"/>
        <v>1.1994308817501709E-2</v>
      </c>
      <c r="L91" s="393">
        <v>74531918693.929993</v>
      </c>
      <c r="M91" s="393">
        <v>57928.14</v>
      </c>
      <c r="N91" s="25">
        <f>((L103-H91)/H91)</f>
        <v>-0.92584245670272425</v>
      </c>
      <c r="O91" s="25">
        <f t="shared" si="73"/>
        <v>1.3900286147787684E-3</v>
      </c>
      <c r="P91" s="393">
        <v>74146134557.460007</v>
      </c>
      <c r="Q91" s="393">
        <v>58019.81</v>
      </c>
      <c r="R91" s="25">
        <f>((P103-L91)/L91)</f>
        <v>-0.92235919515484999</v>
      </c>
      <c r="S91" s="25">
        <f t="shared" si="74"/>
        <v>1.5824778769005575E-3</v>
      </c>
      <c r="T91" s="393">
        <v>73893423959.940002</v>
      </c>
      <c r="U91" s="393">
        <v>58027.72</v>
      </c>
      <c r="V91" s="25">
        <f>((T103-P91)/P91)</f>
        <v>-0.92098537223191568</v>
      </c>
      <c r="W91" s="25">
        <f t="shared" si="75"/>
        <v>1.3633274566055099E-4</v>
      </c>
      <c r="X91" s="393">
        <v>73991820810.800003</v>
      </c>
      <c r="Y91" s="393">
        <v>58133.03</v>
      </c>
      <c r="Z91" s="25">
        <f>((X103-T91)/T91)</f>
        <v>-0.91976979901115397</v>
      </c>
      <c r="AA91" s="25">
        <f t="shared" si="76"/>
        <v>1.8148222952753903E-3</v>
      </c>
      <c r="AB91" s="393">
        <v>74073614442.820007</v>
      </c>
      <c r="AC91" s="393">
        <v>58150.34</v>
      </c>
      <c r="AD91" s="25">
        <f>((AB103-X91)/X91)</f>
        <v>-0.9174655234796083</v>
      </c>
      <c r="AE91" s="25">
        <f t="shared" si="77"/>
        <v>2.9776531517448294E-4</v>
      </c>
      <c r="AF91" s="393">
        <v>74233890489.979996</v>
      </c>
      <c r="AG91" s="393">
        <v>58208.49</v>
      </c>
      <c r="AH91" s="25">
        <f>((AF103-AB91)/AB91)</f>
        <v>-0.91585510697980843</v>
      </c>
      <c r="AI91" s="25">
        <f t="shared" si="78"/>
        <v>9.999941530866622E-4</v>
      </c>
      <c r="AJ91" s="26">
        <f t="shared" si="66"/>
        <v>-0.92147438106373836</v>
      </c>
      <c r="AK91" s="26">
        <f t="shared" si="67"/>
        <v>3.7915887061947232E-3</v>
      </c>
      <c r="AL91" s="27">
        <f t="shared" si="68"/>
        <v>-3.8069508043249795E-2</v>
      </c>
      <c r="AM91" s="27">
        <f t="shared" si="69"/>
        <v>1.8305482425333797E-2</v>
      </c>
      <c r="AN91" s="28">
        <f t="shared" si="70"/>
        <v>3.6313103074157803E-3</v>
      </c>
      <c r="AO91" s="85">
        <f t="shared" si="71"/>
        <v>5.1340977751575924E-3</v>
      </c>
      <c r="AP91" s="32"/>
      <c r="AQ91" s="42">
        <f>SUM(AQ90:AQ90)</f>
        <v>31507613595.857655</v>
      </c>
      <c r="AR91" s="15"/>
      <c r="AS91" s="31" t="e">
        <f>(#REF!/AQ91)-1</f>
        <v>#REF!</v>
      </c>
      <c r="AT91" s="31" t="e">
        <f>(#REF!/AR91)-1</f>
        <v>#REF!</v>
      </c>
    </row>
    <row r="92" spans="1:46">
      <c r="A92" s="217" t="s">
        <v>129</v>
      </c>
      <c r="B92" s="393">
        <v>6081211190.8699999</v>
      </c>
      <c r="C92" s="393">
        <v>445.96</v>
      </c>
      <c r="D92" s="393">
        <v>6116811736.6400003</v>
      </c>
      <c r="E92" s="393">
        <v>446.63</v>
      </c>
      <c r="F92" s="25">
        <f>((D104-B92)/B92)</f>
        <v>-0.94264323816221551</v>
      </c>
      <c r="G92" s="25">
        <f t="shared" si="79"/>
        <v>1.5023768947888061E-3</v>
      </c>
      <c r="H92" s="393">
        <v>6139535902.8500004</v>
      </c>
      <c r="I92" s="393">
        <v>448.55</v>
      </c>
      <c r="J92" s="25">
        <f>((H104-D92)/D92)</f>
        <v>-0.94147637646656757</v>
      </c>
      <c r="K92" s="25">
        <f t="shared" si="72"/>
        <v>4.2988603542082173E-3</v>
      </c>
      <c r="L92" s="393">
        <v>6173356433.3199997</v>
      </c>
      <c r="M92" s="393">
        <v>450.58</v>
      </c>
      <c r="N92" s="25">
        <f>((L104-H92)/H92)</f>
        <v>-0.93833571434540242</v>
      </c>
      <c r="O92" s="25">
        <f t="shared" si="73"/>
        <v>4.5256939025749027E-3</v>
      </c>
      <c r="P92" s="393">
        <v>6259776164.21</v>
      </c>
      <c r="Q92" s="393">
        <v>453.11</v>
      </c>
      <c r="R92" s="25">
        <f>((P104-L92)/L92)</f>
        <v>-0.93644193368258388</v>
      </c>
      <c r="S92" s="25">
        <f t="shared" si="74"/>
        <v>5.614985130276598E-3</v>
      </c>
      <c r="T92" s="393">
        <v>6292787089.46</v>
      </c>
      <c r="U92" s="393">
        <v>455.06</v>
      </c>
      <c r="V92" s="25">
        <f>((T104-P92)/P92)</f>
        <v>-0.93746419871238262</v>
      </c>
      <c r="W92" s="25">
        <f t="shared" si="75"/>
        <v>4.303590739555491E-3</v>
      </c>
      <c r="X92" s="393">
        <v>6374295367.1899996</v>
      </c>
      <c r="Y92" s="393">
        <v>460.41</v>
      </c>
      <c r="Z92" s="25">
        <f>((X104-T92)/T92)</f>
        <v>-0.93811184568880446</v>
      </c>
      <c r="AA92" s="25">
        <f t="shared" si="76"/>
        <v>1.1756691425306602E-2</v>
      </c>
      <c r="AB92" s="393">
        <v>4983719407.1000004</v>
      </c>
      <c r="AC92" s="393">
        <v>459.7</v>
      </c>
      <c r="AD92" s="25">
        <f>((AB104-X92)/X92)</f>
        <v>-0.94114001784868706</v>
      </c>
      <c r="AE92" s="25">
        <f t="shared" si="77"/>
        <v>-1.5421037770683441E-3</v>
      </c>
      <c r="AF92" s="393">
        <v>6318388736.75</v>
      </c>
      <c r="AG92" s="393">
        <v>460.52</v>
      </c>
      <c r="AH92" s="25">
        <f>((AF104-AB92)/AB92)</f>
        <v>-0.92544837542204261</v>
      </c>
      <c r="AI92" s="25">
        <f t="shared" si="78"/>
        <v>1.7837720252338333E-3</v>
      </c>
      <c r="AJ92" s="26">
        <f t="shared" si="66"/>
        <v>-0.93763271254108571</v>
      </c>
      <c r="AK92" s="26">
        <f t="shared" si="67"/>
        <v>4.030483336859513E-3</v>
      </c>
      <c r="AL92" s="27">
        <f t="shared" si="68"/>
        <v>3.295458627613853E-2</v>
      </c>
      <c r="AM92" s="27">
        <f t="shared" si="69"/>
        <v>3.1099567874974782E-2</v>
      </c>
      <c r="AN92" s="28">
        <f t="shared" si="70"/>
        <v>5.3826243232102649E-3</v>
      </c>
      <c r="AO92" s="85">
        <f t="shared" si="71"/>
        <v>3.8746344672407982E-3</v>
      </c>
      <c r="AP92" s="32"/>
      <c r="AQ92" s="42"/>
      <c r="AR92" s="15"/>
      <c r="AS92" s="31" t="e">
        <f>(#REF!/AQ92)-1</f>
        <v>#REF!</v>
      </c>
      <c r="AT92" s="31" t="e">
        <f>(#REF!/AR92)-1</f>
        <v>#REF!</v>
      </c>
    </row>
    <row r="93" spans="1:46">
      <c r="A93" s="217" t="s">
        <v>137</v>
      </c>
      <c r="B93" s="393">
        <v>761779373.22479999</v>
      </c>
      <c r="C93" s="393">
        <v>54444.433571360001</v>
      </c>
      <c r="D93" s="393">
        <v>761779373.22479999</v>
      </c>
      <c r="E93" s="393">
        <v>54444.433571360001</v>
      </c>
      <c r="F93" s="25">
        <f>((D105-B93)/B93)</f>
        <v>1.3656378515974266</v>
      </c>
      <c r="G93" s="25">
        <f t="shared" si="79"/>
        <v>0</v>
      </c>
      <c r="H93" s="393">
        <v>774605565.02700007</v>
      </c>
      <c r="I93" s="393">
        <v>56305.976253100001</v>
      </c>
      <c r="J93" s="25">
        <f>((H105-D93)/D93)</f>
        <v>1.4135449078389857</v>
      </c>
      <c r="K93" s="25">
        <f t="shared" si="72"/>
        <v>3.4191607105253236E-2</v>
      </c>
      <c r="L93" s="393">
        <v>780034456.45439994</v>
      </c>
      <c r="M93" s="393">
        <v>56713.759283159998</v>
      </c>
      <c r="N93" s="25">
        <f>((L105-H93)/H93)</f>
        <v>1.3855949814039521</v>
      </c>
      <c r="O93" s="25">
        <f t="shared" si="73"/>
        <v>7.2422690661996152E-3</v>
      </c>
      <c r="P93" s="393">
        <v>786458698.37250006</v>
      </c>
      <c r="Q93" s="393">
        <v>57194.106337199999</v>
      </c>
      <c r="R93" s="25">
        <f>((P105-L93)/L93)</f>
        <v>1.3822155293646958</v>
      </c>
      <c r="S93" s="25">
        <f t="shared" si="74"/>
        <v>8.4696740281618148E-3</v>
      </c>
      <c r="T93" s="393">
        <v>773860945.55639994</v>
      </c>
      <c r="U93" s="393">
        <f>126.45*455.56</f>
        <v>57605.561999999998</v>
      </c>
      <c r="V93" s="25">
        <f>((T105-P93)/P93)</f>
        <v>1.2128476577428502</v>
      </c>
      <c r="W93" s="25">
        <f t="shared" si="75"/>
        <v>7.1940220618917422E-3</v>
      </c>
      <c r="X93" s="393">
        <f>1737078.23*460.91</f>
        <v>800636726.98930001</v>
      </c>
      <c r="Y93" s="393">
        <f>126.88*460.91</f>
        <v>58480.260800000004</v>
      </c>
      <c r="Z93" s="25">
        <f>((X105-T93)/T93)</f>
        <v>1.252600435278151</v>
      </c>
      <c r="AA93" s="25">
        <f t="shared" si="76"/>
        <v>1.5184276823824852E-2</v>
      </c>
      <c r="AB93" s="393">
        <f>1703823.57*460.2</f>
        <v>784099606.91400003</v>
      </c>
      <c r="AC93" s="393">
        <f>126.78*460.2</f>
        <v>58344.156000000003</v>
      </c>
      <c r="AD93" s="25">
        <f>((AB105-X93)/X93)</f>
        <v>1.2236162359672635</v>
      </c>
      <c r="AE93" s="25">
        <f t="shared" si="77"/>
        <v>-2.3273630818007734E-3</v>
      </c>
      <c r="AF93" s="393">
        <f>1673281.9*460.99</f>
        <v>771366223.08099997</v>
      </c>
      <c r="AG93" s="393">
        <f>124.594756*460.99</f>
        <v>57436.936568440004</v>
      </c>
      <c r="AH93" s="25">
        <f>((AF105-AB93)/AB93)</f>
        <v>1.3817392807419211</v>
      </c>
      <c r="AI93" s="25">
        <f t="shared" si="78"/>
        <v>-1.5549448201118875E-2</v>
      </c>
      <c r="AJ93" s="26">
        <f t="shared" si="66"/>
        <v>1.3272246099919058</v>
      </c>
      <c r="AK93" s="26">
        <f t="shared" si="67"/>
        <v>6.8006297253014516E-3</v>
      </c>
      <c r="AL93" s="27">
        <f t="shared" si="68"/>
        <v>1.2584811551954313E-2</v>
      </c>
      <c r="AM93" s="27">
        <f t="shared" si="69"/>
        <v>5.4964351739608903E-2</v>
      </c>
      <c r="AN93" s="28">
        <f t="shared" si="70"/>
        <v>8.25619002202089E-2</v>
      </c>
      <c r="AO93" s="85">
        <f t="shared" si="71"/>
        <v>1.4406256046239388E-2</v>
      </c>
      <c r="AP93" s="32"/>
      <c r="AQ93" s="30">
        <v>885354617.76999998</v>
      </c>
      <c r="AR93" s="30">
        <v>1763.14</v>
      </c>
      <c r="AS93" s="31" t="e">
        <f>(#REF!/AQ93)-1</f>
        <v>#REF!</v>
      </c>
      <c r="AT93" s="31" t="e">
        <f>(#REF!/AR93)-1</f>
        <v>#REF!</v>
      </c>
    </row>
    <row r="94" spans="1:46">
      <c r="A94" s="217" t="s">
        <v>155</v>
      </c>
      <c r="B94" s="393">
        <v>775249899.63999999</v>
      </c>
      <c r="C94" s="393">
        <f>107.0481*446.32</f>
        <v>47777.707992000003</v>
      </c>
      <c r="D94" s="393">
        <v>773912498.41999996</v>
      </c>
      <c r="E94" s="393">
        <f>107.1676*446.13</f>
        <v>47810.681387999997</v>
      </c>
      <c r="F94" s="25">
        <f>((D106-B94)/B94)</f>
        <v>-0.87066644362474588</v>
      </c>
      <c r="G94" s="25">
        <f t="shared" si="79"/>
        <v>6.9014185455516385E-4</v>
      </c>
      <c r="H94" s="393">
        <v>784374854.34000003</v>
      </c>
      <c r="I94" s="393">
        <f>107.2694*449.05</f>
        <v>48169.324070000002</v>
      </c>
      <c r="J94" s="25">
        <f>((H106-D94)/D94)</f>
        <v>-0.86882834393132136</v>
      </c>
      <c r="K94" s="25">
        <f t="shared" si="72"/>
        <v>7.5013087366293191E-3</v>
      </c>
      <c r="L94" s="393">
        <v>787848977.04999995</v>
      </c>
      <c r="M94" s="393">
        <f>107.3858*451.08</f>
        <v>48439.586664000002</v>
      </c>
      <c r="N94" s="25">
        <f>((L106-H94)/H94)</f>
        <v>-0.86864733355495849</v>
      </c>
      <c r="O94" s="25">
        <f t="shared" si="73"/>
        <v>5.6106785639601729E-3</v>
      </c>
      <c r="P94" s="393">
        <v>791433965.40999997</v>
      </c>
      <c r="Q94" s="393">
        <f>107.5032*453.11</f>
        <v>48710.774952000007</v>
      </c>
      <c r="R94" s="25">
        <f>((P106-L94)/L94)</f>
        <v>-0.86239038173794624</v>
      </c>
      <c r="S94" s="25">
        <f t="shared" si="74"/>
        <v>5.5984847657990083E-3</v>
      </c>
      <c r="T94" s="393">
        <v>806609426.70000005</v>
      </c>
      <c r="U94" s="393">
        <f>107.6226*455.06</f>
        <v>48974.740356000002</v>
      </c>
      <c r="V94" s="25">
        <f>((T106-P94)/P94)</f>
        <v>-0.862369117373461</v>
      </c>
      <c r="W94" s="25">
        <f t="shared" si="75"/>
        <v>5.4190351982720186E-3</v>
      </c>
      <c r="X94" s="393">
        <v>804372051.39999998</v>
      </c>
      <c r="Y94" s="393">
        <f>105.8168*455.06</f>
        <v>48152.993007999998</v>
      </c>
      <c r="Z94" s="25">
        <f>((X106-T94)/T94)</f>
        <v>-0.86775017010224587</v>
      </c>
      <c r="AA94" s="25">
        <f t="shared" si="76"/>
        <v>-1.6779003666516232E-2</v>
      </c>
      <c r="AB94" s="393">
        <v>790231292.03999996</v>
      </c>
      <c r="AC94" s="393">
        <f>106.2165*460.2</f>
        <v>48880.833299999998</v>
      </c>
      <c r="AD94" s="25">
        <f>((AB106-X94)/X94)</f>
        <v>-0.87292983257921286</v>
      </c>
      <c r="AE94" s="25">
        <f t="shared" si="77"/>
        <v>1.5115162039441235E-2</v>
      </c>
      <c r="AF94" s="393">
        <v>791632314.23000002</v>
      </c>
      <c r="AG94" s="393">
        <f>106.339*460.99</f>
        <v>49021.215609999999</v>
      </c>
      <c r="AH94" s="25">
        <f>((AF106-AB94)/AB94)</f>
        <v>-0.8727350028516595</v>
      </c>
      <c r="AI94" s="25">
        <f t="shared" si="78"/>
        <v>2.8719295585331373E-3</v>
      </c>
      <c r="AJ94" s="26">
        <f t="shared" si="66"/>
        <v>-0.86828957821944397</v>
      </c>
      <c r="AK94" s="26">
        <f t="shared" si="67"/>
        <v>3.2534671313342286E-3</v>
      </c>
      <c r="AL94" s="27">
        <f t="shared" si="68"/>
        <v>2.2896407340851049E-2</v>
      </c>
      <c r="AM94" s="27">
        <f t="shared" si="69"/>
        <v>2.5319325867291111E-2</v>
      </c>
      <c r="AN94" s="28">
        <f t="shared" si="70"/>
        <v>4.0971217089282733E-3</v>
      </c>
      <c r="AO94" s="85">
        <f t="shared" si="71"/>
        <v>9.1222279276974762E-3</v>
      </c>
      <c r="AP94" s="32"/>
      <c r="AQ94" s="35">
        <v>113791197</v>
      </c>
      <c r="AR94" s="34">
        <v>81.52</v>
      </c>
      <c r="AS94" s="31" t="e">
        <f>(#REF!/AQ94)-1</f>
        <v>#REF!</v>
      </c>
      <c r="AT94" s="31" t="e">
        <f>(#REF!/AR94)-1</f>
        <v>#REF!</v>
      </c>
    </row>
    <row r="95" spans="1:46">
      <c r="A95" s="217" t="s">
        <v>156</v>
      </c>
      <c r="B95" s="393">
        <f>10554877.28*445.96</f>
        <v>4707053071.7887993</v>
      </c>
      <c r="C95" s="393">
        <f>1.0931*445.96</f>
        <v>487.47887599999996</v>
      </c>
      <c r="D95" s="393">
        <f>10656709.8*447.28</f>
        <v>4766533159.3439999</v>
      </c>
      <c r="E95" s="393">
        <f>1.1036*447.28</f>
        <v>493.61820799999992</v>
      </c>
      <c r="F95" s="25">
        <f>((D108-B95)/B95)</f>
        <v>-0.40965155009606996</v>
      </c>
      <c r="G95" s="25">
        <f t="shared" si="79"/>
        <v>1.2594047254675233E-2</v>
      </c>
      <c r="H95" s="393">
        <f>10986397.48*448.55</f>
        <v>4927948589.6540003</v>
      </c>
      <c r="I95" s="393">
        <f>1.1251*448.55</f>
        <v>504.66360500000002</v>
      </c>
      <c r="J95" s="25">
        <f>((H108-D95)/D95)</f>
        <v>-0.42402739340178153</v>
      </c>
      <c r="K95" s="25">
        <f t="shared" si="72"/>
        <v>2.2376397023020866E-2</v>
      </c>
      <c r="L95" s="393">
        <f>11004138.39*450.58</f>
        <v>4958244675.7662001</v>
      </c>
      <c r="M95" s="393">
        <f>1.1264*450.58</f>
        <v>507.53331200000002</v>
      </c>
      <c r="N95" s="25">
        <f>((L108-H95)/H95)</f>
        <v>-0.41897025996413462</v>
      </c>
      <c r="O95" s="25">
        <f t="shared" si="73"/>
        <v>5.6863759771224346E-3</v>
      </c>
      <c r="P95" s="393">
        <f>11016061.6*453.11</f>
        <v>4991487671.5760002</v>
      </c>
      <c r="Q95" s="393">
        <f>1.1277*453.11</f>
        <v>510.97214700000001</v>
      </c>
      <c r="R95" s="25">
        <f>((P108-L95)/L95)</f>
        <v>-0.4255552948914792</v>
      </c>
      <c r="S95" s="25">
        <f t="shared" si="74"/>
        <v>6.7755848112684728E-3</v>
      </c>
      <c r="T95" s="393">
        <f>11138395.61*455.58</f>
        <v>5074430272.0037994</v>
      </c>
      <c r="U95" s="393">
        <f>1.1289*455.58</f>
        <v>514.30426199999999</v>
      </c>
      <c r="V95" s="25">
        <f>((T108-P95)/P95)</f>
        <v>-0.43145774328482145</v>
      </c>
      <c r="W95" s="25">
        <f t="shared" si="75"/>
        <v>6.5211284402943931E-3</v>
      </c>
      <c r="X95" s="393">
        <f>11149549.15*460.41</f>
        <v>5133363924.1515007</v>
      </c>
      <c r="Y95" s="393">
        <f>1.1301*460.41</f>
        <v>520.30934100000013</v>
      </c>
      <c r="Z95" s="25">
        <f>((X108-T95)/T95)</f>
        <v>-0.44002329872895607</v>
      </c>
      <c r="AA95" s="25">
        <f t="shared" si="76"/>
        <v>1.1676121400681951E-2</v>
      </c>
      <c r="AB95" s="393">
        <f>11166736.42 *459.7</f>
        <v>5133348732.2740002</v>
      </c>
      <c r="AC95" s="393">
        <f>1.1312 *459.7</f>
        <v>520.01264000000003</v>
      </c>
      <c r="AD95" s="25">
        <f>((AB108-X95)/X95)</f>
        <v>-0.51118112900192192</v>
      </c>
      <c r="AE95" s="25">
        <f t="shared" si="77"/>
        <v>-5.7023961828142188E-4</v>
      </c>
      <c r="AF95" s="393">
        <f>11182378.13 *461</f>
        <v>5155076317.9300003</v>
      </c>
      <c r="AG95" s="393">
        <f>1.1322*461</f>
        <v>521.94420000000002</v>
      </c>
      <c r="AH95" s="25">
        <f>((AF108-AB95)/AB95)</f>
        <v>-0.51550561715025744</v>
      </c>
      <c r="AI95" s="25">
        <f t="shared" si="78"/>
        <v>3.7144481718751881E-3</v>
      </c>
      <c r="AJ95" s="26">
        <f t="shared" si="66"/>
        <v>-0.4470465358149277</v>
      </c>
      <c r="AK95" s="26">
        <f t="shared" si="67"/>
        <v>8.5967329325821393E-3</v>
      </c>
      <c r="AL95" s="27">
        <f t="shared" si="68"/>
        <v>8.1514833862914776E-2</v>
      </c>
      <c r="AM95" s="27">
        <f t="shared" si="69"/>
        <v>5.7384414798572633E-2</v>
      </c>
      <c r="AN95" s="28">
        <f t="shared" si="70"/>
        <v>4.1868236765017289E-2</v>
      </c>
      <c r="AO95" s="85">
        <f t="shared" si="71"/>
        <v>6.962196696668194E-3</v>
      </c>
      <c r="AP95" s="32"/>
      <c r="AQ95" s="30">
        <v>1066913090.3099999</v>
      </c>
      <c r="AR95" s="34">
        <v>1.1691</v>
      </c>
      <c r="AS95" s="31" t="e">
        <f>(#REF!/AQ95)-1</f>
        <v>#REF!</v>
      </c>
      <c r="AT95" s="31" t="e">
        <f>(#REF!/AR95)-1</f>
        <v>#REF!</v>
      </c>
    </row>
    <row r="96" spans="1:46" s="330" customFormat="1">
      <c r="A96" s="228" t="s">
        <v>187</v>
      </c>
      <c r="B96" s="393">
        <v>934448994.86399996</v>
      </c>
      <c r="C96" s="393">
        <v>46774.721279999998</v>
      </c>
      <c r="D96" s="393">
        <v>940953768.01479995</v>
      </c>
      <c r="E96" s="393">
        <v>46885.336391999997</v>
      </c>
      <c r="F96" s="25">
        <f>((D96-B96)/B96)</f>
        <v>6.9610788673882592E-3</v>
      </c>
      <c r="G96" s="25">
        <f t="shared" si="79"/>
        <v>2.3648481267871599E-3</v>
      </c>
      <c r="H96" s="393">
        <v>967399492.15500009</v>
      </c>
      <c r="I96" s="393">
        <v>47084.248645</v>
      </c>
      <c r="J96" s="25">
        <f t="shared" ref="J96:K98" si="80">((H96-D96)/D96)</f>
        <v>2.8105232200721877E-2</v>
      </c>
      <c r="K96" s="25">
        <f t="shared" si="80"/>
        <v>4.2425258792414778E-3</v>
      </c>
      <c r="L96" s="393">
        <v>973632535.15750003</v>
      </c>
      <c r="M96" s="393">
        <v>47337.801684999999</v>
      </c>
      <c r="N96" s="25">
        <f t="shared" ref="N96:O98" si="81">((L96-H96)/H96)</f>
        <v>6.4430910425796028E-3</v>
      </c>
      <c r="O96" s="25">
        <f t="shared" si="81"/>
        <v>5.3850926221995542E-3</v>
      </c>
      <c r="P96" s="393">
        <v>978855851.20679998</v>
      </c>
      <c r="Q96" s="393">
        <v>47591.763257999999</v>
      </c>
      <c r="R96" s="25">
        <f t="shared" ref="R96:S98" si="82">((P96-L96)/L96)</f>
        <v>5.3647714724888518E-3</v>
      </c>
      <c r="S96" s="25">
        <f t="shared" si="82"/>
        <v>5.3648788908690218E-3</v>
      </c>
      <c r="T96" s="393">
        <v>983981337.05760002</v>
      </c>
      <c r="U96" s="393">
        <v>47840.952292000002</v>
      </c>
      <c r="V96" s="25">
        <f t="shared" ref="V96:V98" si="83">((T96-P96)/P96)</f>
        <v>5.2362008609142911E-3</v>
      </c>
      <c r="W96" s="25">
        <f t="shared" si="75"/>
        <v>5.2359697758858504E-3</v>
      </c>
      <c r="X96" s="393">
        <v>1003244687.8461001</v>
      </c>
      <c r="Y96" s="393">
        <v>48449.845198000003</v>
      </c>
      <c r="Z96" s="25">
        <f t="shared" ref="Z96:Z98" si="84">((X96-T96)/T96)</f>
        <v>1.9576947308882178E-2</v>
      </c>
      <c r="AA96" s="25">
        <f t="shared" si="76"/>
        <v>1.2727441173904485E-2</v>
      </c>
      <c r="AB96" s="393">
        <v>1004853414.318</v>
      </c>
      <c r="AC96" s="393">
        <v>48457.449299999993</v>
      </c>
      <c r="AD96" s="25">
        <f t="shared" ref="AD96:AD98" si="85">((AB96-X96)/X96)</f>
        <v>1.6035235385633551E-3</v>
      </c>
      <c r="AE96" s="25">
        <f t="shared" si="77"/>
        <v>1.5694791116286434E-4</v>
      </c>
      <c r="AF96" s="393">
        <v>1007824006.0574</v>
      </c>
      <c r="AG96" s="393">
        <v>48600.682298</v>
      </c>
      <c r="AH96" s="25">
        <f t="shared" ref="AH96:AH98" si="86">((AF96-AB96)/AB96)</f>
        <v>2.9562438631073247E-3</v>
      </c>
      <c r="AI96" s="25">
        <f t="shared" si="78"/>
        <v>2.9558509593282864E-3</v>
      </c>
      <c r="AJ96" s="26">
        <f t="shared" si="66"/>
        <v>9.5308861443307181E-3</v>
      </c>
      <c r="AK96" s="26">
        <f t="shared" si="67"/>
        <v>4.8041944174223375E-3</v>
      </c>
      <c r="AL96" s="27">
        <f t="shared" si="68"/>
        <v>7.1066443767668991E-2</v>
      </c>
      <c r="AM96" s="27">
        <f t="shared" si="69"/>
        <v>3.6585978431684887E-2</v>
      </c>
      <c r="AN96" s="28">
        <f t="shared" si="70"/>
        <v>9.2885328422231475E-3</v>
      </c>
      <c r="AO96" s="85">
        <f t="shared" si="71"/>
        <v>3.681910110425925E-3</v>
      </c>
      <c r="AP96" s="32"/>
      <c r="AQ96" s="30"/>
      <c r="AR96" s="34"/>
      <c r="AS96" s="31"/>
      <c r="AT96" s="31"/>
    </row>
    <row r="97" spans="1:46" s="330" customFormat="1">
      <c r="A97" s="228" t="s">
        <v>258</v>
      </c>
      <c r="B97" s="393">
        <f>77581.17*446.32</f>
        <v>34626027.794399999</v>
      </c>
      <c r="C97" s="393">
        <f>98.17*446.32</f>
        <v>43815.234400000001</v>
      </c>
      <c r="D97" s="393">
        <f>77636.25*447.28</f>
        <v>34725141.899999999</v>
      </c>
      <c r="E97" s="393">
        <f>98.24*447.28</f>
        <v>43940.787199999992</v>
      </c>
      <c r="F97" s="25">
        <f>((D97-B97)/B97)</f>
        <v>2.8624162779661653E-3</v>
      </c>
      <c r="G97" s="25">
        <f t="shared" si="79"/>
        <v>2.8655056105323581E-3</v>
      </c>
      <c r="H97" s="393">
        <f>77691.32*449.05</f>
        <v>34887287.246000007</v>
      </c>
      <c r="I97" s="393">
        <f>98.31*449.05</f>
        <v>44146.105500000005</v>
      </c>
      <c r="J97" s="25">
        <f t="shared" si="80"/>
        <v>4.6693933308306597E-3</v>
      </c>
      <c r="K97" s="25">
        <f t="shared" si="80"/>
        <v>4.6726131479049512E-3</v>
      </c>
      <c r="L97" s="393">
        <f>77541.85*451.08</f>
        <v>34977577.697999999</v>
      </c>
      <c r="M97" s="393">
        <f>98.12*451.08</f>
        <v>44259.969600000004</v>
      </c>
      <c r="N97" s="25">
        <f t="shared" si="81"/>
        <v>2.5880617017691554E-3</v>
      </c>
      <c r="O97" s="25">
        <f t="shared" si="81"/>
        <v>2.5792558303925329E-3</v>
      </c>
      <c r="P97" s="393">
        <f>77595.49*453.61</f>
        <v>35198090.218900003</v>
      </c>
      <c r="Q97" s="393">
        <f>98.19*453.61</f>
        <v>44539.965900000003</v>
      </c>
      <c r="R97" s="25">
        <f t="shared" si="82"/>
        <v>6.304396570967017E-3</v>
      </c>
      <c r="S97" s="25">
        <f t="shared" si="82"/>
        <v>6.3261747021172571E-3</v>
      </c>
      <c r="T97" s="393">
        <f>79593.26*455.56</f>
        <v>36259505.525600001</v>
      </c>
      <c r="U97" s="393">
        <f>100.72*455.56</f>
        <v>45884.003199999999</v>
      </c>
      <c r="V97" s="25">
        <f t="shared" si="83"/>
        <v>3.0155480030279031E-2</v>
      </c>
      <c r="W97" s="25">
        <f t="shared" si="75"/>
        <v>3.0175984036844451E-2</v>
      </c>
      <c r="X97" s="393">
        <f>79646.33*460.91</f>
        <v>36709789.960300006</v>
      </c>
      <c r="Y97" s="393">
        <f>100.79*460.91</f>
        <v>46455.118900000009</v>
      </c>
      <c r="Z97" s="25">
        <f t="shared" si="84"/>
        <v>1.2418383212150925E-2</v>
      </c>
      <c r="AA97" s="25">
        <f t="shared" si="76"/>
        <v>1.2446945780005729E-2</v>
      </c>
      <c r="AB97" s="393">
        <f>79699.39*460.2</f>
        <v>36677659.277999997</v>
      </c>
      <c r="AC97" s="393">
        <f>100.85*460.2</f>
        <v>46411.17</v>
      </c>
      <c r="AD97" s="25">
        <f t="shared" si="85"/>
        <v>-8.7526194878142117E-4</v>
      </c>
      <c r="AE97" s="25">
        <f t="shared" si="77"/>
        <v>-9.4605074834950686E-4</v>
      </c>
      <c r="AF97" s="393">
        <f>79752.44*460.99</f>
        <v>36765077.3156</v>
      </c>
      <c r="AG97" s="393">
        <f>100.92*460.99</f>
        <v>46523.110800000002</v>
      </c>
      <c r="AH97" s="25">
        <f t="shared" si="86"/>
        <v>2.3834137543351434E-3</v>
      </c>
      <c r="AI97" s="25">
        <f t="shared" si="78"/>
        <v>2.4119366092258381E-3</v>
      </c>
      <c r="AJ97" s="26">
        <f t="shared" si="66"/>
        <v>7.5632853661895851E-3</v>
      </c>
      <c r="AK97" s="26">
        <f t="shared" si="67"/>
        <v>7.5665456210842015E-3</v>
      </c>
      <c r="AL97" s="27">
        <f t="shared" si="68"/>
        <v>5.874520027807293E-2</v>
      </c>
      <c r="AM97" s="27">
        <f t="shared" si="69"/>
        <v>5.8768259845832053E-2</v>
      </c>
      <c r="AN97" s="28">
        <f t="shared" si="70"/>
        <v>9.9198921245786612E-3</v>
      </c>
      <c r="AO97" s="85">
        <f t="shared" si="71"/>
        <v>9.9349707312414576E-3</v>
      </c>
      <c r="AP97" s="32"/>
      <c r="AQ97" s="30"/>
      <c r="AR97" s="34"/>
      <c r="AS97" s="31"/>
      <c r="AT97" s="31"/>
    </row>
    <row r="98" spans="1:46">
      <c r="A98" s="228" t="s">
        <v>276</v>
      </c>
      <c r="B98" s="393">
        <v>0</v>
      </c>
      <c r="C98" s="393">
        <v>0</v>
      </c>
      <c r="D98" s="393">
        <v>0</v>
      </c>
      <c r="E98" s="393">
        <v>0</v>
      </c>
      <c r="F98" s="25" t="e">
        <f>((D98-B98)/B98)</f>
        <v>#DIV/0!</v>
      </c>
      <c r="G98" s="25" t="e">
        <f t="shared" si="79"/>
        <v>#DIV/0!</v>
      </c>
      <c r="H98" s="393">
        <v>0</v>
      </c>
      <c r="I98" s="393">
        <v>0</v>
      </c>
      <c r="J98" s="25" t="e">
        <f t="shared" si="80"/>
        <v>#DIV/0!</v>
      </c>
      <c r="K98" s="25" t="e">
        <f t="shared" si="80"/>
        <v>#DIV/0!</v>
      </c>
      <c r="L98" s="393">
        <v>0</v>
      </c>
      <c r="M98" s="393">
        <v>0</v>
      </c>
      <c r="N98" s="25" t="e">
        <f t="shared" si="81"/>
        <v>#DIV/0!</v>
      </c>
      <c r="O98" s="25" t="e">
        <f t="shared" si="81"/>
        <v>#DIV/0!</v>
      </c>
      <c r="P98" s="393">
        <f>408286.69*453.61</f>
        <v>185202925.45090002</v>
      </c>
      <c r="Q98" s="393">
        <f>100.5*453.61</f>
        <v>45587.805</v>
      </c>
      <c r="R98" s="25" t="e">
        <f t="shared" si="82"/>
        <v>#DIV/0!</v>
      </c>
      <c r="S98" s="25" t="e">
        <f t="shared" si="82"/>
        <v>#DIV/0!</v>
      </c>
      <c r="T98" s="393">
        <f>475614.33*455.56</f>
        <v>216670864.17480001</v>
      </c>
      <c r="U98" s="393">
        <f>100.69*455.56</f>
        <v>45870.3364</v>
      </c>
      <c r="V98" s="25">
        <f t="shared" si="83"/>
        <v>0.16991059211018023</v>
      </c>
      <c r="W98" s="25">
        <f t="shared" si="75"/>
        <v>6.1975214643477539E-3</v>
      </c>
      <c r="X98" s="393">
        <f>496760.4*460.91</f>
        <v>228961835.96400002</v>
      </c>
      <c r="Y98" s="393">
        <f>100.89*460.91</f>
        <v>46501.209900000002</v>
      </c>
      <c r="Z98" s="25">
        <f t="shared" si="84"/>
        <v>5.6726463135736704E-2</v>
      </c>
      <c r="AA98" s="25">
        <f t="shared" si="76"/>
        <v>1.3753409055007531E-2</v>
      </c>
      <c r="AB98" s="393">
        <f>783353.69*460.2</f>
        <v>360499368.13799995</v>
      </c>
      <c r="AC98" s="393">
        <f>101.05*460.2</f>
        <v>46503.21</v>
      </c>
      <c r="AD98" s="25">
        <f t="shared" si="85"/>
        <v>0.57449544645808026</v>
      </c>
      <c r="AE98" s="25">
        <f t="shared" si="77"/>
        <v>4.3011784086879719E-5</v>
      </c>
      <c r="AF98" s="393">
        <f>987259.97*460.99</f>
        <v>455116973.57029998</v>
      </c>
      <c r="AG98" s="393">
        <f>101.24*460.99</f>
        <v>46670.6276</v>
      </c>
      <c r="AH98" s="25">
        <f t="shared" si="86"/>
        <v>0.26246261101927981</v>
      </c>
      <c r="AI98" s="25">
        <f t="shared" si="78"/>
        <v>3.6001299695225487E-3</v>
      </c>
      <c r="AJ98" s="26" t="e">
        <f t="shared" si="66"/>
        <v>#DIV/0!</v>
      </c>
      <c r="AK98" s="26" t="e">
        <f t="shared" si="67"/>
        <v>#DIV/0!</v>
      </c>
      <c r="AL98" s="27" t="e">
        <f t="shared" si="68"/>
        <v>#DIV/0!</v>
      </c>
      <c r="AM98" s="27" t="e">
        <f t="shared" si="69"/>
        <v>#DIV/0!</v>
      </c>
      <c r="AN98" s="28" t="e">
        <f t="shared" si="70"/>
        <v>#DIV/0!</v>
      </c>
      <c r="AO98" s="85" t="e">
        <f t="shared" si="71"/>
        <v>#DIV/0!</v>
      </c>
      <c r="AP98" s="32"/>
      <c r="AQ98" s="30">
        <v>4173976375.3699999</v>
      </c>
      <c r="AR98" s="34">
        <v>299.53579999999999</v>
      </c>
      <c r="AS98" s="31" t="e">
        <f>(#REF!/AQ98)-1</f>
        <v>#REF!</v>
      </c>
      <c r="AT98" s="31" t="e">
        <f>(#REF!/AR98)-1</f>
        <v>#REF!</v>
      </c>
    </row>
    <row r="99" spans="1:46" ht="6.75" customHeight="1">
      <c r="A99" s="219"/>
      <c r="B99" s="94"/>
      <c r="C99" s="94"/>
      <c r="D99" s="94"/>
      <c r="E99" s="94"/>
      <c r="F99" s="25"/>
      <c r="G99" s="25"/>
      <c r="H99" s="94"/>
      <c r="I99" s="94"/>
      <c r="J99" s="25"/>
      <c r="K99" s="25"/>
      <c r="L99" s="94"/>
      <c r="M99" s="94"/>
      <c r="N99" s="25"/>
      <c r="O99" s="25"/>
      <c r="P99" s="94"/>
      <c r="Q99" s="94"/>
      <c r="R99" s="25"/>
      <c r="S99" s="25"/>
      <c r="T99" s="94"/>
      <c r="U99" s="94"/>
      <c r="V99" s="25"/>
      <c r="W99" s="25"/>
      <c r="X99" s="94"/>
      <c r="Y99" s="94"/>
      <c r="Z99" s="25"/>
      <c r="AA99" s="25"/>
      <c r="AB99" s="94"/>
      <c r="AC99" s="94"/>
      <c r="AD99" s="25"/>
      <c r="AE99" s="25"/>
      <c r="AF99" s="94"/>
      <c r="AG99" s="94"/>
      <c r="AH99" s="25"/>
      <c r="AI99" s="25"/>
      <c r="AJ99" s="26"/>
      <c r="AK99" s="26"/>
      <c r="AL99" s="27"/>
      <c r="AM99" s="27"/>
      <c r="AN99" s="28"/>
      <c r="AO99" s="85"/>
      <c r="AP99" s="32"/>
      <c r="AQ99" s="52">
        <v>4131236617.7600002</v>
      </c>
      <c r="AR99" s="50">
        <v>103.24</v>
      </c>
      <c r="AS99" s="31" t="e">
        <f>(#REF!/AQ99)-1</f>
        <v>#REF!</v>
      </c>
      <c r="AT99" s="31" t="e">
        <f>(#REF!/AR99)-1</f>
        <v>#REF!</v>
      </c>
    </row>
    <row r="100" spans="1:46">
      <c r="A100" s="215" t="s">
        <v>213</v>
      </c>
      <c r="B100" s="94"/>
      <c r="C100" s="94"/>
      <c r="D100" s="94"/>
      <c r="E100" s="94"/>
      <c r="F100" s="25"/>
      <c r="G100" s="25"/>
      <c r="H100" s="94"/>
      <c r="I100" s="94"/>
      <c r="J100" s="25"/>
      <c r="K100" s="25"/>
      <c r="L100" s="94"/>
      <c r="M100" s="94"/>
      <c r="N100" s="25"/>
      <c r="O100" s="25"/>
      <c r="P100" s="94"/>
      <c r="Q100" s="94"/>
      <c r="R100" s="25"/>
      <c r="S100" s="25"/>
      <c r="T100" s="94"/>
      <c r="U100" s="94"/>
      <c r="V100" s="25"/>
      <c r="W100" s="25"/>
      <c r="X100" s="94"/>
      <c r="Y100" s="94"/>
      <c r="Z100" s="25"/>
      <c r="AA100" s="25"/>
      <c r="AB100" s="94"/>
      <c r="AC100" s="94"/>
      <c r="AD100" s="25"/>
      <c r="AE100" s="25"/>
      <c r="AF100" s="94"/>
      <c r="AG100" s="94"/>
      <c r="AH100" s="25"/>
      <c r="AI100" s="25"/>
      <c r="AJ100" s="26"/>
      <c r="AK100" s="26"/>
      <c r="AL100" s="27"/>
      <c r="AM100" s="27"/>
      <c r="AN100" s="28"/>
      <c r="AO100" s="85"/>
      <c r="AP100" s="32"/>
      <c r="AQ100" s="47">
        <v>2931134847.0043802</v>
      </c>
      <c r="AR100" s="51">
        <v>2254.1853324818899</v>
      </c>
      <c r="AS100" s="31" t="e">
        <f>(#REF!/AQ100)-1</f>
        <v>#REF!</v>
      </c>
      <c r="AT100" s="31" t="e">
        <f>(#REF!/AR100)-1</f>
        <v>#REF!</v>
      </c>
    </row>
    <row r="101" spans="1:46">
      <c r="A101" s="217" t="s">
        <v>99</v>
      </c>
      <c r="B101" s="393">
        <v>192244531571.39999</v>
      </c>
      <c r="C101" s="392">
        <v>614.54</v>
      </c>
      <c r="D101" s="393">
        <v>195512142813.51999</v>
      </c>
      <c r="E101" s="392">
        <v>622.12</v>
      </c>
      <c r="F101" s="25">
        <f t="shared" ref="F101:G108" si="87">((D101-B101)/B101)</f>
        <v>1.6997160935661768E-2</v>
      </c>
      <c r="G101" s="25">
        <f t="shared" si="87"/>
        <v>1.2334429003807794E-2</v>
      </c>
      <c r="H101" s="393">
        <v>196592261343.14001</v>
      </c>
      <c r="I101" s="392">
        <v>629.76</v>
      </c>
      <c r="J101" s="25">
        <f>((H101-D101)/D101)</f>
        <v>5.5245598256791935E-3</v>
      </c>
      <c r="K101" s="25">
        <f t="shared" ref="K101:K108" si="88">((I101-E101)/E101)</f>
        <v>1.2280588953899546E-2</v>
      </c>
      <c r="L101" s="393">
        <v>199113228081.64001</v>
      </c>
      <c r="M101" s="392">
        <v>630.78</v>
      </c>
      <c r="N101" s="25">
        <f>((L101-H101)/H101)</f>
        <v>1.282332641822459E-2</v>
      </c>
      <c r="O101" s="25">
        <f t="shared" ref="O101:O108" si="89">((M101-I101)/I101)</f>
        <v>1.6196646341463125E-3</v>
      </c>
      <c r="P101" s="393">
        <v>197759459079.23999</v>
      </c>
      <c r="Q101" s="392">
        <v>631.92999999999995</v>
      </c>
      <c r="R101" s="25">
        <f>((P101-L101)/L101)</f>
        <v>-6.7989907824956494E-3</v>
      </c>
      <c r="S101" s="25">
        <f t="shared" ref="S101:S108" si="90">((Q101-M101)/M101)</f>
        <v>1.8231396049335383E-3</v>
      </c>
      <c r="T101" s="393">
        <v>197653505412.60999</v>
      </c>
      <c r="U101" s="392">
        <v>632.16</v>
      </c>
      <c r="V101" s="25">
        <f>((T101-P101)/P101)</f>
        <v>-5.3577041079764707E-4</v>
      </c>
      <c r="W101" s="25">
        <f t="shared" ref="W101:W108" si="91">((U101-Q101)/Q101)</f>
        <v>3.6396436314151603E-4</v>
      </c>
      <c r="X101" s="393">
        <v>197778223405.81</v>
      </c>
      <c r="Y101" s="392">
        <v>633.34</v>
      </c>
      <c r="Z101" s="25">
        <f>((X101-T101)/T101)</f>
        <v>6.3099307517798975E-4</v>
      </c>
      <c r="AA101" s="25">
        <f t="shared" ref="AA101:AA108" si="92">((Y101-U101)/U101)</f>
        <v>1.8666160465705894E-3</v>
      </c>
      <c r="AB101" s="393">
        <v>195942992273.41</v>
      </c>
      <c r="AC101" s="392">
        <v>633.73</v>
      </c>
      <c r="AD101" s="25">
        <f>((AB101-X101)/X101)</f>
        <v>-9.2792376268563525E-3</v>
      </c>
      <c r="AE101" s="25">
        <f t="shared" ref="AE101:AE108" si="93">((AC101-Y101)/Y101)</f>
        <v>6.1578299175795988E-4</v>
      </c>
      <c r="AF101" s="393">
        <v>197230770544.98999</v>
      </c>
      <c r="AG101" s="392">
        <v>634.65</v>
      </c>
      <c r="AH101" s="25">
        <f>((AF101-AB101)/AB101)</f>
        <v>6.5722088687054396E-3</v>
      </c>
      <c r="AI101" s="25">
        <f t="shared" ref="AI101:AI108" si="94">((AG101-AC101)/AC101)</f>
        <v>1.4517223423223754E-3</v>
      </c>
      <c r="AJ101" s="26">
        <f t="shared" si="66"/>
        <v>3.2417812879124157E-3</v>
      </c>
      <c r="AK101" s="26">
        <f t="shared" si="67"/>
        <v>4.0444884925724539E-3</v>
      </c>
      <c r="AL101" s="27">
        <f t="shared" si="68"/>
        <v>8.7903887029115776E-3</v>
      </c>
      <c r="AM101" s="27">
        <f t="shared" si="69"/>
        <v>2.0140808847167704E-2</v>
      </c>
      <c r="AN101" s="28">
        <f t="shared" si="70"/>
        <v>9.0711350087074542E-3</v>
      </c>
      <c r="AO101" s="85">
        <f t="shared" si="71"/>
        <v>5.1288883520349176E-3</v>
      </c>
      <c r="AP101" s="32"/>
      <c r="AQ101" s="53">
        <v>1131224777.76</v>
      </c>
      <c r="AR101" s="54">
        <v>0.6573</v>
      </c>
      <c r="AS101" s="31" t="e">
        <f>(#REF!/AQ101)-1</f>
        <v>#REF!</v>
      </c>
      <c r="AT101" s="31" t="e">
        <f>(#REF!/AR101)-1</f>
        <v>#REF!</v>
      </c>
    </row>
    <row r="102" spans="1:46">
      <c r="A102" s="217" t="s">
        <v>133</v>
      </c>
      <c r="B102" s="392">
        <v>15227771746.73</v>
      </c>
      <c r="C102" s="392">
        <v>445.82</v>
      </c>
      <c r="D102" s="392">
        <v>15110572204.91</v>
      </c>
      <c r="E102" s="392">
        <v>446.8</v>
      </c>
      <c r="F102" s="25">
        <f t="shared" si="87"/>
        <v>-7.6964341053488037E-3</v>
      </c>
      <c r="G102" s="25">
        <f t="shared" si="87"/>
        <v>2.1981965815800505E-3</v>
      </c>
      <c r="H102" s="392">
        <v>15435763864.139999</v>
      </c>
      <c r="I102" s="392">
        <v>448.55</v>
      </c>
      <c r="J102" s="25">
        <f t="shared" ref="J102:J108" si="95">((H102-D102)/D102)</f>
        <v>2.1520803767069285E-2</v>
      </c>
      <c r="K102" s="25">
        <f t="shared" si="88"/>
        <v>3.91674127126231E-3</v>
      </c>
      <c r="L102" s="392">
        <v>4826874137.7799997</v>
      </c>
      <c r="M102" s="392">
        <v>450.05</v>
      </c>
      <c r="N102" s="25">
        <f t="shared" ref="N102:N108" si="96">((L102-H102)/H102)</f>
        <v>-0.68729282332481911</v>
      </c>
      <c r="O102" s="25">
        <f t="shared" si="89"/>
        <v>3.344108795006131E-3</v>
      </c>
      <c r="P102" s="392">
        <v>4917496137.7799997</v>
      </c>
      <c r="Q102" s="392">
        <v>453.11</v>
      </c>
      <c r="R102" s="25">
        <f t="shared" ref="R102:R108" si="97">((P102-L102)/L102)</f>
        <v>1.8774469234799508E-2</v>
      </c>
      <c r="S102" s="25">
        <f t="shared" si="90"/>
        <v>6.79924452838574E-3</v>
      </c>
      <c r="T102" s="392">
        <v>3749266281.7800002</v>
      </c>
      <c r="U102" s="392">
        <v>455.06</v>
      </c>
      <c r="V102" s="25">
        <f t="shared" ref="V102:V108" si="98">((T102-P102)/P102)</f>
        <v>-0.23756599360084013</v>
      </c>
      <c r="W102" s="25">
        <f t="shared" si="91"/>
        <v>4.303590739555491E-3</v>
      </c>
      <c r="X102" s="392">
        <v>4001400661.2600002</v>
      </c>
      <c r="Y102" s="392">
        <v>460.28</v>
      </c>
      <c r="Z102" s="25">
        <f t="shared" ref="Z102:Z108" si="99">((X102-T102)/T102)</f>
        <v>6.7248992344255895E-2</v>
      </c>
      <c r="AA102" s="25">
        <f t="shared" si="92"/>
        <v>1.1471014811233618E-2</v>
      </c>
      <c r="AB102" s="392">
        <v>4071477187.6900001</v>
      </c>
      <c r="AC102" s="392">
        <v>459.7</v>
      </c>
      <c r="AD102" s="25">
        <f t="shared" ref="AD102:AD108" si="100">((AB102-X102)/X102)</f>
        <v>1.751299916263158E-2</v>
      </c>
      <c r="AE102" s="25">
        <f t="shared" si="93"/>
        <v>-1.2601025462761451E-3</v>
      </c>
      <c r="AF102" s="392">
        <v>4183159164.9699998</v>
      </c>
      <c r="AG102" s="392">
        <v>459.99</v>
      </c>
      <c r="AH102" s="25">
        <f t="shared" ref="AH102:AH108" si="101">((AF102-AB102)/AB102)</f>
        <v>2.7430333545197586E-2</v>
      </c>
      <c r="AI102" s="25">
        <f t="shared" si="94"/>
        <v>6.308462040461616E-4</v>
      </c>
      <c r="AJ102" s="26">
        <f t="shared" si="66"/>
        <v>-9.7508456622131756E-2</v>
      </c>
      <c r="AK102" s="26">
        <f t="shared" si="67"/>
        <v>3.9254550480991692E-3</v>
      </c>
      <c r="AL102" s="27">
        <f t="shared" si="68"/>
        <v>-0.72316341775523685</v>
      </c>
      <c r="AM102" s="27">
        <f t="shared" si="69"/>
        <v>2.9521038495971347E-2</v>
      </c>
      <c r="AN102" s="28">
        <f t="shared" si="70"/>
        <v>0.25612559684204889</v>
      </c>
      <c r="AO102" s="85">
        <f t="shared" si="71"/>
        <v>3.8987734504061368E-3</v>
      </c>
      <c r="AP102" s="32"/>
      <c r="AQ102" s="30">
        <v>318569106.36000001</v>
      </c>
      <c r="AR102" s="37">
        <v>123.8</v>
      </c>
      <c r="AS102" s="31" t="e">
        <f>(#REF!/AQ102)-1</f>
        <v>#REF!</v>
      </c>
      <c r="AT102" s="31" t="e">
        <f>(#REF!/AR102)-1</f>
        <v>#REF!</v>
      </c>
    </row>
    <row r="103" spans="1:46">
      <c r="A103" s="217" t="s">
        <v>152</v>
      </c>
      <c r="B103" s="392">
        <v>6011983098.9300003</v>
      </c>
      <c r="C103" s="392">
        <v>50000.959999999999</v>
      </c>
      <c r="D103" s="392">
        <v>5776809306.71</v>
      </c>
      <c r="E103" s="392">
        <v>50200.74</v>
      </c>
      <c r="F103" s="25">
        <f t="shared" si="87"/>
        <v>-3.9117507210200908E-2</v>
      </c>
      <c r="G103" s="25">
        <f t="shared" si="87"/>
        <v>3.9955232859528863E-3</v>
      </c>
      <c r="H103" s="392">
        <v>5791530672.3000002</v>
      </c>
      <c r="I103" s="392">
        <v>50254.01</v>
      </c>
      <c r="J103" s="25">
        <f t="shared" si="95"/>
        <v>2.5483558151903484E-3</v>
      </c>
      <c r="K103" s="25">
        <f t="shared" si="88"/>
        <v>1.061139736187237E-3</v>
      </c>
      <c r="L103" s="392">
        <v>5791341376.29</v>
      </c>
      <c r="M103" s="392">
        <v>50271.77</v>
      </c>
      <c r="N103" s="25">
        <f t="shared" si="96"/>
        <v>-3.2684970642666639E-5</v>
      </c>
      <c r="O103" s="25">
        <f t="shared" si="89"/>
        <v>3.5340463377936924E-4</v>
      </c>
      <c r="P103" s="392">
        <v>5786718154.0500002</v>
      </c>
      <c r="Q103" s="392">
        <v>50276.21</v>
      </c>
      <c r="R103" s="25">
        <f t="shared" si="97"/>
        <v>-7.9829903637306573E-4</v>
      </c>
      <c r="S103" s="25">
        <f t="shared" si="90"/>
        <v>8.8319945766825565E-5</v>
      </c>
      <c r="T103" s="392">
        <v>5858629222.5</v>
      </c>
      <c r="U103" s="392">
        <v>50796.4</v>
      </c>
      <c r="V103" s="25">
        <f t="shared" si="98"/>
        <v>1.2426917388342267E-2</v>
      </c>
      <c r="W103" s="25">
        <f t="shared" si="91"/>
        <v>1.0346643074328839E-2</v>
      </c>
      <c r="X103" s="392">
        <v>5928484256.0600004</v>
      </c>
      <c r="Y103" s="392">
        <v>51441.43</v>
      </c>
      <c r="Z103" s="25">
        <f t="shared" si="99"/>
        <v>1.1923443335810182E-2</v>
      </c>
      <c r="AA103" s="25">
        <f t="shared" si="92"/>
        <v>1.2698340827302699E-2</v>
      </c>
      <c r="AB103" s="392">
        <v>6106876197.4099998</v>
      </c>
      <c r="AC103" s="392">
        <v>52996.639999999999</v>
      </c>
      <c r="AD103" s="25">
        <f t="shared" si="100"/>
        <v>3.0090649421502653E-2</v>
      </c>
      <c r="AE103" s="25">
        <f t="shared" si="93"/>
        <v>3.023263544578755E-2</v>
      </c>
      <c r="AF103" s="392">
        <v>6232916362.9099998</v>
      </c>
      <c r="AG103" s="392">
        <v>53784.13</v>
      </c>
      <c r="AH103" s="25">
        <f t="shared" si="101"/>
        <v>2.0639056929540371E-2</v>
      </c>
      <c r="AI103" s="25">
        <f t="shared" si="94"/>
        <v>1.4859243906783486E-2</v>
      </c>
      <c r="AJ103" s="26">
        <f t="shared" si="66"/>
        <v>4.7099914591461475E-3</v>
      </c>
      <c r="AK103" s="26">
        <f t="shared" si="67"/>
        <v>9.2044063569861126E-3</v>
      </c>
      <c r="AL103" s="27">
        <f t="shared" si="68"/>
        <v>7.8954840290506534E-2</v>
      </c>
      <c r="AM103" s="27">
        <f t="shared" si="69"/>
        <v>7.1381218683230552E-2</v>
      </c>
      <c r="AN103" s="28">
        <f t="shared" si="70"/>
        <v>2.0660017671495081E-2</v>
      </c>
      <c r="AO103" s="85">
        <f t="shared" si="71"/>
        <v>1.0299545109186445E-2</v>
      </c>
      <c r="AP103" s="32"/>
      <c r="AQ103" s="30">
        <v>1812522091.8199999</v>
      </c>
      <c r="AR103" s="34">
        <v>1.6227</v>
      </c>
      <c r="AS103" s="31" t="e">
        <f>(#REF!/AQ103)-1</f>
        <v>#REF!</v>
      </c>
      <c r="AT103" s="31" t="e">
        <f>(#REF!/AR103)-1</f>
        <v>#REF!</v>
      </c>
    </row>
    <row r="104" spans="1:46">
      <c r="A104" s="217" t="s">
        <v>158</v>
      </c>
      <c r="B104" s="392">
        <v>347363243.26999998</v>
      </c>
      <c r="C104" s="393">
        <v>40871.94</v>
      </c>
      <c r="D104" s="392">
        <v>348798581.95999998</v>
      </c>
      <c r="E104" s="393">
        <v>41040.559999999998</v>
      </c>
      <c r="F104" s="25">
        <f t="shared" si="87"/>
        <v>4.1320972146852378E-3</v>
      </c>
      <c r="G104" s="25">
        <f t="shared" si="87"/>
        <v>4.1255687887581391E-3</v>
      </c>
      <c r="H104" s="392">
        <v>357977987.30000001</v>
      </c>
      <c r="I104" s="393">
        <v>41105.42</v>
      </c>
      <c r="J104" s="25">
        <f t="shared" si="95"/>
        <v>2.6317209457728592E-2</v>
      </c>
      <c r="K104" s="25">
        <f t="shared" si="88"/>
        <v>1.5803877919794609E-3</v>
      </c>
      <c r="L104" s="392">
        <v>378590095.69999999</v>
      </c>
      <c r="M104" s="393">
        <v>43472.72</v>
      </c>
      <c r="N104" s="25">
        <f t="shared" si="96"/>
        <v>5.7579262220741514E-2</v>
      </c>
      <c r="O104" s="25">
        <f t="shared" si="89"/>
        <v>5.7590945427634675E-2</v>
      </c>
      <c r="P104" s="392">
        <v>392366597.58999997</v>
      </c>
      <c r="Q104" s="393">
        <v>45054.44</v>
      </c>
      <c r="R104" s="25">
        <f t="shared" si="97"/>
        <v>3.6388965391521165E-2</v>
      </c>
      <c r="S104" s="25">
        <f t="shared" si="90"/>
        <v>3.6384196802040476E-2</v>
      </c>
      <c r="T104" s="392">
        <v>391460118.31</v>
      </c>
      <c r="U104" s="393">
        <v>44946.9</v>
      </c>
      <c r="V104" s="25">
        <f t="shared" si="98"/>
        <v>-2.3102865676328261E-3</v>
      </c>
      <c r="W104" s="25">
        <f t="shared" si="91"/>
        <v>-2.3868901710908151E-3</v>
      </c>
      <c r="X104" s="392">
        <v>389448978.44</v>
      </c>
      <c r="Y104" s="393">
        <v>44718.38</v>
      </c>
      <c r="Z104" s="25">
        <f t="shared" si="99"/>
        <v>-5.1375345173920606E-3</v>
      </c>
      <c r="AA104" s="25">
        <f t="shared" si="92"/>
        <v>-5.0842216037146962E-3</v>
      </c>
      <c r="AB104" s="392">
        <v>375190911.54000002</v>
      </c>
      <c r="AC104" s="393">
        <v>44789.85</v>
      </c>
      <c r="AD104" s="25">
        <f t="shared" si="100"/>
        <v>-3.6610872513038649E-2</v>
      </c>
      <c r="AE104" s="25">
        <f t="shared" si="93"/>
        <v>1.5982242648325178E-3</v>
      </c>
      <c r="AF104" s="392">
        <v>371544378.24000001</v>
      </c>
      <c r="AG104" s="393">
        <v>44352.58</v>
      </c>
      <c r="AH104" s="25">
        <f t="shared" si="101"/>
        <v>-9.7191408102945114E-3</v>
      </c>
      <c r="AI104" s="25">
        <f t="shared" si="94"/>
        <v>-9.7627029338119425E-3</v>
      </c>
      <c r="AJ104" s="26">
        <f t="shared" si="66"/>
        <v>8.8299624845398078E-3</v>
      </c>
      <c r="AK104" s="26">
        <f t="shared" si="67"/>
        <v>1.0505688545828479E-2</v>
      </c>
      <c r="AL104" s="27">
        <f t="shared" si="68"/>
        <v>6.5211837021196678E-2</v>
      </c>
      <c r="AM104" s="27">
        <f t="shared" si="69"/>
        <v>8.0701140530246282E-2</v>
      </c>
      <c r="AN104" s="28">
        <f t="shared" si="70"/>
        <v>2.9741749037230102E-2</v>
      </c>
      <c r="AO104" s="85">
        <f t="shared" si="71"/>
        <v>2.3623535553661298E-2</v>
      </c>
      <c r="AP104" s="32"/>
      <c r="AQ104" s="30"/>
      <c r="AR104" s="34"/>
      <c r="AS104" s="31"/>
      <c r="AT104" s="31"/>
    </row>
    <row r="105" spans="1:46" ht="16.5" customHeight="1">
      <c r="A105" s="217" t="s">
        <v>163</v>
      </c>
      <c r="B105" s="392">
        <v>1760305875.208472</v>
      </c>
      <c r="C105" s="392">
        <v>502.26423131433694</v>
      </c>
      <c r="D105" s="392">
        <v>1802094119.86675</v>
      </c>
      <c r="E105" s="392">
        <v>513.6585995284621</v>
      </c>
      <c r="F105" s="25">
        <f t="shared" si="87"/>
        <v>2.373919512898804E-2</v>
      </c>
      <c r="G105" s="25">
        <f t="shared" si="87"/>
        <v>2.2686003708263503E-2</v>
      </c>
      <c r="H105" s="392">
        <v>1838588727.1434901</v>
      </c>
      <c r="I105" s="392">
        <v>521.46463866702175</v>
      </c>
      <c r="J105" s="25">
        <f t="shared" si="95"/>
        <v>2.0251221550758154E-2</v>
      </c>
      <c r="K105" s="25">
        <f t="shared" si="88"/>
        <v>1.5196940430327797E-2</v>
      </c>
      <c r="L105" s="392">
        <v>1847895148.4959841</v>
      </c>
      <c r="M105" s="392">
        <v>524.10414666367967</v>
      </c>
      <c r="N105" s="25">
        <f t="shared" si="96"/>
        <v>5.0617200111701191E-3</v>
      </c>
      <c r="O105" s="25">
        <f t="shared" si="89"/>
        <v>5.0617200111690965E-3</v>
      </c>
      <c r="P105" s="392">
        <v>1858210195.6052213</v>
      </c>
      <c r="Q105" s="392">
        <v>522.74817991408202</v>
      </c>
      <c r="R105" s="25">
        <f t="shared" si="97"/>
        <v>5.5820521622304648E-3</v>
      </c>
      <c r="S105" s="25">
        <f t="shared" si="90"/>
        <v>-2.5872085886543966E-3</v>
      </c>
      <c r="T105" s="392">
        <v>1740313288.6050775</v>
      </c>
      <c r="U105" s="392">
        <v>523.34240921729349</v>
      </c>
      <c r="V105" s="25">
        <f t="shared" si="98"/>
        <v>-6.344648591369105E-2</v>
      </c>
      <c r="W105" s="25">
        <f t="shared" si="91"/>
        <v>1.1367410275998362E-3</v>
      </c>
      <c r="X105" s="392">
        <v>1743199502.8051081</v>
      </c>
      <c r="Y105" s="392">
        <v>524.2104612801852</v>
      </c>
      <c r="Z105" s="25">
        <f t="shared" si="99"/>
        <v>1.6584451885349723E-3</v>
      </c>
      <c r="AA105" s="25">
        <f t="shared" si="92"/>
        <v>1.6586694439496275E-3</v>
      </c>
      <c r="AB105" s="392">
        <v>1780308825.2450969</v>
      </c>
      <c r="AC105" s="392">
        <v>524.71771100104058</v>
      </c>
      <c r="AD105" s="25">
        <f t="shared" si="100"/>
        <v>2.1288052446248158E-2</v>
      </c>
      <c r="AE105" s="25">
        <f t="shared" si="93"/>
        <v>9.6764516987436517E-4</v>
      </c>
      <c r="AF105" s="392">
        <v>1867520833.8013735</v>
      </c>
      <c r="AG105" s="392">
        <v>525.0532684556332</v>
      </c>
      <c r="AH105" s="25">
        <f t="shared" si="101"/>
        <v>4.8987011309271015E-2</v>
      </c>
      <c r="AI105" s="25">
        <f t="shared" si="94"/>
        <v>6.3950091174252738E-4</v>
      </c>
      <c r="AJ105" s="26">
        <f t="shared" si="66"/>
        <v>7.8901514854387341E-3</v>
      </c>
      <c r="AK105" s="26">
        <f t="shared" si="67"/>
        <v>5.5950015142840455E-3</v>
      </c>
      <c r="AL105" s="27">
        <f t="shared" si="68"/>
        <v>3.6305936084770778E-2</v>
      </c>
      <c r="AM105" s="27">
        <f t="shared" si="69"/>
        <v>2.218335084359804E-2</v>
      </c>
      <c r="AN105" s="28">
        <f t="shared" si="70"/>
        <v>3.2543424222735436E-2</v>
      </c>
      <c r="AO105" s="85">
        <f t="shared" si="71"/>
        <v>8.7249457465955402E-3</v>
      </c>
      <c r="AP105" s="32"/>
      <c r="AQ105" s="30"/>
      <c r="AR105" s="34"/>
      <c r="AS105" s="31"/>
      <c r="AT105" s="31"/>
    </row>
    <row r="106" spans="1:46">
      <c r="A106" s="217" t="s">
        <v>173</v>
      </c>
      <c r="B106" s="392">
        <v>99940128.239999995</v>
      </c>
      <c r="C106" s="392">
        <v>391.2</v>
      </c>
      <c r="D106" s="392">
        <v>100265826.59999999</v>
      </c>
      <c r="E106" s="392">
        <v>392.45</v>
      </c>
      <c r="F106" s="25">
        <f t="shared" si="87"/>
        <v>3.2589347816109971E-3</v>
      </c>
      <c r="G106" s="25">
        <f t="shared" si="87"/>
        <v>3.1952965235173825E-3</v>
      </c>
      <c r="H106" s="392">
        <v>101515384.06999999</v>
      </c>
      <c r="I106" s="392">
        <v>397.33</v>
      </c>
      <c r="J106" s="25">
        <f t="shared" si="95"/>
        <v>1.2462446202981774E-2</v>
      </c>
      <c r="K106" s="25">
        <f t="shared" si="88"/>
        <v>1.2434705057969156E-2</v>
      </c>
      <c r="L106" s="392">
        <v>103029728.61</v>
      </c>
      <c r="M106" s="392">
        <v>403.27</v>
      </c>
      <c r="N106" s="25">
        <f t="shared" si="96"/>
        <v>1.4917389653530636E-2</v>
      </c>
      <c r="O106" s="25">
        <f t="shared" si="89"/>
        <v>1.4949789847230256E-2</v>
      </c>
      <c r="P106" s="392">
        <v>108415596.98</v>
      </c>
      <c r="Q106" s="392">
        <v>424.36</v>
      </c>
      <c r="R106" s="25">
        <f t="shared" si="97"/>
        <v>5.2274896213569719E-2</v>
      </c>
      <c r="S106" s="25">
        <f t="shared" si="90"/>
        <v>5.2297468197485639E-2</v>
      </c>
      <c r="T106" s="392">
        <v>108925755.2</v>
      </c>
      <c r="U106" s="392">
        <v>426.34</v>
      </c>
      <c r="V106" s="25">
        <f t="shared" si="98"/>
        <v>4.7055795864326642E-3</v>
      </c>
      <c r="W106" s="25">
        <f t="shared" si="91"/>
        <v>4.6658497502119929E-3</v>
      </c>
      <c r="X106" s="392">
        <v>106673959.47499999</v>
      </c>
      <c r="Y106" s="392">
        <v>419.89</v>
      </c>
      <c r="Z106" s="25">
        <f t="shared" si="99"/>
        <v>-2.067275752061996E-2</v>
      </c>
      <c r="AA106" s="25">
        <f t="shared" si="92"/>
        <v>-1.5128770464887153E-2</v>
      </c>
      <c r="AB106" s="392">
        <v>102211691.23999999</v>
      </c>
      <c r="AC106" s="392">
        <v>401.44</v>
      </c>
      <c r="AD106" s="25">
        <f t="shared" si="100"/>
        <v>-4.1830904720901188E-2</v>
      </c>
      <c r="AE106" s="25">
        <f t="shared" si="93"/>
        <v>-4.3940079544642616E-2</v>
      </c>
      <c r="AF106" s="392">
        <v>100568783.12800001</v>
      </c>
      <c r="AG106" s="392">
        <v>392.02</v>
      </c>
      <c r="AH106" s="25">
        <f t="shared" si="101"/>
        <v>-1.6073583090825967E-2</v>
      </c>
      <c r="AI106" s="25">
        <f t="shared" si="94"/>
        <v>-2.3465524113192547E-2</v>
      </c>
      <c r="AJ106" s="26">
        <f t="shared" si="66"/>
        <v>1.1302501382223348E-3</v>
      </c>
      <c r="AK106" s="26">
        <f t="shared" si="67"/>
        <v>6.2609190671151279E-4</v>
      </c>
      <c r="AL106" s="27">
        <f t="shared" si="68"/>
        <v>3.0215332409179187E-3</v>
      </c>
      <c r="AM106" s="27">
        <f t="shared" si="69"/>
        <v>-1.095680978468612E-3</v>
      </c>
      <c r="AN106" s="28">
        <f t="shared" si="70"/>
        <v>2.8204854780656735E-2</v>
      </c>
      <c r="AO106" s="85">
        <f t="shared" si="71"/>
        <v>2.8914229169975898E-2</v>
      </c>
      <c r="AP106" s="32"/>
      <c r="AQ106" s="30"/>
      <c r="AR106" s="34"/>
      <c r="AS106" s="31"/>
      <c r="AT106" s="31"/>
    </row>
    <row r="107" spans="1:46" s="314" customFormat="1">
      <c r="A107" s="217" t="s">
        <v>208</v>
      </c>
      <c r="B107" s="393">
        <v>3673811200.7800002</v>
      </c>
      <c r="C107" s="392">
        <f>1.0483*446.32</f>
        <v>467.87725599999999</v>
      </c>
      <c r="D107" s="393">
        <v>3642476081.23</v>
      </c>
      <c r="E107" s="392">
        <f>1.0483*446.13</f>
        <v>467.67807900000003</v>
      </c>
      <c r="F107" s="25">
        <f t="shared" si="87"/>
        <v>-8.5293222317323544E-3</v>
      </c>
      <c r="G107" s="25">
        <f t="shared" si="87"/>
        <v>-4.2570353109868477E-4</v>
      </c>
      <c r="H107" s="393">
        <v>3775124103.5300002</v>
      </c>
      <c r="I107" s="392">
        <f>1.0483*449.05</f>
        <v>470.73911500000003</v>
      </c>
      <c r="J107" s="25">
        <f t="shared" si="95"/>
        <v>3.6416991997160156E-2</v>
      </c>
      <c r="K107" s="25">
        <f t="shared" si="88"/>
        <v>6.5451774146549242E-3</v>
      </c>
      <c r="L107" s="393">
        <v>3860457411.0700002</v>
      </c>
      <c r="M107" s="392">
        <f>1.0527*451.08</f>
        <v>474.85191599999996</v>
      </c>
      <c r="N107" s="25">
        <f t="shared" si="96"/>
        <v>2.2604106567041718E-2</v>
      </c>
      <c r="O107" s="25">
        <f t="shared" si="89"/>
        <v>8.7369009052921665E-3</v>
      </c>
      <c r="P107" s="393">
        <v>3914239982.46</v>
      </c>
      <c r="Q107" s="392">
        <f>1.0527*453.61</f>
        <v>477.51524699999999</v>
      </c>
      <c r="R107" s="25">
        <f t="shared" si="97"/>
        <v>1.3931657744954371E-2</v>
      </c>
      <c r="S107" s="25">
        <f t="shared" si="90"/>
        <v>5.6087611953534334E-3</v>
      </c>
      <c r="T107" s="393">
        <v>4048499999.9499998</v>
      </c>
      <c r="U107" s="392">
        <f>1.0556*455.56</f>
        <v>480.88913600000006</v>
      </c>
      <c r="V107" s="25">
        <f t="shared" si="98"/>
        <v>3.4300405210622976E-2</v>
      </c>
      <c r="W107" s="25">
        <f t="shared" si="91"/>
        <v>7.0655105176151093E-3</v>
      </c>
      <c r="X107" s="393">
        <v>4121040307.46</v>
      </c>
      <c r="Y107" s="392">
        <f>1.0571*460.91</f>
        <v>487.22796099999999</v>
      </c>
      <c r="Z107" s="25">
        <f t="shared" si="99"/>
        <v>1.791782327056839E-2</v>
      </c>
      <c r="AA107" s="25">
        <f t="shared" si="92"/>
        <v>1.3181468503792376E-2</v>
      </c>
      <c r="AB107" s="393">
        <v>4187987405.4299998</v>
      </c>
      <c r="AC107" s="392">
        <f>1.0582*460.2</f>
        <v>486.98363999999998</v>
      </c>
      <c r="AD107" s="25">
        <f t="shared" si="100"/>
        <v>1.6245193682966567E-2</v>
      </c>
      <c r="AE107" s="25">
        <f t="shared" si="93"/>
        <v>-5.0145110616919939E-4</v>
      </c>
      <c r="AF107" s="393">
        <v>4201185579.1900001</v>
      </c>
      <c r="AG107" s="392">
        <f>1.0597*460.99</f>
        <v>488.51110300000005</v>
      </c>
      <c r="AH107" s="25">
        <f t="shared" si="101"/>
        <v>3.1514358765472724E-3</v>
      </c>
      <c r="AI107" s="25">
        <f t="shared" si="94"/>
        <v>3.1365797011169995E-3</v>
      </c>
      <c r="AJ107" s="26">
        <f t="shared" si="66"/>
        <v>1.7004786514766137E-2</v>
      </c>
      <c r="AK107" s="26">
        <f t="shared" si="67"/>
        <v>5.4184054500696407E-3</v>
      </c>
      <c r="AL107" s="27">
        <f t="shared" si="68"/>
        <v>0.15338727983392375</v>
      </c>
      <c r="AM107" s="27">
        <f t="shared" si="69"/>
        <v>4.4545649957649654E-2</v>
      </c>
      <c r="AN107" s="28">
        <f t="shared" si="70"/>
        <v>1.4938374859104309E-2</v>
      </c>
      <c r="AO107" s="85">
        <f t="shared" si="71"/>
        <v>4.6244907938168718E-3</v>
      </c>
      <c r="AP107" s="32"/>
      <c r="AQ107" s="30"/>
      <c r="AR107" s="34"/>
      <c r="AS107" s="31"/>
      <c r="AT107" s="31"/>
    </row>
    <row r="108" spans="1:46" s="95" customFormat="1">
      <c r="A108" s="217" t="s">
        <v>248</v>
      </c>
      <c r="B108" s="393">
        <v>2781185460.6494122</v>
      </c>
      <c r="C108" s="392">
        <v>55586.649913200003</v>
      </c>
      <c r="D108" s="393">
        <v>2778801484.5460501</v>
      </c>
      <c r="E108" s="392">
        <v>55736.887310099992</v>
      </c>
      <c r="F108" s="25">
        <f t="shared" si="87"/>
        <v>-8.5717983827134656E-4</v>
      </c>
      <c r="G108" s="25">
        <f t="shared" si="87"/>
        <v>2.7027604134192058E-3</v>
      </c>
      <c r="H108" s="393">
        <v>2745392528.224205</v>
      </c>
      <c r="I108" s="392">
        <v>56021.286636000012</v>
      </c>
      <c r="J108" s="25">
        <f t="shared" si="95"/>
        <v>-1.2022793462449442E-2</v>
      </c>
      <c r="K108" s="25">
        <f t="shared" si="88"/>
        <v>5.1025333423756576E-3</v>
      </c>
      <c r="L108" s="393">
        <v>2863284687.9567733</v>
      </c>
      <c r="M108" s="392">
        <v>56306.2256442</v>
      </c>
      <c r="N108" s="25">
        <f t="shared" si="96"/>
        <v>4.294182289802622E-2</v>
      </c>
      <c r="O108" s="25">
        <f t="shared" si="89"/>
        <v>5.0862631922645391E-3</v>
      </c>
      <c r="P108" s="393">
        <v>2848237400.6264081</v>
      </c>
      <c r="Q108" s="392">
        <v>56672.105557500006</v>
      </c>
      <c r="R108" s="25">
        <f t="shared" si="97"/>
        <v>-5.2552536580296721E-3</v>
      </c>
      <c r="S108" s="25">
        <f t="shared" si="90"/>
        <v>6.4980365690289381E-3</v>
      </c>
      <c r="T108" s="393">
        <v>2837871665.1638112</v>
      </c>
      <c r="U108" s="392">
        <v>56956.874171400006</v>
      </c>
      <c r="V108" s="25">
        <f t="shared" si="98"/>
        <v>-3.6393509404508114E-3</v>
      </c>
      <c r="W108" s="25">
        <f t="shared" si="91"/>
        <v>5.0248461937076093E-3</v>
      </c>
      <c r="X108" s="393">
        <v>2841562724.5466137</v>
      </c>
      <c r="Y108" s="392">
        <v>57676.641169500006</v>
      </c>
      <c r="Z108" s="25">
        <f t="shared" si="99"/>
        <v>1.3006435167988565E-3</v>
      </c>
      <c r="AA108" s="25">
        <f t="shared" si="92"/>
        <v>1.2637052306171317E-2</v>
      </c>
      <c r="AB108" s="393">
        <f>6177462.23 *406.2</f>
        <v>2509285157.8260002</v>
      </c>
      <c r="AC108" s="392">
        <f>125.23*460.2</f>
        <v>57630.845999999998</v>
      </c>
      <c r="AD108" s="25">
        <f t="shared" si="100"/>
        <v>-0.11693479923925668</v>
      </c>
      <c r="AE108" s="25">
        <f t="shared" si="93"/>
        <v>-7.9399855073782088E-4</v>
      </c>
      <c r="AF108" s="393">
        <f>6110908.44 *406.99</f>
        <v>2487078625.9956002</v>
      </c>
      <c r="AG108" s="392">
        <f>125.33*460.99</f>
        <v>57775.876700000001</v>
      </c>
      <c r="AH108" s="25">
        <f t="shared" si="101"/>
        <v>-8.849744223426298E-3</v>
      </c>
      <c r="AI108" s="25">
        <f t="shared" si="94"/>
        <v>2.5165464341787205E-3</v>
      </c>
      <c r="AJ108" s="26">
        <f t="shared" si="66"/>
        <v>-1.2914581868382395E-2</v>
      </c>
      <c r="AK108" s="26">
        <f t="shared" si="67"/>
        <v>4.846754987551021E-3</v>
      </c>
      <c r="AL108" s="27">
        <f t="shared" si="68"/>
        <v>-0.10498153976555336</v>
      </c>
      <c r="AM108" s="27">
        <f t="shared" si="69"/>
        <v>3.6582405087600342E-2</v>
      </c>
      <c r="AN108" s="28">
        <f t="shared" si="70"/>
        <v>4.5433798873936525E-2</v>
      </c>
      <c r="AO108" s="85">
        <f t="shared" si="71"/>
        <v>3.8806231368961712E-3</v>
      </c>
      <c r="AP108" s="32"/>
      <c r="AQ108" s="30"/>
      <c r="AR108" s="34"/>
      <c r="AS108" s="31"/>
      <c r="AT108" s="31"/>
    </row>
    <row r="109" spans="1:46" s="113" customFormat="1">
      <c r="A109" s="219" t="s">
        <v>46</v>
      </c>
      <c r="B109" s="82">
        <f>SUM(B90:B108)</f>
        <v>324899490879.42987</v>
      </c>
      <c r="C109" s="94"/>
      <c r="D109" s="82">
        <f>SUM(D90:D108)</f>
        <v>328659495248.42633</v>
      </c>
      <c r="E109" s="94"/>
      <c r="F109" s="25"/>
      <c r="G109" s="25"/>
      <c r="H109" s="82">
        <f>SUM(H90:H108)</f>
        <v>331525669640.7597</v>
      </c>
      <c r="I109" s="94"/>
      <c r="J109" s="25"/>
      <c r="K109" s="25"/>
      <c r="L109" s="82">
        <f>SUM(L90:L108)</f>
        <v>320193218057.02887</v>
      </c>
      <c r="M109" s="94"/>
      <c r="N109" s="25"/>
      <c r="O109" s="25"/>
      <c r="P109" s="82">
        <f>SUM(P90:P108)</f>
        <v>318934755543.12677</v>
      </c>
      <c r="Q109" s="94"/>
      <c r="R109" s="25"/>
      <c r="S109" s="25"/>
      <c r="T109" s="82">
        <f>SUM(T90:T108)</f>
        <v>317633858239.45715</v>
      </c>
      <c r="U109" s="94"/>
      <c r="V109" s="25"/>
      <c r="W109" s="25"/>
      <c r="X109" s="82">
        <f>SUM(X90:X108)</f>
        <v>318454224920.62793</v>
      </c>
      <c r="Y109" s="94"/>
      <c r="Z109" s="25"/>
      <c r="AA109" s="25"/>
      <c r="AB109" s="82">
        <f>SUM(AB90:AB108)</f>
        <v>315407028595.76306</v>
      </c>
      <c r="AC109" s="94"/>
      <c r="AD109" s="25"/>
      <c r="AE109" s="25"/>
      <c r="AF109" s="82">
        <f>SUM(AF90:AF108)</f>
        <v>318608459435.22919</v>
      </c>
      <c r="AG109" s="94"/>
      <c r="AH109" s="25"/>
      <c r="AI109" s="25"/>
      <c r="AJ109" s="26" t="e">
        <f t="shared" si="66"/>
        <v>#DIV/0!</v>
      </c>
      <c r="AK109" s="26"/>
      <c r="AL109" s="27">
        <f t="shared" si="68"/>
        <v>-3.0581912156835121E-2</v>
      </c>
      <c r="AM109" s="27"/>
      <c r="AN109" s="28" t="e">
        <f t="shared" si="70"/>
        <v>#DIV/0!</v>
      </c>
      <c r="AO109" s="85"/>
      <c r="AP109" s="32"/>
      <c r="AQ109" s="30"/>
      <c r="AR109" s="34"/>
      <c r="AS109" s="31"/>
      <c r="AT109" s="31"/>
    </row>
    <row r="110" spans="1:46" s="113" customFormat="1" ht="8.25" customHeight="1">
      <c r="A110" s="219"/>
      <c r="B110" s="94"/>
      <c r="C110" s="94"/>
      <c r="D110" s="94"/>
      <c r="E110" s="94"/>
      <c r="F110" s="25"/>
      <c r="G110" s="25"/>
      <c r="H110" s="94"/>
      <c r="I110" s="94"/>
      <c r="J110" s="25"/>
      <c r="K110" s="25"/>
      <c r="L110" s="94"/>
      <c r="M110" s="94"/>
      <c r="N110" s="25"/>
      <c r="O110" s="25"/>
      <c r="P110" s="94"/>
      <c r="Q110" s="94"/>
      <c r="R110" s="25"/>
      <c r="S110" s="25"/>
      <c r="T110" s="94"/>
      <c r="U110" s="94"/>
      <c r="V110" s="25"/>
      <c r="W110" s="25"/>
      <c r="X110" s="94"/>
      <c r="Y110" s="94"/>
      <c r="Z110" s="25"/>
      <c r="AA110" s="25"/>
      <c r="AB110" s="94"/>
      <c r="AC110" s="94"/>
      <c r="AD110" s="25"/>
      <c r="AE110" s="25"/>
      <c r="AF110" s="94"/>
      <c r="AG110" s="94"/>
      <c r="AH110" s="25"/>
      <c r="AI110" s="25"/>
      <c r="AJ110" s="26"/>
      <c r="AK110" s="26"/>
      <c r="AL110" s="27"/>
      <c r="AM110" s="27"/>
      <c r="AN110" s="28"/>
      <c r="AO110" s="85"/>
      <c r="AP110" s="32"/>
      <c r="AQ110" s="30"/>
      <c r="AR110" s="34"/>
      <c r="AS110" s="31"/>
      <c r="AT110" s="31"/>
    </row>
    <row r="111" spans="1:46">
      <c r="A111" s="221" t="s">
        <v>232</v>
      </c>
      <c r="B111" s="94"/>
      <c r="C111" s="94"/>
      <c r="D111" s="94"/>
      <c r="E111" s="94"/>
      <c r="F111" s="25"/>
      <c r="G111" s="25"/>
      <c r="H111" s="94"/>
      <c r="I111" s="94"/>
      <c r="J111" s="25"/>
      <c r="K111" s="25"/>
      <c r="L111" s="94"/>
      <c r="M111" s="94"/>
      <c r="N111" s="25"/>
      <c r="O111" s="25"/>
      <c r="P111" s="94"/>
      <c r="Q111" s="94"/>
      <c r="R111" s="25"/>
      <c r="S111" s="25"/>
      <c r="T111" s="94"/>
      <c r="U111" s="94"/>
      <c r="V111" s="25"/>
      <c r="W111" s="25"/>
      <c r="X111" s="94"/>
      <c r="Y111" s="94"/>
      <c r="Z111" s="25"/>
      <c r="AA111" s="25"/>
      <c r="AB111" s="94"/>
      <c r="AC111" s="94"/>
      <c r="AD111" s="25"/>
      <c r="AE111" s="25"/>
      <c r="AF111" s="94"/>
      <c r="AG111" s="94"/>
      <c r="AH111" s="25"/>
      <c r="AI111" s="25"/>
      <c r="AJ111" s="26"/>
      <c r="AK111" s="26"/>
      <c r="AL111" s="27"/>
      <c r="AM111" s="27"/>
      <c r="AN111" s="28"/>
      <c r="AO111" s="85"/>
      <c r="AP111" s="32"/>
      <c r="AQ111" s="56">
        <f>SUM(AQ93:AQ103)</f>
        <v>16564722721.154379</v>
      </c>
      <c r="AR111" s="57"/>
      <c r="AS111" s="31" t="e">
        <f>(#REF!/AQ111)-1</f>
        <v>#REF!</v>
      </c>
      <c r="AT111" s="31" t="e">
        <f>(#REF!/AR111)-1</f>
        <v>#REF!</v>
      </c>
    </row>
    <row r="112" spans="1:46">
      <c r="A112" s="217" t="s">
        <v>150</v>
      </c>
      <c r="B112" s="393">
        <v>2282747522.1900001</v>
      </c>
      <c r="C112" s="394">
        <v>77</v>
      </c>
      <c r="D112" s="393">
        <v>2285687216.0500002</v>
      </c>
      <c r="E112" s="394">
        <v>77</v>
      </c>
      <c r="F112" s="25">
        <f t="shared" ref="F112:G115" si="102">((D112-B112)/B112)</f>
        <v>1.2877875592566096E-3</v>
      </c>
      <c r="G112" s="25">
        <f t="shared" si="102"/>
        <v>0</v>
      </c>
      <c r="H112" s="393">
        <v>2290871889.3600001</v>
      </c>
      <c r="I112" s="394">
        <v>77</v>
      </c>
      <c r="J112" s="25">
        <f t="shared" ref="J112:K115" si="103">((H112-D112)/D112)</f>
        <v>2.2683214368061314E-3</v>
      </c>
      <c r="K112" s="25">
        <f t="shared" si="103"/>
        <v>0</v>
      </c>
      <c r="L112" s="393">
        <v>2278426979.8299999</v>
      </c>
      <c r="M112" s="394">
        <v>77</v>
      </c>
      <c r="N112" s="25">
        <f t="shared" ref="N112:O115" si="104">((L112-H112)/H112)</f>
        <v>-5.4323899943077734E-3</v>
      </c>
      <c r="O112" s="25">
        <f t="shared" si="104"/>
        <v>0</v>
      </c>
      <c r="P112" s="393">
        <v>2280493209.1100001</v>
      </c>
      <c r="Q112" s="394">
        <v>77</v>
      </c>
      <c r="R112" s="25">
        <f t="shared" ref="R112:R115" si="105">((P112-L112)/L112)</f>
        <v>9.0686657869297927E-4</v>
      </c>
      <c r="S112" s="25">
        <f t="shared" ref="S112:S115" si="106">((Q112-M112)/M112)</f>
        <v>0</v>
      </c>
      <c r="T112" s="393">
        <v>2281899794.3299999</v>
      </c>
      <c r="U112" s="394">
        <v>77</v>
      </c>
      <c r="V112" s="25">
        <f t="shared" ref="V112:V115" si="107">((T112-P112)/P112)</f>
        <v>6.1678991824261255E-4</v>
      </c>
      <c r="W112" s="25">
        <f t="shared" ref="W112:W115" si="108">((U112-Q112)/Q112)</f>
        <v>0</v>
      </c>
      <c r="X112" s="393">
        <v>2283435577.96</v>
      </c>
      <c r="Y112" s="394">
        <v>77</v>
      </c>
      <c r="Z112" s="25">
        <f t="shared" ref="Z112:Z115" si="109">((X112-T112)/T112)</f>
        <v>6.7302851501901452E-4</v>
      </c>
      <c r="AA112" s="25">
        <f t="shared" ref="AA112:AA115" si="110">((Y112-U112)/U112)</f>
        <v>0</v>
      </c>
      <c r="AB112" s="393">
        <v>2298704113.3499999</v>
      </c>
      <c r="AC112" s="394">
        <v>77</v>
      </c>
      <c r="AD112" s="25">
        <f t="shared" ref="AD112:AD115" si="111">((AB112-X112)/X112)</f>
        <v>6.6866503865375664E-3</v>
      </c>
      <c r="AE112" s="25">
        <f t="shared" ref="AE112:AE115" si="112">((AC112-Y112)/Y112)</f>
        <v>0</v>
      </c>
      <c r="AF112" s="393">
        <v>2300602399.3400002</v>
      </c>
      <c r="AG112" s="394">
        <v>77</v>
      </c>
      <c r="AH112" s="25">
        <f t="shared" ref="AH112:AH115" si="113">((AF112-AB112)/AB112)</f>
        <v>8.2580701838732716E-4</v>
      </c>
      <c r="AI112" s="25">
        <f t="shared" ref="AI112:AI115" si="114">((AG112-AC112)/AC112)</f>
        <v>0</v>
      </c>
      <c r="AJ112" s="26">
        <f t="shared" si="66"/>
        <v>9.7910767732930842E-4</v>
      </c>
      <c r="AK112" s="26">
        <f t="shared" si="67"/>
        <v>0</v>
      </c>
      <c r="AL112" s="27">
        <f t="shared" si="68"/>
        <v>6.5254699703730969E-3</v>
      </c>
      <c r="AM112" s="27">
        <f t="shared" si="69"/>
        <v>0</v>
      </c>
      <c r="AN112" s="28">
        <f t="shared" si="70"/>
        <v>3.28838605742108E-3</v>
      </c>
      <c r="AO112" s="85">
        <f t="shared" si="71"/>
        <v>0</v>
      </c>
      <c r="AP112" s="32"/>
      <c r="AQ112" s="42"/>
      <c r="AR112" s="15"/>
      <c r="AS112" s="31" t="e">
        <f>(#REF!/AQ112)-1</f>
        <v>#REF!</v>
      </c>
      <c r="AT112" s="31" t="e">
        <f>(#REF!/AR112)-1</f>
        <v>#REF!</v>
      </c>
    </row>
    <row r="113" spans="1:46">
      <c r="A113" s="217" t="s">
        <v>25</v>
      </c>
      <c r="B113" s="393">
        <v>9930183903.9500008</v>
      </c>
      <c r="C113" s="394">
        <v>36.6</v>
      </c>
      <c r="D113" s="393">
        <v>9934574413.0900002</v>
      </c>
      <c r="E113" s="394">
        <v>36.6</v>
      </c>
      <c r="F113" s="25">
        <f t="shared" si="102"/>
        <v>4.4213774714211944E-4</v>
      </c>
      <c r="G113" s="25">
        <f t="shared" si="102"/>
        <v>0</v>
      </c>
      <c r="H113" s="393">
        <v>9955126113.5100002</v>
      </c>
      <c r="I113" s="394">
        <v>36.6</v>
      </c>
      <c r="J113" s="25">
        <f t="shared" si="103"/>
        <v>2.0687046636764564E-3</v>
      </c>
      <c r="K113" s="25">
        <f t="shared" si="103"/>
        <v>0</v>
      </c>
      <c r="L113" s="393">
        <v>9967214007.4300003</v>
      </c>
      <c r="M113" s="394">
        <v>36.6</v>
      </c>
      <c r="N113" s="25">
        <f t="shared" si="104"/>
        <v>1.2142381504937159E-3</v>
      </c>
      <c r="O113" s="25">
        <f t="shared" si="104"/>
        <v>0</v>
      </c>
      <c r="P113" s="393">
        <v>9972800184.6900005</v>
      </c>
      <c r="Q113" s="394">
        <v>36.6</v>
      </c>
      <c r="R113" s="25">
        <f t="shared" si="105"/>
        <v>5.6045523411417137E-4</v>
      </c>
      <c r="S113" s="25">
        <f t="shared" si="106"/>
        <v>0</v>
      </c>
      <c r="T113" s="393">
        <v>9982125557.1399994</v>
      </c>
      <c r="U113" s="394">
        <v>36.6</v>
      </c>
      <c r="V113" s="25">
        <f t="shared" si="107"/>
        <v>9.3508064708996573E-4</v>
      </c>
      <c r="W113" s="25">
        <f t="shared" si="108"/>
        <v>0</v>
      </c>
      <c r="X113" s="393">
        <v>9984464335.5900002</v>
      </c>
      <c r="Y113" s="394">
        <v>36.6</v>
      </c>
      <c r="Z113" s="25">
        <f t="shared" si="109"/>
        <v>2.3429663718544245E-4</v>
      </c>
      <c r="AA113" s="25">
        <f t="shared" si="110"/>
        <v>0</v>
      </c>
      <c r="AB113" s="393">
        <v>10032401869.309999</v>
      </c>
      <c r="AC113" s="394">
        <v>36.6</v>
      </c>
      <c r="AD113" s="25">
        <f t="shared" si="111"/>
        <v>4.8012123744209457E-3</v>
      </c>
      <c r="AE113" s="25">
        <f t="shared" si="112"/>
        <v>0</v>
      </c>
      <c r="AF113" s="393">
        <v>10055995878.450001</v>
      </c>
      <c r="AG113" s="394">
        <v>36.6</v>
      </c>
      <c r="AH113" s="25">
        <f t="shared" si="113"/>
        <v>2.3517807048955494E-3</v>
      </c>
      <c r="AI113" s="25">
        <f t="shared" si="114"/>
        <v>0</v>
      </c>
      <c r="AJ113" s="26">
        <f t="shared" si="66"/>
        <v>1.5759882698772958E-3</v>
      </c>
      <c r="AK113" s="26">
        <f t="shared" si="67"/>
        <v>0</v>
      </c>
      <c r="AL113" s="27">
        <f t="shared" si="68"/>
        <v>1.2222110410689881E-2</v>
      </c>
      <c r="AM113" s="27">
        <f t="shared" si="69"/>
        <v>0</v>
      </c>
      <c r="AN113" s="28">
        <f t="shared" si="70"/>
        <v>1.5073809070782704E-3</v>
      </c>
      <c r="AO113" s="85">
        <f t="shared" si="71"/>
        <v>0</v>
      </c>
      <c r="AP113" s="32"/>
      <c r="AQ113" s="30">
        <v>640873657.65999997</v>
      </c>
      <c r="AR113" s="34">
        <v>11.5358</v>
      </c>
      <c r="AS113" s="31" t="e">
        <f>(#REF!/AQ113)-1</f>
        <v>#REF!</v>
      </c>
      <c r="AT113" s="31" t="e">
        <f>(#REF!/AR113)-1</f>
        <v>#REF!</v>
      </c>
    </row>
    <row r="114" spans="1:46">
      <c r="A114" s="217" t="s">
        <v>198</v>
      </c>
      <c r="B114" s="393">
        <v>25916377320.380001</v>
      </c>
      <c r="C114" s="394">
        <v>9.7100000000000009</v>
      </c>
      <c r="D114" s="393">
        <v>25927345090.549999</v>
      </c>
      <c r="E114" s="394">
        <v>9.7200000000000006</v>
      </c>
      <c r="F114" s="25">
        <f t="shared" si="102"/>
        <v>4.2319842910194799E-4</v>
      </c>
      <c r="G114" s="25">
        <f t="shared" si="102"/>
        <v>1.0298661174047154E-3</v>
      </c>
      <c r="H114" s="393">
        <v>25897690428.98</v>
      </c>
      <c r="I114" s="394">
        <v>9.7100000000000009</v>
      </c>
      <c r="J114" s="25">
        <f t="shared" si="103"/>
        <v>-1.143760052038966E-3</v>
      </c>
      <c r="K114" s="25">
        <f t="shared" si="103"/>
        <v>-1.0288065843621179E-3</v>
      </c>
      <c r="L114" s="393">
        <v>26447232381.099998</v>
      </c>
      <c r="M114" s="394">
        <v>9.91</v>
      </c>
      <c r="N114" s="25">
        <f t="shared" si="104"/>
        <v>2.1219728208081878E-2</v>
      </c>
      <c r="O114" s="25">
        <f t="shared" si="104"/>
        <v>2.0597322348094672E-2</v>
      </c>
      <c r="P114" s="393">
        <v>26451840612.209999</v>
      </c>
      <c r="Q114" s="394">
        <v>9.91</v>
      </c>
      <c r="R114" s="25">
        <f t="shared" si="105"/>
        <v>1.7424247057676225E-4</v>
      </c>
      <c r="S114" s="25">
        <f t="shared" si="106"/>
        <v>0</v>
      </c>
      <c r="T114" s="393">
        <v>26459623859.869999</v>
      </c>
      <c r="U114" s="394">
        <v>9.92</v>
      </c>
      <c r="V114" s="25">
        <f t="shared" si="107"/>
        <v>2.9424219562275568E-4</v>
      </c>
      <c r="W114" s="25">
        <f t="shared" si="108"/>
        <v>1.0090817356205638E-3</v>
      </c>
      <c r="X114" s="393">
        <v>26432551896.450001</v>
      </c>
      <c r="Y114" s="394">
        <v>9.91</v>
      </c>
      <c r="Z114" s="25">
        <f t="shared" si="109"/>
        <v>-1.0231424136401604E-3</v>
      </c>
      <c r="AA114" s="25">
        <f t="shared" si="110"/>
        <v>-1.0080645161290108E-3</v>
      </c>
      <c r="AB114" s="393">
        <v>26446086162.439999</v>
      </c>
      <c r="AC114" s="394">
        <v>9.91</v>
      </c>
      <c r="AD114" s="25">
        <f t="shared" si="111"/>
        <v>5.1203024373199359E-4</v>
      </c>
      <c r="AE114" s="25">
        <f t="shared" si="112"/>
        <v>0</v>
      </c>
      <c r="AF114" s="393">
        <v>26464194970.98</v>
      </c>
      <c r="AG114" s="394">
        <v>9.92</v>
      </c>
      <c r="AH114" s="25">
        <f t="shared" si="113"/>
        <v>6.8474436741871908E-4</v>
      </c>
      <c r="AI114" s="25">
        <f t="shared" si="114"/>
        <v>1.0090817356205638E-3</v>
      </c>
      <c r="AJ114" s="26">
        <f t="shared" si="66"/>
        <v>2.6426604311068657E-3</v>
      </c>
      <c r="AK114" s="26">
        <f t="shared" si="67"/>
        <v>2.7010601045311731E-3</v>
      </c>
      <c r="AL114" s="27">
        <f t="shared" si="68"/>
        <v>2.0705933390213229E-2</v>
      </c>
      <c r="AM114" s="27">
        <f t="shared" si="69"/>
        <v>2.0576131687242726E-2</v>
      </c>
      <c r="AN114" s="28">
        <f t="shared" si="70"/>
        <v>7.5383753941779402E-3</v>
      </c>
      <c r="AO114" s="85">
        <f t="shared" si="71"/>
        <v>7.2806557355758056E-3</v>
      </c>
      <c r="AP114" s="32"/>
      <c r="AQ114" s="30">
        <v>2128320668.46</v>
      </c>
      <c r="AR114" s="37">
        <v>1.04</v>
      </c>
      <c r="AS114" s="31" t="e">
        <f>(#REF!/AQ114)-1</f>
        <v>#REF!</v>
      </c>
      <c r="AT114" s="31" t="e">
        <f>(#REF!/AR114)-1</f>
        <v>#REF!</v>
      </c>
    </row>
    <row r="115" spans="1:46">
      <c r="A115" s="217" t="s">
        <v>175</v>
      </c>
      <c r="B115" s="393">
        <v>7511812185.1700001</v>
      </c>
      <c r="C115" s="394">
        <v>101.31</v>
      </c>
      <c r="D115" s="393">
        <v>7511812185.1700001</v>
      </c>
      <c r="E115" s="394">
        <v>101.31</v>
      </c>
      <c r="F115" s="25">
        <f t="shared" si="102"/>
        <v>0</v>
      </c>
      <c r="G115" s="25">
        <f t="shared" si="102"/>
        <v>0</v>
      </c>
      <c r="H115" s="393">
        <v>7511812185.1700001</v>
      </c>
      <c r="I115" s="394">
        <v>101.31</v>
      </c>
      <c r="J115" s="25">
        <f t="shared" si="103"/>
        <v>0</v>
      </c>
      <c r="K115" s="25">
        <f t="shared" si="103"/>
        <v>0</v>
      </c>
      <c r="L115" s="393">
        <v>7511812185.1700001</v>
      </c>
      <c r="M115" s="394">
        <v>101.31</v>
      </c>
      <c r="N115" s="25">
        <f t="shared" si="104"/>
        <v>0</v>
      </c>
      <c r="O115" s="25">
        <f t="shared" si="104"/>
        <v>0</v>
      </c>
      <c r="P115" s="393">
        <v>7511812185.1700001</v>
      </c>
      <c r="Q115" s="394">
        <v>101.31</v>
      </c>
      <c r="R115" s="25">
        <f t="shared" si="105"/>
        <v>0</v>
      </c>
      <c r="S115" s="25">
        <f t="shared" si="106"/>
        <v>0</v>
      </c>
      <c r="T115" s="393">
        <v>7511812185.1700001</v>
      </c>
      <c r="U115" s="394">
        <v>101.31</v>
      </c>
      <c r="V115" s="25">
        <f t="shared" si="107"/>
        <v>0</v>
      </c>
      <c r="W115" s="25">
        <f t="shared" si="108"/>
        <v>0</v>
      </c>
      <c r="X115" s="393">
        <v>7511812185.1700001</v>
      </c>
      <c r="Y115" s="394">
        <v>101.31</v>
      </c>
      <c r="Z115" s="25">
        <f t="shared" si="109"/>
        <v>0</v>
      </c>
      <c r="AA115" s="25">
        <f t="shared" si="110"/>
        <v>0</v>
      </c>
      <c r="AB115" s="393">
        <v>7511812185.1700001</v>
      </c>
      <c r="AC115" s="394">
        <v>101.31</v>
      </c>
      <c r="AD115" s="25">
        <f t="shared" si="111"/>
        <v>0</v>
      </c>
      <c r="AE115" s="25">
        <f t="shared" si="112"/>
        <v>0</v>
      </c>
      <c r="AF115" s="393">
        <v>7511812185.1700001</v>
      </c>
      <c r="AG115" s="394">
        <v>101.31</v>
      </c>
      <c r="AH115" s="25">
        <f t="shared" si="113"/>
        <v>0</v>
      </c>
      <c r="AI115" s="25">
        <f t="shared" si="114"/>
        <v>0</v>
      </c>
      <c r="AJ115" s="26">
        <f t="shared" si="66"/>
        <v>0</v>
      </c>
      <c r="AK115" s="26">
        <f t="shared" si="67"/>
        <v>0</v>
      </c>
      <c r="AL115" s="27">
        <f t="shared" si="68"/>
        <v>0</v>
      </c>
      <c r="AM115" s="27">
        <f t="shared" si="69"/>
        <v>0</v>
      </c>
      <c r="AN115" s="28">
        <f t="shared" si="70"/>
        <v>0</v>
      </c>
      <c r="AO115" s="85">
        <f t="shared" si="71"/>
        <v>0</v>
      </c>
      <c r="AP115" s="32"/>
      <c r="AQ115" s="30">
        <v>1789192828.73</v>
      </c>
      <c r="AR115" s="34">
        <v>0.79</v>
      </c>
      <c r="AS115" s="31" t="e">
        <f>(#REF!/AQ115)-1</f>
        <v>#REF!</v>
      </c>
      <c r="AT115" s="31" t="e">
        <f>(#REF!/AR115)-1</f>
        <v>#REF!</v>
      </c>
    </row>
    <row r="116" spans="1:46">
      <c r="A116" s="219" t="s">
        <v>46</v>
      </c>
      <c r="B116" s="73">
        <f>SUM(B112:B115)</f>
        <v>45641120931.690002</v>
      </c>
      <c r="C116" s="94"/>
      <c r="D116" s="73">
        <f>SUM(D112:D115)</f>
        <v>45659418904.860001</v>
      </c>
      <c r="E116" s="94"/>
      <c r="F116" s="25">
        <f>((D116-B116)/B116)</f>
        <v>4.0090981107550615E-4</v>
      </c>
      <c r="G116" s="25"/>
      <c r="H116" s="73">
        <f>SUM(H112:H115)</f>
        <v>45655500617.019997</v>
      </c>
      <c r="I116" s="94"/>
      <c r="J116" s="25">
        <f>((H116-D116)/D116)</f>
        <v>-8.5815543298272328E-5</v>
      </c>
      <c r="K116" s="25"/>
      <c r="L116" s="73">
        <f>SUM(L112:L115)</f>
        <v>46204685553.529999</v>
      </c>
      <c r="M116" s="94"/>
      <c r="N116" s="25">
        <f>((L116-H116)/H116)</f>
        <v>1.2028888722890719E-2</v>
      </c>
      <c r="O116" s="25"/>
      <c r="P116" s="73">
        <f>SUM(P112:P115)</f>
        <v>46216946191.18</v>
      </c>
      <c r="Q116" s="94"/>
      <c r="R116" s="25">
        <f>((P116-L116)/L116)</f>
        <v>2.6535485531650423E-4</v>
      </c>
      <c r="S116" s="25"/>
      <c r="T116" s="73">
        <f>SUM(T112:T115)</f>
        <v>46235461396.509995</v>
      </c>
      <c r="U116" s="94"/>
      <c r="V116" s="25">
        <f>((T116-P116)/P116)</f>
        <v>4.0061507425013783E-4</v>
      </c>
      <c r="W116" s="25"/>
      <c r="X116" s="73">
        <f>SUM(X112:X115)</f>
        <v>46212263995.169998</v>
      </c>
      <c r="Y116" s="94"/>
      <c r="Z116" s="25">
        <f>((X116-T116)/T116)</f>
        <v>-5.0172315013919928E-4</v>
      </c>
      <c r="AA116" s="25"/>
      <c r="AB116" s="73">
        <f>SUM(AB112:AB115)</f>
        <v>46289004330.269997</v>
      </c>
      <c r="AC116" s="94"/>
      <c r="AD116" s="25">
        <f>((AB116-X116)/X116)</f>
        <v>1.6606053992078639E-3</v>
      </c>
      <c r="AE116" s="25"/>
      <c r="AF116" s="73">
        <f>SUM(AF112:AF115)</f>
        <v>46332605433.940002</v>
      </c>
      <c r="AG116" s="94"/>
      <c r="AH116" s="25">
        <f>((AF116-AB116)/AB116)</f>
        <v>9.4193219968426742E-4</v>
      </c>
      <c r="AI116" s="25"/>
      <c r="AJ116" s="26">
        <f t="shared" si="66"/>
        <v>1.8888459211234409E-3</v>
      </c>
      <c r="AK116" s="26"/>
      <c r="AL116" s="27">
        <f t="shared" si="68"/>
        <v>1.474365082224793E-2</v>
      </c>
      <c r="AM116" s="27"/>
      <c r="AN116" s="28">
        <f t="shared" si="70"/>
        <v>4.1481118578877169E-3</v>
      </c>
      <c r="AO116" s="85"/>
      <c r="AP116" s="32"/>
      <c r="AQ116" s="30">
        <v>204378030.47999999</v>
      </c>
      <c r="AR116" s="34">
        <v>22.9087</v>
      </c>
      <c r="AS116" s="31" t="e">
        <f>(#REF!/AQ116)-1</f>
        <v>#REF!</v>
      </c>
      <c r="AT116" s="31" t="e">
        <f>(#REF!/AR116)-1</f>
        <v>#REF!</v>
      </c>
    </row>
    <row r="117" spans="1:46">
      <c r="A117" s="221" t="s">
        <v>242</v>
      </c>
      <c r="B117" s="94"/>
      <c r="C117" s="94"/>
      <c r="D117" s="94"/>
      <c r="E117" s="94"/>
      <c r="F117" s="25"/>
      <c r="G117" s="25"/>
      <c r="H117" s="94"/>
      <c r="I117" s="94"/>
      <c r="J117" s="25"/>
      <c r="K117" s="25"/>
      <c r="L117" s="94"/>
      <c r="M117" s="94"/>
      <c r="N117" s="25"/>
      <c r="O117" s="25"/>
      <c r="P117" s="94"/>
      <c r="Q117" s="94"/>
      <c r="R117" s="25"/>
      <c r="S117" s="25"/>
      <c r="T117" s="94"/>
      <c r="U117" s="94"/>
      <c r="V117" s="25"/>
      <c r="W117" s="25"/>
      <c r="X117" s="94"/>
      <c r="Y117" s="94"/>
      <c r="Z117" s="25"/>
      <c r="AA117" s="25"/>
      <c r="AB117" s="94"/>
      <c r="AC117" s="94"/>
      <c r="AD117" s="25"/>
      <c r="AE117" s="25"/>
      <c r="AF117" s="94"/>
      <c r="AG117" s="94"/>
      <c r="AH117" s="25"/>
      <c r="AI117" s="25"/>
      <c r="AJ117" s="26"/>
      <c r="AK117" s="26"/>
      <c r="AL117" s="27"/>
      <c r="AM117" s="27"/>
      <c r="AN117" s="28"/>
      <c r="AO117" s="85"/>
      <c r="AP117" s="32"/>
      <c r="AQ117" s="30">
        <v>160273731.87</v>
      </c>
      <c r="AR117" s="34">
        <v>133.94</v>
      </c>
      <c r="AS117" s="31" t="e">
        <f>(#REF!/AQ117)-1</f>
        <v>#REF!</v>
      </c>
      <c r="AT117" s="31" t="e">
        <f>(#REF!/AR117)-1</f>
        <v>#REF!</v>
      </c>
    </row>
    <row r="118" spans="1:46" s="95" customFormat="1">
      <c r="A118" s="217" t="s">
        <v>26</v>
      </c>
      <c r="B118" s="393">
        <v>1509525251.3199999</v>
      </c>
      <c r="C118" s="392">
        <v>3610.44</v>
      </c>
      <c r="D118" s="393">
        <v>1524578969.77</v>
      </c>
      <c r="E118" s="392">
        <v>3646.76</v>
      </c>
      <c r="F118" s="25">
        <f t="shared" ref="F118:F141" si="115">((D118-B118)/B118)</f>
        <v>9.9724853471887063E-3</v>
      </c>
      <c r="G118" s="25">
        <f t="shared" ref="G118:G141" si="116">((E118-C118)/C118)</f>
        <v>1.0059715713320306E-2</v>
      </c>
      <c r="H118" s="393">
        <v>1537627934.4400001</v>
      </c>
      <c r="I118" s="392">
        <v>3676.42</v>
      </c>
      <c r="J118" s="25">
        <f t="shared" ref="J118:J141" si="117">((H118-D118)/D118)</f>
        <v>8.5590611760627006E-3</v>
      </c>
      <c r="K118" s="25">
        <f t="shared" ref="K118:K141" si="118">((I118-E118)/E118)</f>
        <v>8.133247046693463E-3</v>
      </c>
      <c r="L118" s="393">
        <v>1555411710.3900001</v>
      </c>
      <c r="M118" s="392">
        <v>3711.98</v>
      </c>
      <c r="N118" s="25">
        <f t="shared" ref="N118:N141" si="119">((L118-H118)/H118)</f>
        <v>1.1565721168090544E-2</v>
      </c>
      <c r="O118" s="25">
        <f t="shared" ref="O118:O141" si="120">((M118-I118)/I118)</f>
        <v>9.6724530929545444E-3</v>
      </c>
      <c r="P118" s="393">
        <v>1584184200.1800001</v>
      </c>
      <c r="Q118" s="392">
        <v>3769.8</v>
      </c>
      <c r="R118" s="25">
        <f t="shared" ref="R118:R141" si="121">((P118-L118)/L118)</f>
        <v>1.8498311153119465E-2</v>
      </c>
      <c r="S118" s="25">
        <f t="shared" ref="S118:S141" si="122">((Q118-M118)/M118)</f>
        <v>1.557659254629609E-2</v>
      </c>
      <c r="T118" s="393">
        <v>1538148992.3499999</v>
      </c>
      <c r="U118" s="392">
        <v>3744.56</v>
      </c>
      <c r="V118" s="25">
        <f t="shared" ref="V118:V141" si="123">((T118-P118)/P118)</f>
        <v>-2.9059251963735967E-2</v>
      </c>
      <c r="W118" s="25">
        <f t="shared" ref="W118:W141" si="124">((U118-Q118)/Q118)</f>
        <v>-6.6953154013476143E-3</v>
      </c>
      <c r="X118" s="393">
        <v>1545707045.6800001</v>
      </c>
      <c r="Y118" s="392">
        <v>3768.25</v>
      </c>
      <c r="Z118" s="25">
        <f t="shared" ref="Z118:Z141" si="125">((X118-T118)/T118)</f>
        <v>4.9137329137750761E-3</v>
      </c>
      <c r="AA118" s="25">
        <f t="shared" ref="AA118:AA141" si="126">((Y118-U118)/U118)</f>
        <v>6.3265109919456641E-3</v>
      </c>
      <c r="AB118" s="393">
        <v>1573599523.54</v>
      </c>
      <c r="AC118" s="392">
        <v>3823.71</v>
      </c>
      <c r="AD118" s="25">
        <f t="shared" ref="AD118:AD141" si="127">((AB118-X118)/X118)</f>
        <v>1.8045125651691137E-2</v>
      </c>
      <c r="AE118" s="25">
        <f t="shared" ref="AE118:AE141" si="128">((AC118-Y118)/Y118)</f>
        <v>1.4717707158495333E-2</v>
      </c>
      <c r="AF118" s="393">
        <v>1589219826.73</v>
      </c>
      <c r="AG118" s="392">
        <v>3825.99</v>
      </c>
      <c r="AH118" s="25">
        <f t="shared" ref="AH118:AH141" si="129">((AF118-AB118)/AB118)</f>
        <v>9.9264793591576084E-3</v>
      </c>
      <c r="AI118" s="25">
        <f t="shared" ref="AI118:AI141" si="130">((AG118-AC118)/AC118)</f>
        <v>5.9627952956676773E-4</v>
      </c>
      <c r="AJ118" s="26">
        <f t="shared" ref="AJ118:AJ170" si="131">AVERAGE(F118,J118,N118,R118,V118,Z118,AD118,AH118)</f>
        <v>6.5527081006686591E-3</v>
      </c>
      <c r="AK118" s="26">
        <f t="shared" ref="AK118:AK170" si="132">AVERAGE(G118,K118,O118,S118,W118,AA118,AE118,AI118)</f>
        <v>7.2983988347405694E-3</v>
      </c>
      <c r="AL118" s="27">
        <f t="shared" ref="AL118:AL170" si="133">((AF118-D118)/D118)</f>
        <v>4.2399152973854708E-2</v>
      </c>
      <c r="AM118" s="27">
        <f t="shared" ref="AM118:AM170" si="134">((AG118-E118)/E118)</f>
        <v>4.9147736621000436E-2</v>
      </c>
      <c r="AN118" s="28">
        <f t="shared" ref="AN118:AN170" si="135">STDEV(F118,J118,N118,R118,V118,Z118,AD118,AH118)</f>
        <v>1.5108672979184043E-2</v>
      </c>
      <c r="AO118" s="85">
        <f t="shared" ref="AO118:AO170" si="136">STDEV(G118,K118,O118,S118,W118,AA118,AE118,AI118)</f>
        <v>7.360314535902285E-3</v>
      </c>
      <c r="AP118" s="32"/>
      <c r="AQ118" s="30"/>
      <c r="AR118" s="34"/>
      <c r="AS118" s="31"/>
      <c r="AT118" s="31"/>
    </row>
    <row r="119" spans="1:46" s="102" customFormat="1">
      <c r="A119" s="217" t="s">
        <v>227</v>
      </c>
      <c r="B119" s="393">
        <v>189754188.46000001</v>
      </c>
      <c r="C119" s="392">
        <v>147.44</v>
      </c>
      <c r="D119" s="393">
        <v>191758710.68000001</v>
      </c>
      <c r="E119" s="392">
        <v>147.44</v>
      </c>
      <c r="F119" s="25">
        <f t="shared" si="115"/>
        <v>1.0563783789270876E-2</v>
      </c>
      <c r="G119" s="25">
        <f t="shared" si="116"/>
        <v>0</v>
      </c>
      <c r="H119" s="393">
        <v>194291677.41999999</v>
      </c>
      <c r="I119" s="392">
        <v>147.44</v>
      </c>
      <c r="J119" s="25">
        <f t="shared" si="117"/>
        <v>1.3209135225293118E-2</v>
      </c>
      <c r="K119" s="25">
        <f t="shared" si="118"/>
        <v>0</v>
      </c>
      <c r="L119" s="393">
        <v>195616825.25999999</v>
      </c>
      <c r="M119" s="392">
        <v>150.49</v>
      </c>
      <c r="N119" s="25">
        <f t="shared" si="119"/>
        <v>6.8204045463843193E-3</v>
      </c>
      <c r="O119" s="25">
        <f t="shared" si="120"/>
        <v>2.0686380900705448E-2</v>
      </c>
      <c r="P119" s="393">
        <v>199706594.05000001</v>
      </c>
      <c r="Q119" s="392">
        <v>150.49</v>
      </c>
      <c r="R119" s="25">
        <f t="shared" si="121"/>
        <v>2.0907039998037957E-2</v>
      </c>
      <c r="S119" s="25">
        <f t="shared" si="122"/>
        <v>0</v>
      </c>
      <c r="T119" s="393">
        <v>196711434.91999999</v>
      </c>
      <c r="U119" s="392">
        <v>150.49</v>
      </c>
      <c r="V119" s="25">
        <f t="shared" si="123"/>
        <v>-1.4997797865653525E-2</v>
      </c>
      <c r="W119" s="25">
        <f t="shared" si="124"/>
        <v>0</v>
      </c>
      <c r="X119" s="393">
        <v>196962817.83000001</v>
      </c>
      <c r="Y119" s="392">
        <v>150.49</v>
      </c>
      <c r="Z119" s="25">
        <f t="shared" si="125"/>
        <v>1.2779272852249815E-3</v>
      </c>
      <c r="AA119" s="25">
        <f t="shared" si="126"/>
        <v>0</v>
      </c>
      <c r="AB119" s="393">
        <v>203347299.5</v>
      </c>
      <c r="AC119" s="392">
        <v>150.49</v>
      </c>
      <c r="AD119" s="25">
        <f t="shared" si="127"/>
        <v>3.241465440198199E-2</v>
      </c>
      <c r="AE119" s="25">
        <f t="shared" si="128"/>
        <v>0</v>
      </c>
      <c r="AF119" s="393">
        <v>203523727.40000001</v>
      </c>
      <c r="AG119" s="392">
        <v>150.49</v>
      </c>
      <c r="AH119" s="25">
        <f t="shared" si="129"/>
        <v>8.6761860341305369E-4</v>
      </c>
      <c r="AI119" s="25">
        <f t="shared" si="130"/>
        <v>0</v>
      </c>
      <c r="AJ119" s="26">
        <f t="shared" si="131"/>
        <v>8.8828457479940958E-3</v>
      </c>
      <c r="AK119" s="26">
        <f t="shared" si="132"/>
        <v>2.5857976125881811E-3</v>
      </c>
      <c r="AL119" s="27">
        <f t="shared" si="133"/>
        <v>6.1353232290099369E-2</v>
      </c>
      <c r="AM119" s="27">
        <f t="shared" si="134"/>
        <v>2.0686380900705448E-2</v>
      </c>
      <c r="AN119" s="28">
        <f t="shared" si="135"/>
        <v>1.4225164088169493E-2</v>
      </c>
      <c r="AO119" s="85">
        <f t="shared" si="136"/>
        <v>7.3137401065483517E-3</v>
      </c>
      <c r="AP119" s="32"/>
      <c r="AQ119" s="30"/>
      <c r="AR119" s="34"/>
      <c r="AS119" s="31"/>
      <c r="AT119" s="31"/>
    </row>
    <row r="120" spans="1:46" s="113" customFormat="1">
      <c r="A120" s="217" t="s">
        <v>80</v>
      </c>
      <c r="B120" s="392">
        <v>1038313429.66</v>
      </c>
      <c r="C120" s="392">
        <v>1.3514999999999999</v>
      </c>
      <c r="D120" s="392">
        <v>1049974333.03</v>
      </c>
      <c r="E120" s="392">
        <v>1.3669</v>
      </c>
      <c r="F120" s="25">
        <f t="shared" si="115"/>
        <v>1.1230619807949914E-2</v>
      </c>
      <c r="G120" s="25">
        <f t="shared" si="116"/>
        <v>1.1394746577876494E-2</v>
      </c>
      <c r="H120" s="392">
        <v>1072282569.5599999</v>
      </c>
      <c r="I120" s="392">
        <v>1.3963000000000001</v>
      </c>
      <c r="J120" s="25">
        <f t="shared" si="117"/>
        <v>2.1246458916403414E-2</v>
      </c>
      <c r="K120" s="25">
        <f t="shared" si="118"/>
        <v>2.1508522935108708E-2</v>
      </c>
      <c r="L120" s="392">
        <v>1089944950.45</v>
      </c>
      <c r="M120" s="392">
        <v>1.4189000000000001</v>
      </c>
      <c r="N120" s="25">
        <f t="shared" si="119"/>
        <v>1.6471759768740511E-2</v>
      </c>
      <c r="O120" s="25">
        <f t="shared" si="120"/>
        <v>1.6185633459858163E-2</v>
      </c>
      <c r="P120" s="392">
        <v>1107224290.6199999</v>
      </c>
      <c r="Q120" s="392">
        <v>1.4413</v>
      </c>
      <c r="R120" s="25">
        <f t="shared" si="121"/>
        <v>1.5853406323746721E-2</v>
      </c>
      <c r="S120" s="25">
        <f t="shared" si="122"/>
        <v>1.5786877158362092E-2</v>
      </c>
      <c r="T120" s="392">
        <v>1108088382.51</v>
      </c>
      <c r="U120" s="392">
        <v>1.4403999999999999</v>
      </c>
      <c r="V120" s="25">
        <f t="shared" si="123"/>
        <v>7.8041269264084612E-4</v>
      </c>
      <c r="W120" s="25">
        <f t="shared" si="124"/>
        <v>-6.2443627280935467E-4</v>
      </c>
      <c r="X120" s="392">
        <v>1140276730.72</v>
      </c>
      <c r="Y120" s="392">
        <v>1.4814000000000001</v>
      </c>
      <c r="Z120" s="25">
        <f t="shared" si="125"/>
        <v>2.9048538652745558E-2</v>
      </c>
      <c r="AA120" s="25">
        <f t="shared" si="126"/>
        <v>2.8464315467925681E-2</v>
      </c>
      <c r="AB120" s="392">
        <v>1198519067.8099999</v>
      </c>
      <c r="AC120" s="392">
        <v>1.5573999999999999</v>
      </c>
      <c r="AD120" s="25">
        <f t="shared" si="127"/>
        <v>5.1077370537259151E-2</v>
      </c>
      <c r="AE120" s="25">
        <f t="shared" si="128"/>
        <v>5.1302821655190928E-2</v>
      </c>
      <c r="AF120" s="392">
        <v>1202742015.3299999</v>
      </c>
      <c r="AG120" s="392">
        <v>1.5619000000000001</v>
      </c>
      <c r="AH120" s="25">
        <f t="shared" si="129"/>
        <v>3.5234712850387797E-3</v>
      </c>
      <c r="AI120" s="25">
        <f t="shared" si="130"/>
        <v>2.8894311031206952E-3</v>
      </c>
      <c r="AJ120" s="26">
        <f t="shared" si="131"/>
        <v>1.8654004748065611E-2</v>
      </c>
      <c r="AK120" s="26">
        <f t="shared" si="132"/>
        <v>1.8363489010579177E-2</v>
      </c>
      <c r="AL120" s="27">
        <f t="shared" si="133"/>
        <v>0.14549658738718432</v>
      </c>
      <c r="AM120" s="27">
        <f t="shared" si="134"/>
        <v>0.14265857048796551</v>
      </c>
      <c r="AN120" s="28">
        <f t="shared" si="135"/>
        <v>1.5955976611123586E-2</v>
      </c>
      <c r="AO120" s="85">
        <f t="shared" si="136"/>
        <v>1.6286939104699482E-2</v>
      </c>
      <c r="AP120" s="32"/>
      <c r="AQ120" s="30"/>
      <c r="AR120" s="34"/>
      <c r="AS120" s="31"/>
      <c r="AT120" s="31"/>
    </row>
    <row r="121" spans="1:46">
      <c r="A121" s="217" t="s">
        <v>8</v>
      </c>
      <c r="B121" s="392">
        <v>4568848372.5600004</v>
      </c>
      <c r="C121" s="392">
        <v>514.95939999999996</v>
      </c>
      <c r="D121" s="392">
        <v>4492268069.9899998</v>
      </c>
      <c r="E121" s="392">
        <v>506.26119999999997</v>
      </c>
      <c r="F121" s="25">
        <f t="shared" si="115"/>
        <v>-1.67614016323968E-2</v>
      </c>
      <c r="G121" s="25">
        <f t="shared" si="116"/>
        <v>-1.6891040342209476E-2</v>
      </c>
      <c r="H121" s="392">
        <v>4577038304.8699999</v>
      </c>
      <c r="I121" s="392">
        <v>516.39940000000001</v>
      </c>
      <c r="J121" s="25">
        <f t="shared" si="117"/>
        <v>1.8870252967826299E-2</v>
      </c>
      <c r="K121" s="25">
        <f t="shared" si="118"/>
        <v>2.0025631037891192E-2</v>
      </c>
      <c r="L121" s="392">
        <v>4580231858.8800001</v>
      </c>
      <c r="M121" s="392">
        <v>516.75980000000004</v>
      </c>
      <c r="N121" s="25">
        <f t="shared" si="119"/>
        <v>6.977337302600823E-4</v>
      </c>
      <c r="O121" s="25">
        <f t="shared" si="120"/>
        <v>6.9790940888007794E-4</v>
      </c>
      <c r="P121" s="392">
        <v>4878456703.3800001</v>
      </c>
      <c r="Q121" s="392">
        <v>550.34079999999994</v>
      </c>
      <c r="R121" s="25">
        <f t="shared" si="121"/>
        <v>6.5111298660964434E-2</v>
      </c>
      <c r="S121" s="25">
        <f t="shared" si="122"/>
        <v>6.4983770022358361E-2</v>
      </c>
      <c r="T121" s="392">
        <v>4881567450.2799997</v>
      </c>
      <c r="U121" s="392">
        <v>551.45979999999997</v>
      </c>
      <c r="V121" s="25">
        <f t="shared" si="123"/>
        <v>6.3764979155075052E-4</v>
      </c>
      <c r="W121" s="25">
        <f t="shared" si="124"/>
        <v>2.0332855568768087E-3</v>
      </c>
      <c r="X121" s="392">
        <v>4870560924.9799995</v>
      </c>
      <c r="Y121" s="392">
        <v>553.12210000000005</v>
      </c>
      <c r="Z121" s="25">
        <f t="shared" si="125"/>
        <v>-2.254711301667843E-3</v>
      </c>
      <c r="AA121" s="25">
        <f t="shared" si="126"/>
        <v>3.014362968978107E-3</v>
      </c>
      <c r="AB121" s="392">
        <v>4967832864.75</v>
      </c>
      <c r="AC121" s="392">
        <v>563.84389999999996</v>
      </c>
      <c r="AD121" s="25">
        <f t="shared" si="127"/>
        <v>1.9971403965221911E-2</v>
      </c>
      <c r="AE121" s="25">
        <f t="shared" si="128"/>
        <v>1.9384146827617112E-2</v>
      </c>
      <c r="AF121" s="392">
        <v>4986068493.75</v>
      </c>
      <c r="AG121" s="392">
        <v>565.74350000000004</v>
      </c>
      <c r="AH121" s="25">
        <f t="shared" si="129"/>
        <v>3.6707412460257327E-3</v>
      </c>
      <c r="AI121" s="25">
        <f t="shared" si="130"/>
        <v>3.3690175596474093E-3</v>
      </c>
      <c r="AJ121" s="26">
        <f t="shared" si="131"/>
        <v>1.124287092847307E-2</v>
      </c>
      <c r="AK121" s="26">
        <f t="shared" si="132"/>
        <v>1.207713538000495E-2</v>
      </c>
      <c r="AL121" s="27">
        <f t="shared" si="133"/>
        <v>0.10992229672551564</v>
      </c>
      <c r="AM121" s="27">
        <f t="shared" si="134"/>
        <v>0.11749330187658084</v>
      </c>
      <c r="AN121" s="28">
        <f t="shared" si="135"/>
        <v>2.4737489021614177E-2</v>
      </c>
      <c r="AO121" s="85">
        <f t="shared" si="136"/>
        <v>2.43286106000155E-2</v>
      </c>
      <c r="AP121" s="32"/>
      <c r="AQ121" s="58">
        <f>SUM(AQ113:AQ117)</f>
        <v>4923038917.1999998</v>
      </c>
      <c r="AR121" s="15"/>
      <c r="AS121" s="31" t="e">
        <f>(#REF!/AQ121)-1</f>
        <v>#REF!</v>
      </c>
      <c r="AT121" s="31" t="e">
        <f>(#REF!/AR121)-1</f>
        <v>#REF!</v>
      </c>
    </row>
    <row r="122" spans="1:46">
      <c r="A122" s="217" t="s">
        <v>16</v>
      </c>
      <c r="B122" s="392">
        <v>2507940931.1100001</v>
      </c>
      <c r="C122" s="392">
        <v>13.674099999999999</v>
      </c>
      <c r="D122" s="392">
        <v>2510042259.3699999</v>
      </c>
      <c r="E122" s="392">
        <v>13.8705</v>
      </c>
      <c r="F122" s="25">
        <f t="shared" si="115"/>
        <v>8.3786991708361975E-4</v>
      </c>
      <c r="G122" s="25">
        <f t="shared" si="116"/>
        <v>1.4362919680271504E-2</v>
      </c>
      <c r="H122" s="392">
        <v>2545829160.3699999</v>
      </c>
      <c r="I122" s="392">
        <v>13.983599999999999</v>
      </c>
      <c r="J122" s="25">
        <f t="shared" si="117"/>
        <v>1.4257489437242471E-2</v>
      </c>
      <c r="K122" s="25">
        <f t="shared" si="118"/>
        <v>8.1539958905590508E-3</v>
      </c>
      <c r="L122" s="392">
        <v>2556225810.4099998</v>
      </c>
      <c r="M122" s="392">
        <v>14.084099999999999</v>
      </c>
      <c r="N122" s="25">
        <f t="shared" si="119"/>
        <v>4.0837972169699543E-3</v>
      </c>
      <c r="O122" s="25">
        <f t="shared" si="120"/>
        <v>7.1869904745559274E-3</v>
      </c>
      <c r="P122" s="392">
        <v>2593236789.4400001</v>
      </c>
      <c r="Q122" s="392">
        <v>14.137</v>
      </c>
      <c r="R122" s="25">
        <f t="shared" si="121"/>
        <v>1.4478759614771247E-2</v>
      </c>
      <c r="S122" s="25">
        <f t="shared" si="122"/>
        <v>3.7560085486471311E-3</v>
      </c>
      <c r="T122" s="392">
        <v>2589482582.54</v>
      </c>
      <c r="U122" s="392">
        <v>14.3401</v>
      </c>
      <c r="V122" s="25">
        <f t="shared" si="123"/>
        <v>-1.4476915163658473E-3</v>
      </c>
      <c r="W122" s="25">
        <f t="shared" si="124"/>
        <v>1.4366555846360554E-2</v>
      </c>
      <c r="X122" s="392">
        <v>2600183971.02</v>
      </c>
      <c r="Y122" s="392">
        <v>14.371</v>
      </c>
      <c r="Z122" s="25">
        <f t="shared" si="125"/>
        <v>4.1326358215945692E-3</v>
      </c>
      <c r="AA122" s="25">
        <f t="shared" si="126"/>
        <v>2.154796689005015E-3</v>
      </c>
      <c r="AB122" s="392">
        <v>2621902464.75</v>
      </c>
      <c r="AC122" s="392">
        <v>14.436</v>
      </c>
      <c r="AD122" s="25">
        <f t="shared" si="127"/>
        <v>8.3526757998897624E-3</v>
      </c>
      <c r="AE122" s="25">
        <f t="shared" si="128"/>
        <v>4.5229977037088229E-3</v>
      </c>
      <c r="AF122" s="392">
        <v>2629579933.9899998</v>
      </c>
      <c r="AG122" s="392">
        <v>14.540699999999999</v>
      </c>
      <c r="AH122" s="25">
        <f t="shared" si="129"/>
        <v>2.9282055084882126E-3</v>
      </c>
      <c r="AI122" s="25">
        <f t="shared" si="130"/>
        <v>7.252701579384826E-3</v>
      </c>
      <c r="AJ122" s="26">
        <f t="shared" si="131"/>
        <v>5.9529677249592497E-3</v>
      </c>
      <c r="AK122" s="26">
        <f t="shared" si="132"/>
        <v>7.7196208015616035E-3</v>
      </c>
      <c r="AL122" s="27">
        <f t="shared" si="133"/>
        <v>4.7623769748802107E-2</v>
      </c>
      <c r="AM122" s="27">
        <f t="shared" si="134"/>
        <v>4.8318373526549115E-2</v>
      </c>
      <c r="AN122" s="28">
        <f t="shared" si="135"/>
        <v>5.9076630978747019E-3</v>
      </c>
      <c r="AO122" s="85">
        <f t="shared" si="136"/>
        <v>4.5654204085829736E-3</v>
      </c>
      <c r="AP122" s="32"/>
      <c r="AQ122" s="14" t="e">
        <f>SUM(AQ21,AQ53,#REF!,#REF!,AQ91,AQ111,AQ121)</f>
        <v>#REF!</v>
      </c>
      <c r="AR122" s="15"/>
      <c r="AS122" s="31" t="e">
        <f>(#REF!/AQ122)-1</f>
        <v>#REF!</v>
      </c>
      <c r="AT122" s="31" t="e">
        <f>(#REF!/AR122)-1</f>
        <v>#REF!</v>
      </c>
    </row>
    <row r="123" spans="1:46" ht="15" customHeight="1">
      <c r="A123" s="218" t="s">
        <v>136</v>
      </c>
      <c r="B123" s="392">
        <v>4814244609.0100002</v>
      </c>
      <c r="C123" s="392">
        <v>197.13</v>
      </c>
      <c r="D123" s="392">
        <v>4860065363.0200005</v>
      </c>
      <c r="E123" s="392">
        <v>199.02</v>
      </c>
      <c r="F123" s="25">
        <f t="shared" si="115"/>
        <v>9.51774530198265E-3</v>
      </c>
      <c r="G123" s="25">
        <f t="shared" si="116"/>
        <v>9.5875817988130413E-3</v>
      </c>
      <c r="H123" s="392">
        <v>4908186262.0100002</v>
      </c>
      <c r="I123" s="392">
        <v>201.01</v>
      </c>
      <c r="J123" s="25">
        <f t="shared" si="117"/>
        <v>9.9012863810740773E-3</v>
      </c>
      <c r="K123" s="25">
        <f t="shared" si="118"/>
        <v>9.9989950758716736E-3</v>
      </c>
      <c r="L123" s="392">
        <v>4939128010.3599997</v>
      </c>
      <c r="M123" s="392">
        <v>202.28</v>
      </c>
      <c r="N123" s="25">
        <f t="shared" si="119"/>
        <v>6.3041104591919387E-3</v>
      </c>
      <c r="O123" s="25">
        <f t="shared" si="120"/>
        <v>6.3180936271827783E-3</v>
      </c>
      <c r="P123" s="392">
        <v>5021281026.2399998</v>
      </c>
      <c r="Q123" s="392">
        <v>205.75</v>
      </c>
      <c r="R123" s="25">
        <f t="shared" si="121"/>
        <v>1.6633101168400818E-2</v>
      </c>
      <c r="S123" s="25">
        <f t="shared" si="122"/>
        <v>1.715443939094324E-2</v>
      </c>
      <c r="T123" s="392">
        <v>5017646063.1899996</v>
      </c>
      <c r="U123" s="392">
        <v>205.89</v>
      </c>
      <c r="V123" s="25">
        <f t="shared" si="123"/>
        <v>-7.2391149409976321E-4</v>
      </c>
      <c r="W123" s="25">
        <f t="shared" si="124"/>
        <v>6.8043742405825692E-4</v>
      </c>
      <c r="X123" s="392">
        <v>5048291896.7399998</v>
      </c>
      <c r="Y123" s="392">
        <v>207.22</v>
      </c>
      <c r="Z123" s="25">
        <f t="shared" si="125"/>
        <v>6.1076116497776473E-3</v>
      </c>
      <c r="AA123" s="25">
        <f t="shared" si="126"/>
        <v>6.4597600660547504E-3</v>
      </c>
      <c r="AB123" s="392">
        <v>5172019010.4799995</v>
      </c>
      <c r="AC123" s="392">
        <v>212.34</v>
      </c>
      <c r="AD123" s="25">
        <f t="shared" si="127"/>
        <v>2.4508708345469914E-2</v>
      </c>
      <c r="AE123" s="25">
        <f t="shared" si="128"/>
        <v>2.4708039764501519E-2</v>
      </c>
      <c r="AF123" s="392">
        <v>5149407304.21</v>
      </c>
      <c r="AG123" s="392">
        <v>212.09</v>
      </c>
      <c r="AH123" s="25">
        <f t="shared" si="129"/>
        <v>-4.3719302315365968E-3</v>
      </c>
      <c r="AI123" s="25">
        <f t="shared" si="130"/>
        <v>-1.1773570688518413E-3</v>
      </c>
      <c r="AJ123" s="26">
        <f t="shared" si="131"/>
        <v>8.484590197532586E-3</v>
      </c>
      <c r="AK123" s="26">
        <f t="shared" si="132"/>
        <v>9.2162487598216776E-3</v>
      </c>
      <c r="AL123" s="27">
        <f t="shared" si="133"/>
        <v>5.95345781543574E-2</v>
      </c>
      <c r="AM123" s="27">
        <f t="shared" si="134"/>
        <v>6.5671791779720587E-2</v>
      </c>
      <c r="AN123" s="28">
        <f t="shared" si="135"/>
        <v>9.1552964441463935E-3</v>
      </c>
      <c r="AO123" s="85">
        <f t="shared" si="136"/>
        <v>8.456997858267026E-3</v>
      </c>
      <c r="AP123" s="32"/>
      <c r="AQ123" s="59"/>
      <c r="AR123" s="60"/>
      <c r="AS123" s="31" t="e">
        <f>(#REF!/AQ123)-1</f>
        <v>#REF!</v>
      </c>
      <c r="AT123" s="31" t="e">
        <f>(#REF!/AR123)-1</f>
        <v>#REF!</v>
      </c>
    </row>
    <row r="124" spans="1:46" ht="17.25" customHeight="1">
      <c r="A124" s="217" t="s">
        <v>134</v>
      </c>
      <c r="B124" s="392">
        <v>4783341375.6199999</v>
      </c>
      <c r="C124" s="392">
        <v>194.339</v>
      </c>
      <c r="D124" s="392">
        <v>4869885766.9099998</v>
      </c>
      <c r="E124" s="392">
        <v>197.87049999999999</v>
      </c>
      <c r="F124" s="25">
        <f t="shared" si="115"/>
        <v>1.8092873682632026E-2</v>
      </c>
      <c r="G124" s="25">
        <f t="shared" si="116"/>
        <v>1.8171854337009012E-2</v>
      </c>
      <c r="H124" s="392">
        <v>4630574863.1599998</v>
      </c>
      <c r="I124" s="392">
        <v>188.23509999999999</v>
      </c>
      <c r="J124" s="25">
        <f t="shared" si="117"/>
        <v>-4.9140968639567413E-2</v>
      </c>
      <c r="K124" s="25">
        <f t="shared" si="118"/>
        <v>-4.8695485178437435E-2</v>
      </c>
      <c r="L124" s="392">
        <v>4671856027.5500002</v>
      </c>
      <c r="M124" s="392">
        <v>189.93020000000001</v>
      </c>
      <c r="N124" s="25">
        <f t="shared" si="119"/>
        <v>8.9149113468450052E-3</v>
      </c>
      <c r="O124" s="25">
        <f t="shared" si="120"/>
        <v>9.0052280366415462E-3</v>
      </c>
      <c r="P124" s="392">
        <v>4786509462.2799997</v>
      </c>
      <c r="Q124" s="392">
        <v>193.59049999999999</v>
      </c>
      <c r="R124" s="25">
        <f t="shared" si="121"/>
        <v>2.4541303082519374E-2</v>
      </c>
      <c r="S124" s="25">
        <f t="shared" si="122"/>
        <v>1.9271816698976665E-2</v>
      </c>
      <c r="T124" s="392">
        <v>4570654125.75</v>
      </c>
      <c r="U124" s="392">
        <v>185.78149999999999</v>
      </c>
      <c r="V124" s="25">
        <f t="shared" si="123"/>
        <v>-4.509660708519303E-2</v>
      </c>
      <c r="W124" s="25">
        <f t="shared" si="124"/>
        <v>-4.0337723183730592E-2</v>
      </c>
      <c r="X124" s="392">
        <v>4358487953.5100002</v>
      </c>
      <c r="Y124" s="392">
        <v>197.07220000000001</v>
      </c>
      <c r="Z124" s="25">
        <f t="shared" si="125"/>
        <v>-4.6419214056190559E-2</v>
      </c>
      <c r="AA124" s="25">
        <f t="shared" si="126"/>
        <v>6.0774081380546588E-2</v>
      </c>
      <c r="AB124" s="392">
        <v>4466328069.54</v>
      </c>
      <c r="AC124" s="392">
        <v>201.97900000000001</v>
      </c>
      <c r="AD124" s="25">
        <f t="shared" si="127"/>
        <v>2.47425522750736E-2</v>
      </c>
      <c r="AE124" s="25">
        <f t="shared" si="128"/>
        <v>2.4898488980180888E-2</v>
      </c>
      <c r="AF124" s="392">
        <v>4428331905.9099998</v>
      </c>
      <c r="AG124" s="392">
        <v>200.25700000000001</v>
      </c>
      <c r="AH124" s="25">
        <f t="shared" si="129"/>
        <v>-8.5072486925290847E-3</v>
      </c>
      <c r="AI124" s="25">
        <f t="shared" si="130"/>
        <v>-8.5256388040341243E-3</v>
      </c>
      <c r="AJ124" s="26">
        <f t="shared" si="131"/>
        <v>-9.1090497608012598E-3</v>
      </c>
      <c r="AK124" s="26">
        <f t="shared" si="132"/>
        <v>4.320327783394068E-3</v>
      </c>
      <c r="AL124" s="27">
        <f t="shared" si="133"/>
        <v>-9.0670270748500773E-2</v>
      </c>
      <c r="AM124" s="27">
        <f t="shared" si="134"/>
        <v>1.2060918631124965E-2</v>
      </c>
      <c r="AN124" s="28">
        <f t="shared" si="135"/>
        <v>3.3021971809852363E-2</v>
      </c>
      <c r="AO124" s="85">
        <f t="shared" si="136"/>
        <v>3.5892466201621218E-2</v>
      </c>
      <c r="AP124" s="32"/>
      <c r="AQ124" s="482" t="s">
        <v>90</v>
      </c>
      <c r="AR124" s="482"/>
      <c r="AS124" s="31" t="e">
        <f>(#REF!/AQ124)-1</f>
        <v>#REF!</v>
      </c>
      <c r="AT124" s="31" t="e">
        <f>(#REF!/AR124)-1</f>
        <v>#REF!</v>
      </c>
    </row>
    <row r="125" spans="1:46" ht="16.5" customHeight="1">
      <c r="A125" s="217" t="s">
        <v>10</v>
      </c>
      <c r="B125" s="393">
        <v>2189093996.7656002</v>
      </c>
      <c r="C125" s="392">
        <v>4129.9164908289604</v>
      </c>
      <c r="D125" s="393">
        <v>2214925494.7624998</v>
      </c>
      <c r="E125" s="392">
        <v>4179.5624774555499</v>
      </c>
      <c r="F125" s="25">
        <f t="shared" si="115"/>
        <v>1.1800086261743808E-2</v>
      </c>
      <c r="G125" s="25">
        <f t="shared" si="116"/>
        <v>1.202106307399561E-2</v>
      </c>
      <c r="H125" s="393">
        <v>2249286223.1368999</v>
      </c>
      <c r="I125" s="392">
        <v>4244.4106583044004</v>
      </c>
      <c r="J125" s="25">
        <f t="shared" si="117"/>
        <v>1.5513266001791424E-2</v>
      </c>
      <c r="K125" s="25">
        <f t="shared" si="118"/>
        <v>1.5515542882452372E-2</v>
      </c>
      <c r="L125" s="393">
        <v>2272561503.1782999</v>
      </c>
      <c r="M125" s="392">
        <v>4288.2251632296202</v>
      </c>
      <c r="N125" s="25">
        <f t="shared" si="119"/>
        <v>1.034785159931304E-2</v>
      </c>
      <c r="O125" s="25">
        <f t="shared" si="120"/>
        <v>1.0322871289443813E-2</v>
      </c>
      <c r="P125" s="393">
        <v>2312711997.5020199</v>
      </c>
      <c r="Q125" s="392">
        <v>4363.69589428992</v>
      </c>
      <c r="R125" s="25">
        <f t="shared" si="121"/>
        <v>1.7667506145627895E-2</v>
      </c>
      <c r="S125" s="25">
        <f t="shared" si="122"/>
        <v>1.7599526187999898E-2</v>
      </c>
      <c r="T125" s="393">
        <v>2287511718.1623902</v>
      </c>
      <c r="U125" s="392">
        <v>4316.4085451069895</v>
      </c>
      <c r="V125" s="25">
        <f t="shared" si="123"/>
        <v>-1.0896419167993545E-2</v>
      </c>
      <c r="W125" s="25">
        <f t="shared" si="124"/>
        <v>-1.0836536350942323E-2</v>
      </c>
      <c r="X125" s="393">
        <v>2295295653.5358701</v>
      </c>
      <c r="Y125" s="392">
        <v>4331.0935922234903</v>
      </c>
      <c r="Z125" s="25">
        <f t="shared" si="125"/>
        <v>3.4027958465423095E-3</v>
      </c>
      <c r="AA125" s="25">
        <f t="shared" si="126"/>
        <v>3.4021448533057617E-3</v>
      </c>
      <c r="AB125" s="393">
        <v>2316028075.9534702</v>
      </c>
      <c r="AC125" s="392">
        <v>4371.0717596189597</v>
      </c>
      <c r="AD125" s="25">
        <f t="shared" si="127"/>
        <v>9.0325716365393521E-3</v>
      </c>
      <c r="AE125" s="25">
        <f t="shared" si="128"/>
        <v>9.2305018453654551E-3</v>
      </c>
      <c r="AF125" s="393">
        <v>2323400695.4302802</v>
      </c>
      <c r="AG125" s="392">
        <v>4386.2195132859497</v>
      </c>
      <c r="AH125" s="25">
        <f t="shared" si="129"/>
        <v>3.1833031530823707E-3</v>
      </c>
      <c r="AI125" s="25">
        <f t="shared" si="130"/>
        <v>3.4654552704736275E-3</v>
      </c>
      <c r="AJ125" s="26">
        <f t="shared" si="131"/>
        <v>7.5063701845808316E-3</v>
      </c>
      <c r="AK125" s="26">
        <f t="shared" si="132"/>
        <v>7.5900711315117766E-3</v>
      </c>
      <c r="AL125" s="27">
        <f t="shared" si="133"/>
        <v>4.8974649903251885E-2</v>
      </c>
      <c r="AM125" s="27">
        <f t="shared" si="134"/>
        <v>4.9444657651393512E-2</v>
      </c>
      <c r="AN125" s="28">
        <f t="shared" si="135"/>
        <v>9.0268587857248641E-3</v>
      </c>
      <c r="AO125" s="85">
        <f t="shared" si="136"/>
        <v>8.9990970821090619E-3</v>
      </c>
      <c r="AP125" s="32"/>
      <c r="AQ125" s="61" t="s">
        <v>78</v>
      </c>
      <c r="AR125" s="62" t="s">
        <v>79</v>
      </c>
      <c r="AS125" s="31" t="e">
        <f>(#REF!/AQ125)-1</f>
        <v>#REF!</v>
      </c>
      <c r="AT125" s="31" t="e">
        <f>(#REF!/AR125)-1</f>
        <v>#REF!</v>
      </c>
    </row>
    <row r="126" spans="1:46" ht="14.25" customHeight="1">
      <c r="A126" s="217" t="s">
        <v>170</v>
      </c>
      <c r="B126" s="392">
        <v>1873366835.0999999</v>
      </c>
      <c r="C126" s="392">
        <v>1.3032999999999999</v>
      </c>
      <c r="D126" s="392">
        <v>1876623077.8399999</v>
      </c>
      <c r="E126" s="392">
        <v>1.306</v>
      </c>
      <c r="F126" s="25">
        <f t="shared" si="115"/>
        <v>1.7381767836336186E-3</v>
      </c>
      <c r="G126" s="25">
        <f t="shared" si="116"/>
        <v>2.0716642369371188E-3</v>
      </c>
      <c r="H126" s="392">
        <v>1870346405.3099999</v>
      </c>
      <c r="I126" s="392">
        <v>1.3095000000000001</v>
      </c>
      <c r="J126" s="25">
        <f t="shared" si="117"/>
        <v>-3.3446634031722793E-3</v>
      </c>
      <c r="K126" s="25">
        <f t="shared" si="118"/>
        <v>2.6799387442573187E-3</v>
      </c>
      <c r="L126" s="392">
        <v>1882323926.4400001</v>
      </c>
      <c r="M126" s="392">
        <v>1.3180000000000001</v>
      </c>
      <c r="N126" s="25">
        <f t="shared" si="119"/>
        <v>6.403905231670122E-3</v>
      </c>
      <c r="O126" s="25">
        <f t="shared" si="120"/>
        <v>6.4910271095837734E-3</v>
      </c>
      <c r="P126" s="392">
        <v>1898525899.24</v>
      </c>
      <c r="Q126" s="392">
        <v>1.3263</v>
      </c>
      <c r="R126" s="25">
        <f t="shared" si="121"/>
        <v>8.6074307256150135E-3</v>
      </c>
      <c r="S126" s="25">
        <f t="shared" si="122"/>
        <v>6.2974203338391306E-3</v>
      </c>
      <c r="T126" s="392">
        <v>1909873407.26</v>
      </c>
      <c r="U126" s="392">
        <v>1.3343</v>
      </c>
      <c r="V126" s="25">
        <f t="shared" si="123"/>
        <v>5.9770098604093359E-3</v>
      </c>
      <c r="W126" s="25">
        <f t="shared" si="124"/>
        <v>6.0318178391012642E-3</v>
      </c>
      <c r="X126" s="392">
        <v>1912302860.9400001</v>
      </c>
      <c r="Y126" s="392">
        <v>1.3361000000000001</v>
      </c>
      <c r="Z126" s="25">
        <f t="shared" si="125"/>
        <v>1.2720495875616607E-3</v>
      </c>
      <c r="AA126" s="25">
        <f t="shared" si="126"/>
        <v>1.349021959079685E-3</v>
      </c>
      <c r="AB126" s="392">
        <v>1906203341.72</v>
      </c>
      <c r="AC126" s="392">
        <v>1.3318000000000001</v>
      </c>
      <c r="AD126" s="25">
        <f t="shared" si="127"/>
        <v>-3.1896198790403868E-3</v>
      </c>
      <c r="AE126" s="25">
        <f t="shared" si="128"/>
        <v>-3.218321981887561E-3</v>
      </c>
      <c r="AF126" s="392">
        <v>1923471802</v>
      </c>
      <c r="AG126" s="392">
        <v>1.3427</v>
      </c>
      <c r="AH126" s="25">
        <f t="shared" si="129"/>
        <v>9.0590861436736034E-3</v>
      </c>
      <c r="AI126" s="25">
        <f t="shared" si="130"/>
        <v>8.1844120738849002E-3</v>
      </c>
      <c r="AJ126" s="26">
        <f t="shared" si="131"/>
        <v>3.3154218812938363E-3</v>
      </c>
      <c r="AK126" s="26">
        <f t="shared" si="132"/>
        <v>3.7358725393494539E-3</v>
      </c>
      <c r="AL126" s="27">
        <f t="shared" si="133"/>
        <v>2.496437601839744E-2</v>
      </c>
      <c r="AM126" s="27">
        <f t="shared" si="134"/>
        <v>2.8101071975497667E-2</v>
      </c>
      <c r="AN126" s="28">
        <f t="shared" si="135"/>
        <v>4.9418503398795804E-3</v>
      </c>
      <c r="AO126" s="85">
        <f t="shared" si="136"/>
        <v>3.7255054346316202E-3</v>
      </c>
      <c r="AP126" s="32"/>
      <c r="AQ126" s="55">
        <v>1901056000</v>
      </c>
      <c r="AR126" s="49">
        <v>12.64</v>
      </c>
      <c r="AS126" s="31" t="e">
        <f>(#REF!/AQ126)-1</f>
        <v>#REF!</v>
      </c>
      <c r="AT126" s="31" t="e">
        <f>(#REF!/AR126)-1</f>
        <v>#REF!</v>
      </c>
    </row>
    <row r="127" spans="1:46">
      <c r="A127" s="217" t="s">
        <v>31</v>
      </c>
      <c r="B127" s="393">
        <v>1129719082.3</v>
      </c>
      <c r="C127" s="392">
        <v>552.20000000000005</v>
      </c>
      <c r="D127" s="393">
        <v>1129719082.3</v>
      </c>
      <c r="E127" s="392">
        <v>552.20000000000005</v>
      </c>
      <c r="F127" s="25">
        <f t="shared" si="115"/>
        <v>0</v>
      </c>
      <c r="G127" s="25">
        <f t="shared" si="116"/>
        <v>0</v>
      </c>
      <c r="H127" s="393">
        <v>1130047553.23</v>
      </c>
      <c r="I127" s="392">
        <v>552.20000000000005</v>
      </c>
      <c r="J127" s="25">
        <f t="shared" si="117"/>
        <v>2.9075452043470076E-4</v>
      </c>
      <c r="K127" s="25">
        <f t="shared" si="118"/>
        <v>0</v>
      </c>
      <c r="L127" s="393">
        <v>1150907532.28</v>
      </c>
      <c r="M127" s="392">
        <v>552.20000000000005</v>
      </c>
      <c r="N127" s="25">
        <f t="shared" si="119"/>
        <v>1.8459381634318085E-2</v>
      </c>
      <c r="O127" s="25">
        <f t="shared" si="120"/>
        <v>0</v>
      </c>
      <c r="P127" s="393">
        <v>1150729908.24</v>
      </c>
      <c r="Q127" s="392">
        <v>552.20000000000005</v>
      </c>
      <c r="R127" s="25">
        <f t="shared" si="121"/>
        <v>-1.5433389305227727E-4</v>
      </c>
      <c r="S127" s="25">
        <f t="shared" si="122"/>
        <v>0</v>
      </c>
      <c r="T127" s="393">
        <v>1150729908.24</v>
      </c>
      <c r="U127" s="392">
        <v>552.20000000000005</v>
      </c>
      <c r="V127" s="25">
        <f t="shared" si="123"/>
        <v>0</v>
      </c>
      <c r="W127" s="25">
        <f t="shared" si="124"/>
        <v>0</v>
      </c>
      <c r="X127" s="393">
        <v>1157423183.53</v>
      </c>
      <c r="Y127" s="392">
        <v>552.20000000000005</v>
      </c>
      <c r="Z127" s="25">
        <f t="shared" si="125"/>
        <v>5.8165476034572573E-3</v>
      </c>
      <c r="AA127" s="25">
        <f t="shared" si="126"/>
        <v>0</v>
      </c>
      <c r="AB127" s="393">
        <v>1157423183.53</v>
      </c>
      <c r="AC127" s="392">
        <v>552.20000000000005</v>
      </c>
      <c r="AD127" s="25">
        <f t="shared" si="127"/>
        <v>0</v>
      </c>
      <c r="AE127" s="25">
        <f t="shared" si="128"/>
        <v>0</v>
      </c>
      <c r="AF127" s="393">
        <v>1153393675</v>
      </c>
      <c r="AG127" s="392">
        <v>552.20000000000005</v>
      </c>
      <c r="AH127" s="25">
        <f t="shared" si="129"/>
        <v>-3.4814479158007364E-3</v>
      </c>
      <c r="AI127" s="25">
        <f t="shared" si="130"/>
        <v>0</v>
      </c>
      <c r="AJ127" s="26">
        <f t="shared" si="131"/>
        <v>2.6163627436696286E-3</v>
      </c>
      <c r="AK127" s="26">
        <f t="shared" si="132"/>
        <v>0</v>
      </c>
      <c r="AL127" s="27">
        <f t="shared" si="133"/>
        <v>2.095617669111231E-2</v>
      </c>
      <c r="AM127" s="27">
        <f t="shared" si="134"/>
        <v>0</v>
      </c>
      <c r="AN127" s="28">
        <f t="shared" si="135"/>
        <v>6.8873279187745091E-3</v>
      </c>
      <c r="AO127" s="85">
        <f t="shared" si="136"/>
        <v>0</v>
      </c>
      <c r="AP127" s="32"/>
      <c r="AQ127" s="55">
        <v>106884243.56</v>
      </c>
      <c r="AR127" s="49">
        <v>2.92</v>
      </c>
      <c r="AS127" s="31" t="e">
        <f>(#REF!/AQ127)-1</f>
        <v>#REF!</v>
      </c>
      <c r="AT127" s="31" t="e">
        <f>(#REF!/AR127)-1</f>
        <v>#REF!</v>
      </c>
    </row>
    <row r="128" spans="1:46">
      <c r="A128" s="217" t="s">
        <v>56</v>
      </c>
      <c r="B128" s="393">
        <v>2143978335.8199999</v>
      </c>
      <c r="C128" s="392">
        <v>3.07</v>
      </c>
      <c r="D128" s="393">
        <v>2166805695.2600002</v>
      </c>
      <c r="E128" s="392">
        <v>3.09</v>
      </c>
      <c r="F128" s="25">
        <f t="shared" si="115"/>
        <v>1.0647196876301269E-2</v>
      </c>
      <c r="G128" s="25">
        <f t="shared" si="116"/>
        <v>6.5146579804560324E-3</v>
      </c>
      <c r="H128" s="393">
        <v>2187015451.1399999</v>
      </c>
      <c r="I128" s="392">
        <v>3.14</v>
      </c>
      <c r="J128" s="25">
        <f t="shared" si="117"/>
        <v>9.3269811521215426E-3</v>
      </c>
      <c r="K128" s="25">
        <f t="shared" si="118"/>
        <v>1.6181229773462869E-2</v>
      </c>
      <c r="L128" s="393">
        <v>2202103165.6599998</v>
      </c>
      <c r="M128" s="392">
        <v>3.16</v>
      </c>
      <c r="N128" s="25">
        <f t="shared" si="119"/>
        <v>6.8987690563115985E-3</v>
      </c>
      <c r="O128" s="25">
        <f t="shared" si="120"/>
        <v>6.3694267515923622E-3</v>
      </c>
      <c r="P128" s="393">
        <v>2212470823.1399999</v>
      </c>
      <c r="Q128" s="392">
        <v>3.18</v>
      </c>
      <c r="R128" s="25">
        <f t="shared" si="121"/>
        <v>4.708070739679761E-3</v>
      </c>
      <c r="S128" s="25">
        <f t="shared" si="122"/>
        <v>6.329113924050638E-3</v>
      </c>
      <c r="T128" s="393">
        <v>2220160472.3499999</v>
      </c>
      <c r="U128" s="392">
        <v>3.19</v>
      </c>
      <c r="V128" s="25">
        <f t="shared" si="123"/>
        <v>3.4755934991660929E-3</v>
      </c>
      <c r="W128" s="25">
        <f t="shared" si="124"/>
        <v>3.1446540880502474E-3</v>
      </c>
      <c r="X128" s="393">
        <v>2220554097.4200001</v>
      </c>
      <c r="Y128" s="392">
        <v>3.19</v>
      </c>
      <c r="Z128" s="25">
        <f t="shared" si="125"/>
        <v>1.7729577429307467E-4</v>
      </c>
      <c r="AA128" s="25">
        <f t="shared" si="126"/>
        <v>0</v>
      </c>
      <c r="AB128" s="393">
        <v>2237071708.4200001</v>
      </c>
      <c r="AC128" s="392">
        <v>3.21</v>
      </c>
      <c r="AD128" s="25">
        <f t="shared" si="127"/>
        <v>7.4385087123936102E-3</v>
      </c>
      <c r="AE128" s="25">
        <f t="shared" si="128"/>
        <v>6.269592476489034E-3</v>
      </c>
      <c r="AF128" s="393">
        <v>2253799556.8099999</v>
      </c>
      <c r="AG128" s="392">
        <v>3.24</v>
      </c>
      <c r="AH128" s="25">
        <f t="shared" si="129"/>
        <v>7.4775646784315279E-3</v>
      </c>
      <c r="AI128" s="25">
        <f t="shared" si="130"/>
        <v>9.3457943925234419E-3</v>
      </c>
      <c r="AJ128" s="26">
        <f t="shared" si="131"/>
        <v>6.2687475610873093E-3</v>
      </c>
      <c r="AK128" s="26">
        <f t="shared" si="132"/>
        <v>6.7693086733280772E-3</v>
      </c>
      <c r="AL128" s="27">
        <f t="shared" si="133"/>
        <v>4.0148436816602108E-2</v>
      </c>
      <c r="AM128" s="27">
        <f t="shared" si="134"/>
        <v>4.8543689320388467E-2</v>
      </c>
      <c r="AN128" s="28">
        <f t="shared" si="135"/>
        <v>3.3614054200864652E-3</v>
      </c>
      <c r="AO128" s="85">
        <f t="shared" si="136"/>
        <v>4.7033793087696372E-3</v>
      </c>
      <c r="AP128" s="32"/>
      <c r="AQ128" s="55">
        <v>84059843.040000007</v>
      </c>
      <c r="AR128" s="49">
        <v>7.19</v>
      </c>
      <c r="AS128" s="31" t="e">
        <f>(#REF!/AQ128)-1</f>
        <v>#REF!</v>
      </c>
      <c r="AT128" s="31" t="e">
        <f>(#REF!/AR128)-1</f>
        <v>#REF!</v>
      </c>
    </row>
    <row r="129" spans="1:46">
      <c r="A129" s="218" t="s">
        <v>52</v>
      </c>
      <c r="B129" s="392">
        <v>153185347.52000001</v>
      </c>
      <c r="C129" s="392">
        <v>1.58941</v>
      </c>
      <c r="D129" s="392">
        <v>153185347.52000001</v>
      </c>
      <c r="E129" s="392">
        <v>1.58941</v>
      </c>
      <c r="F129" s="25">
        <f t="shared" si="115"/>
        <v>0</v>
      </c>
      <c r="G129" s="25">
        <f t="shared" si="116"/>
        <v>0</v>
      </c>
      <c r="H129" s="392">
        <v>156433426.94</v>
      </c>
      <c r="I129" s="392">
        <v>1.6345080000000001</v>
      </c>
      <c r="J129" s="25">
        <f t="shared" si="117"/>
        <v>2.1203590764945157E-2</v>
      </c>
      <c r="K129" s="25">
        <f t="shared" si="118"/>
        <v>2.8374050748390965E-2</v>
      </c>
      <c r="L129" s="392">
        <v>157566505.06</v>
      </c>
      <c r="M129" s="392">
        <v>1.647273</v>
      </c>
      <c r="N129" s="25">
        <f t="shared" si="119"/>
        <v>7.243196944311631E-3</v>
      </c>
      <c r="O129" s="25">
        <f t="shared" si="120"/>
        <v>7.8096895212503795E-3</v>
      </c>
      <c r="P129" s="392">
        <v>160299429.81</v>
      </c>
      <c r="Q129" s="392">
        <v>1.674614</v>
      </c>
      <c r="R129" s="25">
        <f t="shared" si="121"/>
        <v>1.7344579350537254E-2</v>
      </c>
      <c r="S129" s="25">
        <f t="shared" si="122"/>
        <v>1.6597734558874006E-2</v>
      </c>
      <c r="T129" s="392">
        <v>158446608.33000001</v>
      </c>
      <c r="U129" s="392">
        <v>1.656256</v>
      </c>
      <c r="V129" s="25">
        <f t="shared" si="123"/>
        <v>-1.1558503247304777E-2</v>
      </c>
      <c r="W129" s="25">
        <f t="shared" si="124"/>
        <v>-1.0962526289640536E-2</v>
      </c>
      <c r="X129" s="392">
        <v>158513199.77000001</v>
      </c>
      <c r="Y129" s="392">
        <v>1.6572929999999999</v>
      </c>
      <c r="Z129" s="25">
        <f t="shared" si="125"/>
        <v>4.2027684089839435E-4</v>
      </c>
      <c r="AA129" s="25">
        <f t="shared" si="126"/>
        <v>6.2611093937166393E-4</v>
      </c>
      <c r="AB129" s="392">
        <v>159451728.80000001</v>
      </c>
      <c r="AC129" s="392">
        <v>1.668471</v>
      </c>
      <c r="AD129" s="25">
        <f t="shared" si="127"/>
        <v>5.9208257190050484E-3</v>
      </c>
      <c r="AE129" s="25">
        <f t="shared" si="128"/>
        <v>6.744733731452515E-3</v>
      </c>
      <c r="AF129" s="392">
        <v>159574293.08000001</v>
      </c>
      <c r="AG129" s="392">
        <v>1.668658</v>
      </c>
      <c r="AH129" s="25">
        <f t="shared" si="129"/>
        <v>7.6866071583164407E-4</v>
      </c>
      <c r="AI129" s="25">
        <f t="shared" si="130"/>
        <v>1.1207866363870706E-4</v>
      </c>
      <c r="AJ129" s="26">
        <f t="shared" si="131"/>
        <v>5.1678283860280439E-3</v>
      </c>
      <c r="AK129" s="26">
        <f t="shared" si="132"/>
        <v>6.1627339841672122E-3</v>
      </c>
      <c r="AL129" s="27">
        <f t="shared" si="133"/>
        <v>4.1707289002728257E-2</v>
      </c>
      <c r="AM129" s="27">
        <f t="shared" si="134"/>
        <v>4.9860010947458483E-2</v>
      </c>
      <c r="AN129" s="28">
        <f t="shared" si="135"/>
        <v>1.0410582807624059E-2</v>
      </c>
      <c r="AO129" s="85">
        <f t="shared" si="136"/>
        <v>1.1974982670998828E-2</v>
      </c>
      <c r="AP129" s="32"/>
      <c r="AQ129" s="55">
        <v>82672021.189999998</v>
      </c>
      <c r="AR129" s="49">
        <v>18.53</v>
      </c>
      <c r="AS129" s="31" t="e">
        <f>(#REF!/AQ129)-1</f>
        <v>#REF!</v>
      </c>
      <c r="AT129" s="31" t="e">
        <f>(#REF!/AR129)-1</f>
        <v>#REF!</v>
      </c>
    </row>
    <row r="130" spans="1:46">
      <c r="A130" s="217" t="s">
        <v>228</v>
      </c>
      <c r="B130" s="392">
        <v>636991918.25999999</v>
      </c>
      <c r="C130" s="392">
        <v>1.1633</v>
      </c>
      <c r="D130" s="392">
        <v>638597826.76999998</v>
      </c>
      <c r="E130" s="392">
        <v>1.1661999999999999</v>
      </c>
      <c r="F130" s="25">
        <f t="shared" si="115"/>
        <v>2.5210814516872871E-3</v>
      </c>
      <c r="G130" s="25">
        <f t="shared" si="116"/>
        <v>2.4929081062493789E-3</v>
      </c>
      <c r="H130" s="392">
        <v>643506374.08000004</v>
      </c>
      <c r="I130" s="392">
        <v>1.1751</v>
      </c>
      <c r="J130" s="25">
        <f t="shared" si="117"/>
        <v>7.6864453717722164E-3</v>
      </c>
      <c r="K130" s="25">
        <f t="shared" si="118"/>
        <v>7.6316240782028219E-3</v>
      </c>
      <c r="L130" s="392">
        <v>643839219.21000004</v>
      </c>
      <c r="M130" s="392">
        <v>1.1758</v>
      </c>
      <c r="N130" s="25">
        <f t="shared" si="119"/>
        <v>5.1723672586126749E-4</v>
      </c>
      <c r="O130" s="25">
        <f t="shared" si="120"/>
        <v>5.956939834907011E-4</v>
      </c>
      <c r="P130" s="392">
        <v>651476061.61000001</v>
      </c>
      <c r="Q130" s="392">
        <v>1.1898</v>
      </c>
      <c r="R130" s="25">
        <f t="shared" si="121"/>
        <v>1.1861412247254045E-2</v>
      </c>
      <c r="S130" s="25">
        <f t="shared" si="122"/>
        <v>1.1906786868515064E-2</v>
      </c>
      <c r="T130" s="392">
        <v>653980969.27999997</v>
      </c>
      <c r="U130" s="392">
        <v>1.1938</v>
      </c>
      <c r="V130" s="25">
        <f t="shared" si="123"/>
        <v>3.8449726975532316E-3</v>
      </c>
      <c r="W130" s="25">
        <f t="shared" si="124"/>
        <v>3.3619095646327144E-3</v>
      </c>
      <c r="X130" s="392">
        <v>661733060.10000002</v>
      </c>
      <c r="Y130" s="392">
        <v>1.2059</v>
      </c>
      <c r="Z130" s="25">
        <f t="shared" si="125"/>
        <v>1.1853694807869889E-2</v>
      </c>
      <c r="AA130" s="25">
        <f t="shared" si="126"/>
        <v>1.0135701122466074E-2</v>
      </c>
      <c r="AB130" s="392">
        <v>667911648.46000004</v>
      </c>
      <c r="AC130" s="392">
        <v>1.2177</v>
      </c>
      <c r="AD130" s="25">
        <f t="shared" si="127"/>
        <v>9.3369800189011497E-3</v>
      </c>
      <c r="AE130" s="25">
        <f t="shared" si="128"/>
        <v>9.7852226552782428E-3</v>
      </c>
      <c r="AF130" s="392">
        <v>669852946.48000002</v>
      </c>
      <c r="AG130" s="392">
        <v>1.2262999999999999</v>
      </c>
      <c r="AH130" s="25">
        <f t="shared" si="129"/>
        <v>2.9065191847993973E-3</v>
      </c>
      <c r="AI130" s="25">
        <f t="shared" si="130"/>
        <v>7.0624948673728679E-3</v>
      </c>
      <c r="AJ130" s="26">
        <f t="shared" si="131"/>
        <v>6.3160428132123109E-3</v>
      </c>
      <c r="AK130" s="26">
        <f t="shared" si="132"/>
        <v>6.6215426557759841E-3</v>
      </c>
      <c r="AL130" s="27">
        <f t="shared" si="133"/>
        <v>4.8943354330043799E-2</v>
      </c>
      <c r="AM130" s="27">
        <f t="shared" si="134"/>
        <v>5.1534899674155414E-2</v>
      </c>
      <c r="AN130" s="28">
        <f t="shared" si="135"/>
        <v>4.4429671425835404E-3</v>
      </c>
      <c r="AO130" s="85">
        <f t="shared" si="136"/>
        <v>4.0618147587905178E-3</v>
      </c>
      <c r="AP130" s="32"/>
      <c r="AQ130" s="55">
        <v>541500000</v>
      </c>
      <c r="AR130" s="49">
        <v>3610</v>
      </c>
      <c r="AS130" s="31" t="e">
        <f>(#REF!/AQ130)-1</f>
        <v>#REF!</v>
      </c>
      <c r="AT130" s="31" t="e">
        <f>(#REF!/AR130)-1</f>
        <v>#REF!</v>
      </c>
    </row>
    <row r="131" spans="1:46">
      <c r="A131" s="217" t="s">
        <v>116</v>
      </c>
      <c r="B131" s="392">
        <v>122646167.03</v>
      </c>
      <c r="C131" s="392">
        <v>1.1956</v>
      </c>
      <c r="D131" s="392">
        <v>122813955.59999999</v>
      </c>
      <c r="E131" s="392">
        <v>1.2089000000000001</v>
      </c>
      <c r="F131" s="25">
        <f t="shared" si="115"/>
        <v>1.3680702305107564E-3</v>
      </c>
      <c r="G131" s="25">
        <f t="shared" si="116"/>
        <v>1.112412177985956E-2</v>
      </c>
      <c r="H131" s="392">
        <v>122540362.18000001</v>
      </c>
      <c r="I131" s="392">
        <v>1.2060999999999999</v>
      </c>
      <c r="J131" s="25">
        <f t="shared" si="117"/>
        <v>-2.2277062786827699E-3</v>
      </c>
      <c r="K131" s="25">
        <f t="shared" si="118"/>
        <v>-2.3161551823973328E-3</v>
      </c>
      <c r="L131" s="392">
        <v>122540362.18000001</v>
      </c>
      <c r="M131" s="392">
        <v>1.2061999999999999</v>
      </c>
      <c r="N131" s="25">
        <f t="shared" si="119"/>
        <v>0</v>
      </c>
      <c r="O131" s="25">
        <f t="shared" si="120"/>
        <v>8.2911864687827707E-5</v>
      </c>
      <c r="P131" s="392">
        <v>124410317.20999999</v>
      </c>
      <c r="Q131" s="392">
        <v>1.2244999999999999</v>
      </c>
      <c r="R131" s="25">
        <f t="shared" si="121"/>
        <v>1.5259911075284746E-2</v>
      </c>
      <c r="S131" s="25">
        <f t="shared" si="122"/>
        <v>1.517161333112252E-2</v>
      </c>
      <c r="T131" s="392">
        <v>124410317.20999999</v>
      </c>
      <c r="U131" s="392">
        <v>1.2096</v>
      </c>
      <c r="V131" s="25">
        <f t="shared" si="123"/>
        <v>0</v>
      </c>
      <c r="W131" s="25">
        <f t="shared" si="124"/>
        <v>-1.2168231931400502E-2</v>
      </c>
      <c r="X131" s="392">
        <v>124323995.27</v>
      </c>
      <c r="Y131" s="392">
        <v>1.2177</v>
      </c>
      <c r="Z131" s="25">
        <f t="shared" si="125"/>
        <v>-6.9384872521697203E-4</v>
      </c>
      <c r="AA131" s="25">
        <f t="shared" si="126"/>
        <v>6.6964285714285685E-3</v>
      </c>
      <c r="AB131" s="392">
        <v>125482699.62</v>
      </c>
      <c r="AC131" s="392">
        <v>1.2354000000000001</v>
      </c>
      <c r="AD131" s="25">
        <f t="shared" si="127"/>
        <v>9.320037917729387E-3</v>
      </c>
      <c r="AE131" s="25">
        <f t="shared" si="128"/>
        <v>1.4535599901453601E-2</v>
      </c>
      <c r="AF131" s="392">
        <v>125139728.48</v>
      </c>
      <c r="AG131" s="392">
        <v>1.2319</v>
      </c>
      <c r="AH131" s="25">
        <f t="shared" si="129"/>
        <v>-2.7332145470142268E-3</v>
      </c>
      <c r="AI131" s="25">
        <f t="shared" si="130"/>
        <v>-2.8330904970050659E-3</v>
      </c>
      <c r="AJ131" s="26">
        <f t="shared" si="131"/>
        <v>2.5366562090763651E-3</v>
      </c>
      <c r="AK131" s="26">
        <f t="shared" si="132"/>
        <v>3.7866497297186471E-3</v>
      </c>
      <c r="AL131" s="27">
        <f t="shared" si="133"/>
        <v>1.893736643069259E-2</v>
      </c>
      <c r="AM131" s="27">
        <f t="shared" si="134"/>
        <v>1.9025560426834235E-2</v>
      </c>
      <c r="AN131" s="28">
        <f t="shared" si="135"/>
        <v>6.3587641910575901E-3</v>
      </c>
      <c r="AO131" s="85">
        <f t="shared" si="136"/>
        <v>9.6865425532526774E-3</v>
      </c>
      <c r="AP131" s="32"/>
      <c r="AQ131" s="55">
        <v>551092000</v>
      </c>
      <c r="AR131" s="49">
        <v>8.86</v>
      </c>
      <c r="AS131" s="31" t="e">
        <f>(#REF!/AQ131)-1</f>
        <v>#REF!</v>
      </c>
      <c r="AT131" s="31" t="e">
        <f>(#REF!/AR131)-1</f>
        <v>#REF!</v>
      </c>
    </row>
    <row r="132" spans="1:46">
      <c r="A132" s="217" t="s">
        <v>118</v>
      </c>
      <c r="B132" s="392">
        <v>163939410.14725342</v>
      </c>
      <c r="C132" s="392">
        <v>110.51460673354813</v>
      </c>
      <c r="D132" s="392">
        <v>166601005.91</v>
      </c>
      <c r="E132" s="392">
        <v>112.29</v>
      </c>
      <c r="F132" s="25">
        <f t="shared" si="115"/>
        <v>1.6235240570622266E-2</v>
      </c>
      <c r="G132" s="25">
        <f t="shared" si="116"/>
        <v>1.6064783822941731E-2</v>
      </c>
      <c r="H132" s="392">
        <v>165611977.97</v>
      </c>
      <c r="I132" s="392">
        <v>111.69</v>
      </c>
      <c r="J132" s="25">
        <f t="shared" si="117"/>
        <v>-5.936506413018198E-3</v>
      </c>
      <c r="K132" s="25">
        <f t="shared" si="118"/>
        <v>-5.3433075073471238E-3</v>
      </c>
      <c r="L132" s="392">
        <v>167150713.65000001</v>
      </c>
      <c r="M132" s="392">
        <v>112.74</v>
      </c>
      <c r="N132" s="25">
        <f t="shared" si="119"/>
        <v>9.2912100855334478E-3</v>
      </c>
      <c r="O132" s="25">
        <f t="shared" si="120"/>
        <v>9.4010206822454749E-3</v>
      </c>
      <c r="P132" s="392">
        <v>169143934.00999999</v>
      </c>
      <c r="Q132" s="392">
        <v>114.08</v>
      </c>
      <c r="R132" s="25">
        <f t="shared" si="121"/>
        <v>1.1924689500121584E-2</v>
      </c>
      <c r="S132" s="25">
        <f t="shared" si="122"/>
        <v>1.1885754834131661E-2</v>
      </c>
      <c r="T132" s="392">
        <v>169394608.46000001</v>
      </c>
      <c r="U132" s="392">
        <v>114.28</v>
      </c>
      <c r="V132" s="25">
        <f t="shared" si="123"/>
        <v>1.4820185628720076E-3</v>
      </c>
      <c r="W132" s="25">
        <f t="shared" si="124"/>
        <v>1.7531556802244288E-3</v>
      </c>
      <c r="X132" s="392">
        <v>170022963.21000001</v>
      </c>
      <c r="Y132" s="392">
        <v>114.74</v>
      </c>
      <c r="Z132" s="25">
        <f t="shared" si="125"/>
        <v>3.7094141053986172E-3</v>
      </c>
      <c r="AA132" s="25">
        <f t="shared" si="126"/>
        <v>4.0252012600629486E-3</v>
      </c>
      <c r="AB132" s="392">
        <v>170786218.60334182</v>
      </c>
      <c r="AC132" s="392">
        <v>115.28</v>
      </c>
      <c r="AD132" s="25">
        <f t="shared" si="127"/>
        <v>4.4891312263455373E-3</v>
      </c>
      <c r="AE132" s="25">
        <f t="shared" si="128"/>
        <v>4.7062924873627881E-3</v>
      </c>
      <c r="AF132" s="392">
        <v>170488132.43697751</v>
      </c>
      <c r="AG132" s="392">
        <v>115.12</v>
      </c>
      <c r="AH132" s="25">
        <f t="shared" si="129"/>
        <v>-1.7453759958034427E-3</v>
      </c>
      <c r="AI132" s="25">
        <f t="shared" si="130"/>
        <v>-1.3879250520471599E-3</v>
      </c>
      <c r="AJ132" s="26">
        <f t="shared" si="131"/>
        <v>4.9312277052589778E-3</v>
      </c>
      <c r="AK132" s="26">
        <f t="shared" si="132"/>
        <v>5.1381220259468438E-3</v>
      </c>
      <c r="AL132" s="27">
        <f t="shared" si="133"/>
        <v>2.3331951123256631E-2</v>
      </c>
      <c r="AM132" s="27">
        <f t="shared" si="134"/>
        <v>2.520260040965356E-2</v>
      </c>
      <c r="AN132" s="28">
        <f t="shared" si="135"/>
        <v>7.2896077144776923E-3</v>
      </c>
      <c r="AO132" s="85">
        <f t="shared" si="136"/>
        <v>7.0551654183571262E-3</v>
      </c>
      <c r="AP132" s="32"/>
      <c r="AQ132" s="30">
        <v>913647681</v>
      </c>
      <c r="AR132" s="34">
        <v>81</v>
      </c>
      <c r="AS132" s="31" t="e">
        <f>(#REF!/AQ132)-1</f>
        <v>#REF!</v>
      </c>
      <c r="AT132" s="31" t="e">
        <f>(#REF!/AR132)-1</f>
        <v>#REF!</v>
      </c>
    </row>
    <row r="133" spans="1:46">
      <c r="A133" s="217" t="s">
        <v>124</v>
      </c>
      <c r="B133" s="392">
        <v>162985612.05000001</v>
      </c>
      <c r="C133" s="392">
        <v>3.7338</v>
      </c>
      <c r="D133" s="392">
        <v>164546313.91</v>
      </c>
      <c r="E133" s="392">
        <v>3.7696999999999998</v>
      </c>
      <c r="F133" s="25">
        <f t="shared" si="115"/>
        <v>9.5757032806135008E-3</v>
      </c>
      <c r="G133" s="25">
        <f t="shared" si="116"/>
        <v>9.6148695698751469E-3</v>
      </c>
      <c r="H133" s="392">
        <v>166520043.5</v>
      </c>
      <c r="I133" s="392">
        <v>3.8151999999999999</v>
      </c>
      <c r="J133" s="25">
        <f t="shared" si="117"/>
        <v>1.1994979061515481E-2</v>
      </c>
      <c r="K133" s="25">
        <f t="shared" si="118"/>
        <v>1.2069925988805501E-2</v>
      </c>
      <c r="L133" s="392">
        <v>167094661.91999999</v>
      </c>
      <c r="M133" s="392">
        <v>3.8307000000000002</v>
      </c>
      <c r="N133" s="25">
        <f t="shared" si="119"/>
        <v>3.450746276078092E-3</v>
      </c>
      <c r="O133" s="25">
        <f t="shared" si="120"/>
        <v>4.0626965820927587E-3</v>
      </c>
      <c r="P133" s="392">
        <v>169971730.99000001</v>
      </c>
      <c r="Q133" s="392">
        <v>3.8971</v>
      </c>
      <c r="R133" s="25">
        <f t="shared" si="121"/>
        <v>1.7218198576430161E-2</v>
      </c>
      <c r="S133" s="25">
        <f t="shared" si="122"/>
        <v>1.7333646592006629E-2</v>
      </c>
      <c r="T133" s="392">
        <v>169425839.34</v>
      </c>
      <c r="U133" s="392">
        <v>3.8843999999999999</v>
      </c>
      <c r="V133" s="25">
        <f t="shared" si="123"/>
        <v>-3.2116614146391353E-3</v>
      </c>
      <c r="W133" s="25">
        <f t="shared" si="124"/>
        <v>-3.2588334915706952E-3</v>
      </c>
      <c r="X133" s="392">
        <v>169737621.38999999</v>
      </c>
      <c r="Y133" s="392">
        <v>3.8915000000000002</v>
      </c>
      <c r="Z133" s="25">
        <f t="shared" si="125"/>
        <v>1.8402272712033307E-3</v>
      </c>
      <c r="AA133" s="25">
        <f t="shared" si="126"/>
        <v>1.827824116980828E-3</v>
      </c>
      <c r="AB133" s="392">
        <v>172282013.24000001</v>
      </c>
      <c r="AC133" s="392">
        <v>3.9502000000000002</v>
      </c>
      <c r="AD133" s="25">
        <f t="shared" si="127"/>
        <v>1.4990146728602181E-2</v>
      </c>
      <c r="AE133" s="25">
        <f t="shared" si="128"/>
        <v>1.5084157779776428E-2</v>
      </c>
      <c r="AF133" s="392">
        <v>172629512.06999999</v>
      </c>
      <c r="AG133" s="392">
        <v>3.9582000000000002</v>
      </c>
      <c r="AH133" s="25">
        <f t="shared" si="129"/>
        <v>2.0170348805704686E-3</v>
      </c>
      <c r="AI133" s="25">
        <f t="shared" si="130"/>
        <v>2.0252139132195856E-3</v>
      </c>
      <c r="AJ133" s="26">
        <f t="shared" si="131"/>
        <v>7.2344218325467611E-3</v>
      </c>
      <c r="AK133" s="26">
        <f t="shared" si="132"/>
        <v>7.3449376313982724E-3</v>
      </c>
      <c r="AL133" s="27">
        <f t="shared" si="133"/>
        <v>4.9124152148562687E-2</v>
      </c>
      <c r="AM133" s="27">
        <f t="shared" si="134"/>
        <v>5.0003979096479918E-2</v>
      </c>
      <c r="AN133" s="28">
        <f t="shared" si="135"/>
        <v>7.2479247096805428E-3</v>
      </c>
      <c r="AO133" s="85">
        <f t="shared" si="136"/>
        <v>7.2614344459571252E-3</v>
      </c>
      <c r="AP133" s="32"/>
      <c r="AQ133" s="63">
        <f>SUM(AQ126:AQ132)</f>
        <v>4180911788.79</v>
      </c>
      <c r="AR133" s="64"/>
      <c r="AS133" s="31" t="e">
        <f>(#REF!/AQ133)-1</f>
        <v>#REF!</v>
      </c>
      <c r="AT133" s="31" t="e">
        <f>(#REF!/AR133)-1</f>
        <v>#REF!</v>
      </c>
    </row>
    <row r="134" spans="1:46">
      <c r="A134" s="217" t="s">
        <v>166</v>
      </c>
      <c r="B134" s="392">
        <v>337803586.26999998</v>
      </c>
      <c r="C134" s="392">
        <v>136.16</v>
      </c>
      <c r="D134" s="392">
        <v>343008605</v>
      </c>
      <c r="E134" s="392">
        <v>137.94</v>
      </c>
      <c r="F134" s="25">
        <f t="shared" si="115"/>
        <v>1.5408417617685523E-2</v>
      </c>
      <c r="G134" s="25">
        <f t="shared" si="116"/>
        <v>1.3072855464159821E-2</v>
      </c>
      <c r="H134" s="392">
        <v>334612472.54000002</v>
      </c>
      <c r="I134" s="392">
        <v>138.87</v>
      </c>
      <c r="J134" s="25">
        <f t="shared" si="117"/>
        <v>-2.4477906202965312E-2</v>
      </c>
      <c r="K134" s="25">
        <f t="shared" si="118"/>
        <v>6.7420617659852602E-3</v>
      </c>
      <c r="L134" s="392">
        <v>337168492.69</v>
      </c>
      <c r="M134" s="392">
        <v>140.02000000000001</v>
      </c>
      <c r="N134" s="25">
        <f t="shared" si="119"/>
        <v>7.6387473861854512E-3</v>
      </c>
      <c r="O134" s="25">
        <f t="shared" si="120"/>
        <v>8.2811262331677522E-3</v>
      </c>
      <c r="P134" s="392">
        <v>353383518.54000002</v>
      </c>
      <c r="Q134" s="392">
        <v>141.41</v>
      </c>
      <c r="R134" s="25">
        <f t="shared" si="121"/>
        <v>4.8091758872939733E-2</v>
      </c>
      <c r="S134" s="25">
        <f t="shared" si="122"/>
        <v>9.9271532638193563E-3</v>
      </c>
      <c r="T134" s="392">
        <v>355733512.87</v>
      </c>
      <c r="U134" s="392">
        <v>141.38999999999999</v>
      </c>
      <c r="V134" s="25">
        <f t="shared" si="123"/>
        <v>6.6499828280304589E-3</v>
      </c>
      <c r="W134" s="25">
        <f t="shared" si="124"/>
        <v>-1.4143271338667868E-4</v>
      </c>
      <c r="X134" s="392">
        <v>357629848.88</v>
      </c>
      <c r="Y134" s="392">
        <v>141.9</v>
      </c>
      <c r="Z134" s="25">
        <f t="shared" si="125"/>
        <v>5.3307769478918663E-3</v>
      </c>
      <c r="AA134" s="25">
        <f t="shared" si="126"/>
        <v>3.607044345427678E-3</v>
      </c>
      <c r="AB134" s="392">
        <v>361352560.54000002</v>
      </c>
      <c r="AC134" s="392">
        <v>143.27000000000001</v>
      </c>
      <c r="AD134" s="25">
        <f t="shared" si="127"/>
        <v>1.0409398632856158E-2</v>
      </c>
      <c r="AE134" s="25">
        <f t="shared" si="128"/>
        <v>9.6546863988724776E-3</v>
      </c>
      <c r="AF134" s="392">
        <v>363229135.31999999</v>
      </c>
      <c r="AG134" s="392">
        <v>143.63999999999999</v>
      </c>
      <c r="AH134" s="25">
        <f t="shared" si="129"/>
        <v>5.193196298915511E-3</v>
      </c>
      <c r="AI134" s="25">
        <f t="shared" si="130"/>
        <v>2.5825364696026808E-3</v>
      </c>
      <c r="AJ134" s="26">
        <f t="shared" si="131"/>
        <v>9.280546547692425E-3</v>
      </c>
      <c r="AK134" s="26">
        <f t="shared" si="132"/>
        <v>6.7157539034560431E-3</v>
      </c>
      <c r="AL134" s="27">
        <f t="shared" si="133"/>
        <v>5.8950504521599369E-2</v>
      </c>
      <c r="AM134" s="27">
        <f t="shared" si="134"/>
        <v>4.1322314049586695E-2</v>
      </c>
      <c r="AN134" s="28">
        <f t="shared" si="135"/>
        <v>1.9736445356142777E-2</v>
      </c>
      <c r="AO134" s="85">
        <f t="shared" si="136"/>
        <v>4.4010194066117095E-3</v>
      </c>
      <c r="AP134" s="32"/>
      <c r="AQ134" s="86"/>
      <c r="AR134" s="87"/>
      <c r="AS134" s="31"/>
      <c r="AT134" s="31"/>
    </row>
    <row r="135" spans="1:46" s="95" customFormat="1">
      <c r="A135" s="217" t="s">
        <v>139</v>
      </c>
      <c r="B135" s="393">
        <v>152722136.65000001</v>
      </c>
      <c r="C135" s="392">
        <v>146.068544</v>
      </c>
      <c r="D135" s="393">
        <v>154452128.09</v>
      </c>
      <c r="E135" s="392">
        <v>147.69995700000001</v>
      </c>
      <c r="F135" s="25">
        <f t="shared" si="115"/>
        <v>1.1327705845058302E-2</v>
      </c>
      <c r="G135" s="25">
        <f t="shared" si="116"/>
        <v>1.116881811322778E-2</v>
      </c>
      <c r="H135" s="393">
        <v>157421994.74000001</v>
      </c>
      <c r="I135" s="392">
        <v>150.51816700000001</v>
      </c>
      <c r="J135" s="25">
        <f t="shared" si="117"/>
        <v>1.9228395793092927E-2</v>
      </c>
      <c r="K135" s="25">
        <f t="shared" si="118"/>
        <v>1.908064198014623E-2</v>
      </c>
      <c r="L135" s="393">
        <v>156864546.53999999</v>
      </c>
      <c r="M135" s="392">
        <v>150.06919300000001</v>
      </c>
      <c r="N135" s="25">
        <f t="shared" si="119"/>
        <v>-3.5411074603692184E-3</v>
      </c>
      <c r="O135" s="25">
        <f t="shared" si="120"/>
        <v>-2.9828558834362677E-3</v>
      </c>
      <c r="P135" s="393">
        <v>159782048.28999999</v>
      </c>
      <c r="Q135" s="392">
        <v>152.767582</v>
      </c>
      <c r="R135" s="25">
        <f t="shared" si="121"/>
        <v>1.8598860063360752E-2</v>
      </c>
      <c r="S135" s="25">
        <f t="shared" si="122"/>
        <v>1.7980965620305503E-2</v>
      </c>
      <c r="T135" s="393">
        <v>158690175.71000001</v>
      </c>
      <c r="U135" s="392">
        <v>151.732966</v>
      </c>
      <c r="V135" s="25">
        <f t="shared" si="123"/>
        <v>-6.8335122229642772E-3</v>
      </c>
      <c r="W135" s="25">
        <f t="shared" si="124"/>
        <v>-6.772483968490119E-3</v>
      </c>
      <c r="X135" s="393">
        <v>159508902.55000001</v>
      </c>
      <c r="Y135" s="392">
        <v>152.54738</v>
      </c>
      <c r="Z135" s="25">
        <f t="shared" si="125"/>
        <v>5.1592786783234415E-3</v>
      </c>
      <c r="AA135" s="25">
        <f t="shared" si="126"/>
        <v>5.3674163332442818E-3</v>
      </c>
      <c r="AB135" s="393">
        <v>159508902.55000001</v>
      </c>
      <c r="AC135" s="392">
        <v>152.54738</v>
      </c>
      <c r="AD135" s="25">
        <f t="shared" si="127"/>
        <v>0</v>
      </c>
      <c r="AE135" s="25">
        <f t="shared" si="128"/>
        <v>0</v>
      </c>
      <c r="AF135" s="393">
        <v>162994676.41</v>
      </c>
      <c r="AG135" s="392">
        <v>154.393483</v>
      </c>
      <c r="AH135" s="25">
        <f t="shared" si="129"/>
        <v>2.1853161825292643E-2</v>
      </c>
      <c r="AI135" s="25">
        <f t="shared" si="130"/>
        <v>1.2101833541815004E-2</v>
      </c>
      <c r="AJ135" s="26">
        <f t="shared" si="131"/>
        <v>8.2240978152243217E-3</v>
      </c>
      <c r="AK135" s="26">
        <f t="shared" si="132"/>
        <v>6.9930419671015509E-3</v>
      </c>
      <c r="AL135" s="27">
        <f t="shared" si="133"/>
        <v>5.5308712321672955E-2</v>
      </c>
      <c r="AM135" s="27">
        <f t="shared" si="134"/>
        <v>4.5318401819169053E-2</v>
      </c>
      <c r="AN135" s="28">
        <f t="shared" si="135"/>
        <v>1.1124584170333051E-2</v>
      </c>
      <c r="AO135" s="85">
        <f t="shared" si="136"/>
        <v>9.643168825082685E-3</v>
      </c>
      <c r="AP135" s="32"/>
      <c r="AQ135" s="86"/>
      <c r="AR135" s="87"/>
      <c r="AS135" s="31"/>
      <c r="AT135" s="31"/>
    </row>
    <row r="136" spans="1:46" s="115" customFormat="1">
      <c r="A136" s="217" t="s">
        <v>153</v>
      </c>
      <c r="B136" s="393">
        <v>999690945.16999996</v>
      </c>
      <c r="C136" s="392">
        <v>2.3170000000000002</v>
      </c>
      <c r="D136" s="393">
        <v>1013780046.33</v>
      </c>
      <c r="E136" s="392">
        <v>2.3515999999999999</v>
      </c>
      <c r="F136" s="25">
        <f t="shared" si="115"/>
        <v>1.409345681089889E-2</v>
      </c>
      <c r="G136" s="25">
        <f t="shared" si="116"/>
        <v>1.4933103150625697E-2</v>
      </c>
      <c r="H136" s="393">
        <v>1019900355.6</v>
      </c>
      <c r="I136" s="392">
        <v>2.3656999999999999</v>
      </c>
      <c r="J136" s="25">
        <f t="shared" si="117"/>
        <v>6.0371175109987631E-3</v>
      </c>
      <c r="K136" s="25">
        <f t="shared" si="118"/>
        <v>5.9959176730736531E-3</v>
      </c>
      <c r="L136" s="393">
        <v>1026958531.1900001</v>
      </c>
      <c r="M136" s="392">
        <v>2.3822999999999999</v>
      </c>
      <c r="N136" s="25">
        <f t="shared" si="119"/>
        <v>6.9204560536188457E-3</v>
      </c>
      <c r="O136" s="25">
        <f t="shared" si="120"/>
        <v>7.0169505854503732E-3</v>
      </c>
      <c r="P136" s="393">
        <v>1041422622.37</v>
      </c>
      <c r="Q136" s="392">
        <v>2.4161999999999999</v>
      </c>
      <c r="R136" s="25">
        <f t="shared" si="121"/>
        <v>1.4084396536673701E-2</v>
      </c>
      <c r="S136" s="25">
        <f t="shared" si="122"/>
        <v>1.4229945850648551E-2</v>
      </c>
      <c r="T136" s="393">
        <v>1035804495.45</v>
      </c>
      <c r="U136" s="392">
        <v>2.403</v>
      </c>
      <c r="V136" s="25">
        <f t="shared" si="123"/>
        <v>-5.3946657191050826E-3</v>
      </c>
      <c r="W136" s="25">
        <f t="shared" si="124"/>
        <v>-5.4631239135832623E-3</v>
      </c>
      <c r="X136" s="393">
        <v>1038050562.1</v>
      </c>
      <c r="Y136" s="392">
        <v>2.4081000000000001</v>
      </c>
      <c r="Z136" s="25">
        <f t="shared" si="125"/>
        <v>2.1684272079010277E-3</v>
      </c>
      <c r="AA136" s="25">
        <f t="shared" si="126"/>
        <v>2.1223470661673343E-3</v>
      </c>
      <c r="AB136" s="393">
        <v>1041534961.77</v>
      </c>
      <c r="AC136" s="392">
        <v>2.4165999999999999</v>
      </c>
      <c r="AD136" s="25">
        <f t="shared" si="127"/>
        <v>3.3566762518301005E-3</v>
      </c>
      <c r="AE136" s="25">
        <f t="shared" si="128"/>
        <v>3.5297537477678377E-3</v>
      </c>
      <c r="AF136" s="393">
        <v>1040667012.08</v>
      </c>
      <c r="AG136" s="392">
        <v>2.4144000000000001</v>
      </c>
      <c r="AH136" s="25">
        <f t="shared" si="129"/>
        <v>-8.333370667893197E-4</v>
      </c>
      <c r="AI136" s="25">
        <f t="shared" si="130"/>
        <v>-9.1036994123965811E-4</v>
      </c>
      <c r="AJ136" s="26">
        <f t="shared" si="131"/>
        <v>5.0540659482533664E-3</v>
      </c>
      <c r="AK136" s="26">
        <f t="shared" si="132"/>
        <v>5.1818155273638151E-3</v>
      </c>
      <c r="AL136" s="27">
        <f t="shared" si="133"/>
        <v>2.6521498275029084E-2</v>
      </c>
      <c r="AM136" s="27">
        <f t="shared" si="134"/>
        <v>2.6705221976526701E-2</v>
      </c>
      <c r="AN136" s="28">
        <f t="shared" si="135"/>
        <v>6.790253630268279E-3</v>
      </c>
      <c r="AO136" s="85">
        <f t="shared" si="136"/>
        <v>7.0051600421989404E-3</v>
      </c>
      <c r="AP136" s="32"/>
      <c r="AQ136" s="86"/>
      <c r="AR136" s="87"/>
      <c r="AS136" s="31"/>
      <c r="AT136" s="31"/>
    </row>
    <row r="137" spans="1:46" s="115" customFormat="1">
      <c r="A137" s="217" t="s">
        <v>172</v>
      </c>
      <c r="B137" s="393">
        <v>18943783.559999999</v>
      </c>
      <c r="C137" s="392">
        <v>1.2</v>
      </c>
      <c r="D137" s="393">
        <v>19183986.309999999</v>
      </c>
      <c r="E137" s="392">
        <v>1.2</v>
      </c>
      <c r="F137" s="25">
        <f t="shared" si="115"/>
        <v>1.2679766385591032E-2</v>
      </c>
      <c r="G137" s="25">
        <f t="shared" si="116"/>
        <v>0</v>
      </c>
      <c r="H137" s="393">
        <v>19275637.66</v>
      </c>
      <c r="I137" s="392">
        <v>1.21</v>
      </c>
      <c r="J137" s="25">
        <f t="shared" si="117"/>
        <v>4.777492462670627E-3</v>
      </c>
      <c r="K137" s="25">
        <f t="shared" si="118"/>
        <v>8.3333333333333419E-3</v>
      </c>
      <c r="L137" s="393">
        <v>19245718.289999999</v>
      </c>
      <c r="M137" s="392">
        <v>1.22</v>
      </c>
      <c r="N137" s="25">
        <f t="shared" si="119"/>
        <v>-1.55218574491512E-3</v>
      </c>
      <c r="O137" s="25">
        <f t="shared" si="120"/>
        <v>8.2644628099173625E-3</v>
      </c>
      <c r="P137" s="393">
        <v>19624666.559999999</v>
      </c>
      <c r="Q137" s="392">
        <v>1.24</v>
      </c>
      <c r="R137" s="25">
        <f t="shared" si="121"/>
        <v>1.9690003994129936E-2</v>
      </c>
      <c r="S137" s="25">
        <f t="shared" si="122"/>
        <v>1.6393442622950834E-2</v>
      </c>
      <c r="T137" s="393">
        <v>19547733.41</v>
      </c>
      <c r="U137" s="392">
        <v>1.24</v>
      </c>
      <c r="V137" s="25">
        <f t="shared" si="123"/>
        <v>-3.920227116460037E-3</v>
      </c>
      <c r="W137" s="25">
        <f t="shared" si="124"/>
        <v>0</v>
      </c>
      <c r="X137" s="393">
        <v>19547733.41</v>
      </c>
      <c r="Y137" s="392">
        <v>1.24</v>
      </c>
      <c r="Z137" s="25">
        <f t="shared" si="125"/>
        <v>0</v>
      </c>
      <c r="AA137" s="25">
        <f t="shared" si="126"/>
        <v>0</v>
      </c>
      <c r="AB137" s="393">
        <v>19966931.129999999</v>
      </c>
      <c r="AC137" s="392">
        <v>1.25</v>
      </c>
      <c r="AD137" s="25">
        <f t="shared" si="127"/>
        <v>2.1444824891337557E-2</v>
      </c>
      <c r="AE137" s="25">
        <f t="shared" si="128"/>
        <v>8.0645161290322648E-3</v>
      </c>
      <c r="AF137" s="393">
        <v>20012283.399999999</v>
      </c>
      <c r="AG137" s="392">
        <v>1.25</v>
      </c>
      <c r="AH137" s="25">
        <f t="shared" si="129"/>
        <v>2.2713690804421357E-3</v>
      </c>
      <c r="AI137" s="25">
        <f t="shared" si="130"/>
        <v>0</v>
      </c>
      <c r="AJ137" s="26">
        <f t="shared" si="131"/>
        <v>6.9238804940995168E-3</v>
      </c>
      <c r="AK137" s="26">
        <f t="shared" si="132"/>
        <v>5.1319693619042255E-3</v>
      </c>
      <c r="AL137" s="27">
        <f t="shared" si="133"/>
        <v>4.3176484627088951E-2</v>
      </c>
      <c r="AM137" s="27">
        <f t="shared" si="134"/>
        <v>4.1666666666666706E-2</v>
      </c>
      <c r="AN137" s="28">
        <f t="shared" si="135"/>
        <v>9.7876984868863637E-3</v>
      </c>
      <c r="AO137" s="85">
        <f t="shared" si="136"/>
        <v>6.104217454890923E-3</v>
      </c>
      <c r="AP137" s="32"/>
      <c r="AQ137" s="86"/>
      <c r="AR137" s="87"/>
      <c r="AS137" s="31"/>
      <c r="AT137" s="31"/>
    </row>
    <row r="138" spans="1:46" ht="15.75" customHeight="1" thickBot="1">
      <c r="A138" s="217" t="s">
        <v>229</v>
      </c>
      <c r="B138" s="393">
        <v>207311163.88999999</v>
      </c>
      <c r="C138" s="392">
        <v>1.0353000000000001</v>
      </c>
      <c r="D138" s="393">
        <v>210978508.15000001</v>
      </c>
      <c r="E138" s="392">
        <v>1.0537000000000001</v>
      </c>
      <c r="F138" s="25">
        <f t="shared" si="115"/>
        <v>1.7690047131016667E-2</v>
      </c>
      <c r="G138" s="25">
        <f t="shared" si="116"/>
        <v>1.7772626291896038E-2</v>
      </c>
      <c r="H138" s="393">
        <v>215802936.59</v>
      </c>
      <c r="I138" s="392">
        <v>1.077</v>
      </c>
      <c r="J138" s="25">
        <f t="shared" si="117"/>
        <v>2.2866918921286332E-2</v>
      </c>
      <c r="K138" s="25">
        <f t="shared" si="118"/>
        <v>2.2112555755907634E-2</v>
      </c>
      <c r="L138" s="393">
        <v>218646932.90000001</v>
      </c>
      <c r="M138" s="392">
        <v>1.0911999999999999</v>
      </c>
      <c r="N138" s="25">
        <f t="shared" si="119"/>
        <v>1.3178672889902598E-2</v>
      </c>
      <c r="O138" s="25">
        <f t="shared" si="120"/>
        <v>1.3184772516248831E-2</v>
      </c>
      <c r="P138" s="393">
        <v>222695695.49000001</v>
      </c>
      <c r="Q138" s="392">
        <v>1.1096999999999999</v>
      </c>
      <c r="R138" s="25">
        <f t="shared" si="121"/>
        <v>1.851735369117544E-2</v>
      </c>
      <c r="S138" s="25">
        <f t="shared" si="122"/>
        <v>1.6953812316715507E-2</v>
      </c>
      <c r="T138" s="393">
        <v>221357929.75999999</v>
      </c>
      <c r="U138" s="392">
        <v>1.1031</v>
      </c>
      <c r="V138" s="25">
        <f t="shared" si="123"/>
        <v>-6.0071467796291127E-3</v>
      </c>
      <c r="W138" s="25">
        <f t="shared" si="124"/>
        <v>-5.9475533928088128E-3</v>
      </c>
      <c r="X138" s="393">
        <v>223066127.62</v>
      </c>
      <c r="Y138" s="392">
        <v>1.1121000000000001</v>
      </c>
      <c r="Z138" s="25">
        <f t="shared" si="125"/>
        <v>7.7169038482247793E-3</v>
      </c>
      <c r="AA138" s="25">
        <f t="shared" si="126"/>
        <v>8.1588251291815055E-3</v>
      </c>
      <c r="AB138" s="393">
        <v>226052034.74000001</v>
      </c>
      <c r="AC138" s="392">
        <v>1.1265000000000001</v>
      </c>
      <c r="AD138" s="25">
        <f t="shared" si="127"/>
        <v>1.338574866501735E-2</v>
      </c>
      <c r="AE138" s="25">
        <f t="shared" si="128"/>
        <v>1.2948475856487696E-2</v>
      </c>
      <c r="AF138" s="393">
        <v>225812191.31</v>
      </c>
      <c r="AG138" s="392">
        <v>1.1254</v>
      </c>
      <c r="AH138" s="25">
        <f t="shared" si="129"/>
        <v>-1.0610098257946216E-3</v>
      </c>
      <c r="AI138" s="25">
        <f t="shared" si="130"/>
        <v>-9.7647581003115921E-4</v>
      </c>
      <c r="AJ138" s="26">
        <f t="shared" si="131"/>
        <v>1.0785936067649929E-2</v>
      </c>
      <c r="AK138" s="26">
        <f t="shared" si="132"/>
        <v>1.0525879832949656E-2</v>
      </c>
      <c r="AL138" s="27">
        <f t="shared" si="133"/>
        <v>7.0308977393344962E-2</v>
      </c>
      <c r="AM138" s="27">
        <f t="shared" si="134"/>
        <v>6.804593337762159E-2</v>
      </c>
      <c r="AN138" s="28">
        <f t="shared" si="135"/>
        <v>9.9832191135078886E-3</v>
      </c>
      <c r="AO138" s="85">
        <f t="shared" si="136"/>
        <v>9.6384981532104518E-3</v>
      </c>
      <c r="AP138" s="32"/>
      <c r="AQ138" s="66" t="e">
        <f>SUM(AQ122,AQ133)</f>
        <v>#REF!</v>
      </c>
      <c r="AR138" s="67"/>
      <c r="AS138" s="31" t="e">
        <f>(#REF!/AQ138)-1</f>
        <v>#REF!</v>
      </c>
      <c r="AT138" s="31" t="e">
        <f>(#REF!/AR138)-1</f>
        <v>#REF!</v>
      </c>
    </row>
    <row r="139" spans="1:46" s="330" customFormat="1" ht="15.75" customHeight="1">
      <c r="A139" s="217" t="s">
        <v>196</v>
      </c>
      <c r="B139" s="392">
        <v>3686174.23</v>
      </c>
      <c r="C139" s="392">
        <v>102.041</v>
      </c>
      <c r="D139" s="392">
        <v>3734808.11</v>
      </c>
      <c r="E139" s="392">
        <v>102.99</v>
      </c>
      <c r="F139" s="25">
        <f t="shared" si="115"/>
        <v>1.3193592316986028E-2</v>
      </c>
      <c r="G139" s="25">
        <f t="shared" si="116"/>
        <v>9.3001832596701136E-3</v>
      </c>
      <c r="H139" s="392">
        <v>3734808.11</v>
      </c>
      <c r="I139" s="392">
        <v>102.99</v>
      </c>
      <c r="J139" s="25">
        <f t="shared" si="117"/>
        <v>0</v>
      </c>
      <c r="K139" s="25">
        <f t="shared" si="118"/>
        <v>0</v>
      </c>
      <c r="L139" s="392">
        <v>3734808.11</v>
      </c>
      <c r="M139" s="392">
        <v>102.99</v>
      </c>
      <c r="N139" s="25">
        <f t="shared" si="119"/>
        <v>0</v>
      </c>
      <c r="O139" s="25">
        <f t="shared" si="120"/>
        <v>0</v>
      </c>
      <c r="P139" s="392">
        <v>3734808.11</v>
      </c>
      <c r="Q139" s="392">
        <v>102.99</v>
      </c>
      <c r="R139" s="25">
        <f t="shared" si="121"/>
        <v>0</v>
      </c>
      <c r="S139" s="25">
        <f t="shared" si="122"/>
        <v>0</v>
      </c>
      <c r="T139" s="392">
        <v>3734808.11</v>
      </c>
      <c r="U139" s="392">
        <v>102.99</v>
      </c>
      <c r="V139" s="25">
        <f t="shared" si="123"/>
        <v>0</v>
      </c>
      <c r="W139" s="25">
        <f t="shared" si="124"/>
        <v>0</v>
      </c>
      <c r="X139" s="392">
        <v>3432190.96652241</v>
      </c>
      <c r="Y139" s="392">
        <v>102.99</v>
      </c>
      <c r="Z139" s="25">
        <f t="shared" si="125"/>
        <v>-8.1026155712612999E-2</v>
      </c>
      <c r="AA139" s="25">
        <f t="shared" si="126"/>
        <v>0</v>
      </c>
      <c r="AB139" s="392">
        <v>3432190.96652241</v>
      </c>
      <c r="AC139" s="392">
        <v>102.99</v>
      </c>
      <c r="AD139" s="25">
        <f t="shared" si="127"/>
        <v>0</v>
      </c>
      <c r="AE139" s="25">
        <f t="shared" si="128"/>
        <v>0</v>
      </c>
      <c r="AF139" s="392">
        <v>3734808.11</v>
      </c>
      <c r="AG139" s="392">
        <v>102.99</v>
      </c>
      <c r="AH139" s="25">
        <f t="shared" si="129"/>
        <v>8.8170252305106958E-2</v>
      </c>
      <c r="AI139" s="25">
        <f t="shared" si="130"/>
        <v>0</v>
      </c>
      <c r="AJ139" s="26">
        <f t="shared" si="131"/>
        <v>2.542211113684998E-3</v>
      </c>
      <c r="AK139" s="26">
        <f t="shared" si="132"/>
        <v>1.1625229074587642E-3</v>
      </c>
      <c r="AL139" s="27">
        <f t="shared" si="133"/>
        <v>0</v>
      </c>
      <c r="AM139" s="27">
        <f t="shared" si="134"/>
        <v>0</v>
      </c>
      <c r="AN139" s="28">
        <f t="shared" si="135"/>
        <v>4.5452643299789527E-2</v>
      </c>
      <c r="AO139" s="85">
        <f t="shared" si="136"/>
        <v>3.2881113245951735E-3</v>
      </c>
      <c r="AP139" s="32"/>
      <c r="AQ139" s="404"/>
      <c r="AR139" s="405"/>
      <c r="AS139" s="31"/>
      <c r="AT139" s="31"/>
    </row>
    <row r="140" spans="1:46" s="330" customFormat="1" ht="15.75" customHeight="1">
      <c r="A140" s="217" t="s">
        <v>256</v>
      </c>
      <c r="B140" s="387">
        <v>162390088.83000001</v>
      </c>
      <c r="C140" s="392">
        <v>104.01</v>
      </c>
      <c r="D140" s="387">
        <v>162789541.87</v>
      </c>
      <c r="E140" s="392">
        <v>104.33</v>
      </c>
      <c r="F140" s="25">
        <f t="shared" si="115"/>
        <v>2.4598363291626979E-3</v>
      </c>
      <c r="G140" s="25">
        <f t="shared" si="116"/>
        <v>3.0766272473799938E-3</v>
      </c>
      <c r="H140" s="387">
        <v>163210370.96000001</v>
      </c>
      <c r="I140" s="392">
        <v>104.66</v>
      </c>
      <c r="J140" s="25">
        <f t="shared" si="117"/>
        <v>2.5851113355676624E-3</v>
      </c>
      <c r="K140" s="25">
        <f t="shared" si="118"/>
        <v>3.1630403527269078E-3</v>
      </c>
      <c r="L140" s="387">
        <v>163559090</v>
      </c>
      <c r="M140" s="392">
        <v>104.95</v>
      </c>
      <c r="N140" s="25">
        <f t="shared" si="119"/>
        <v>2.1366230463715848E-3</v>
      </c>
      <c r="O140" s="25">
        <f t="shared" si="120"/>
        <v>2.7708771259316476E-3</v>
      </c>
      <c r="P140" s="387">
        <v>164282624.05000001</v>
      </c>
      <c r="Q140" s="392">
        <v>105.56</v>
      </c>
      <c r="R140" s="25">
        <f t="shared" si="121"/>
        <v>4.42368595961259E-3</v>
      </c>
      <c r="S140" s="25">
        <f t="shared" si="122"/>
        <v>5.8122915674130486E-3</v>
      </c>
      <c r="T140" s="387">
        <v>164357703.31999999</v>
      </c>
      <c r="U140" s="392">
        <v>105.66</v>
      </c>
      <c r="V140" s="25">
        <f t="shared" si="123"/>
        <v>4.5701284864509031E-4</v>
      </c>
      <c r="W140" s="25">
        <f t="shared" si="124"/>
        <v>9.4732853353537625E-4</v>
      </c>
      <c r="X140" s="387">
        <v>164751448.41999999</v>
      </c>
      <c r="Y140" s="392">
        <v>105.97</v>
      </c>
      <c r="Z140" s="25">
        <f t="shared" si="125"/>
        <v>2.3956595404194896E-3</v>
      </c>
      <c r="AA140" s="25">
        <f t="shared" si="126"/>
        <v>2.9339390497823423E-3</v>
      </c>
      <c r="AB140" s="387">
        <v>165484066.63</v>
      </c>
      <c r="AC140" s="392">
        <v>106.51</v>
      </c>
      <c r="AD140" s="25">
        <f t="shared" si="127"/>
        <v>4.446808917469112E-3</v>
      </c>
      <c r="AE140" s="25">
        <f t="shared" si="128"/>
        <v>5.0957818250448829E-3</v>
      </c>
      <c r="AF140" s="387">
        <v>165720772.75999999</v>
      </c>
      <c r="AG140" s="392">
        <v>106.73</v>
      </c>
      <c r="AH140" s="25">
        <f t="shared" si="129"/>
        <v>1.4303862288400136E-3</v>
      </c>
      <c r="AI140" s="25">
        <f t="shared" si="130"/>
        <v>2.0655337526992662E-3</v>
      </c>
      <c r="AJ140" s="26">
        <f t="shared" si="131"/>
        <v>2.54189052576103E-3</v>
      </c>
      <c r="AK140" s="26">
        <f t="shared" si="132"/>
        <v>3.2331774318141832E-3</v>
      </c>
      <c r="AL140" s="27">
        <f t="shared" si="133"/>
        <v>1.8006260453394478E-2</v>
      </c>
      <c r="AM140" s="27">
        <f t="shared" si="134"/>
        <v>2.300392983801405E-2</v>
      </c>
      <c r="AN140" s="28">
        <f t="shared" si="135"/>
        <v>1.3599501579651943E-3</v>
      </c>
      <c r="AO140" s="85">
        <f t="shared" si="136"/>
        <v>1.5603257054436254E-3</v>
      </c>
      <c r="AP140" s="32"/>
      <c r="AQ140" s="404"/>
      <c r="AR140" s="405"/>
      <c r="AS140" s="31"/>
      <c r="AT140" s="31"/>
    </row>
    <row r="141" spans="1:46">
      <c r="A141" s="217" t="s">
        <v>271</v>
      </c>
      <c r="B141" s="387"/>
      <c r="C141" s="392"/>
      <c r="D141" s="387">
        <v>55313800.840000004</v>
      </c>
      <c r="E141" s="392">
        <v>103.3537</v>
      </c>
      <c r="F141" s="25" t="e">
        <f t="shared" si="115"/>
        <v>#DIV/0!</v>
      </c>
      <c r="G141" s="25" t="e">
        <f t="shared" si="116"/>
        <v>#DIV/0!</v>
      </c>
      <c r="H141" s="387">
        <v>55469485.829999998</v>
      </c>
      <c r="I141" s="392">
        <v>103.6451</v>
      </c>
      <c r="J141" s="25">
        <f t="shared" si="117"/>
        <v>2.8145776937355481E-3</v>
      </c>
      <c r="K141" s="25">
        <f t="shared" si="118"/>
        <v>2.8194442966240772E-3</v>
      </c>
      <c r="L141" s="387">
        <v>55681034.43</v>
      </c>
      <c r="M141" s="392">
        <v>104.0415</v>
      </c>
      <c r="N141" s="25">
        <f t="shared" si="119"/>
        <v>3.8137833231111002E-3</v>
      </c>
      <c r="O141" s="25">
        <f t="shared" si="120"/>
        <v>3.8245898744851408E-3</v>
      </c>
      <c r="P141" s="387">
        <v>55890978.689999998</v>
      </c>
      <c r="Q141" s="392">
        <v>104.41630000000001</v>
      </c>
      <c r="R141" s="25">
        <f t="shared" si="121"/>
        <v>3.7704805980918253E-3</v>
      </c>
      <c r="S141" s="25">
        <f t="shared" si="122"/>
        <v>3.6024086542390064E-3</v>
      </c>
      <c r="T141" s="387">
        <v>56105225.090000004</v>
      </c>
      <c r="U141" s="392">
        <v>104.81780000000001</v>
      </c>
      <c r="V141" s="25">
        <f t="shared" si="123"/>
        <v>3.8332912577596157E-3</v>
      </c>
      <c r="W141" s="25">
        <f t="shared" si="124"/>
        <v>3.8451850908335062E-3</v>
      </c>
      <c r="X141" s="387">
        <v>56110328.299999997</v>
      </c>
      <c r="Y141" s="392">
        <v>104.8262</v>
      </c>
      <c r="Z141" s="25">
        <f t="shared" si="125"/>
        <v>9.0957838451004118E-5</v>
      </c>
      <c r="AA141" s="25">
        <f t="shared" si="126"/>
        <v>8.0139060350385469E-5</v>
      </c>
      <c r="AB141" s="387">
        <v>57023122.920000002</v>
      </c>
      <c r="AC141" s="392">
        <v>106.3028</v>
      </c>
      <c r="AD141" s="25">
        <f t="shared" si="127"/>
        <v>1.6267853845367802E-2</v>
      </c>
      <c r="AE141" s="25">
        <f t="shared" si="128"/>
        <v>1.4086173113210292E-2</v>
      </c>
      <c r="AF141" s="387">
        <v>57116513.280000001</v>
      </c>
      <c r="AG141" s="392">
        <v>106.4761</v>
      </c>
      <c r="AH141" s="25">
        <f t="shared" si="129"/>
        <v>1.6377629848687951E-3</v>
      </c>
      <c r="AI141" s="25">
        <f t="shared" si="130"/>
        <v>1.6302486858295131E-3</v>
      </c>
      <c r="AJ141" s="26" t="e">
        <f t="shared" si="131"/>
        <v>#DIV/0!</v>
      </c>
      <c r="AK141" s="26" t="e">
        <f t="shared" si="132"/>
        <v>#DIV/0!</v>
      </c>
      <c r="AL141" s="27">
        <f t="shared" si="133"/>
        <v>3.2590644877478238E-2</v>
      </c>
      <c r="AM141" s="27">
        <f t="shared" si="134"/>
        <v>3.0210819738432187E-2</v>
      </c>
      <c r="AN141" s="28" t="e">
        <f t="shared" si="135"/>
        <v>#DIV/0!</v>
      </c>
      <c r="AO141" s="85" t="e">
        <f t="shared" si="136"/>
        <v>#DIV/0!</v>
      </c>
    </row>
    <row r="142" spans="1:46">
      <c r="A142" s="219" t="s">
        <v>46</v>
      </c>
      <c r="B142" s="232">
        <f>SUM(B118:B141)</f>
        <v>29870422741.332851</v>
      </c>
      <c r="C142" s="94"/>
      <c r="D142" s="232">
        <f>SUM(D118:D141)</f>
        <v>30095632697.342506</v>
      </c>
      <c r="E142" s="94"/>
      <c r="F142" s="25">
        <f>((D142-B142)/B142)</f>
        <v>7.5395637336602983E-3</v>
      </c>
      <c r="G142" s="25"/>
      <c r="H142" s="232">
        <f>SUM(H118:H141)</f>
        <v>30126566651.346909</v>
      </c>
      <c r="I142" s="94"/>
      <c r="J142" s="25">
        <f>((H142-D142)/D142)</f>
        <v>1.0278552478191854E-3</v>
      </c>
      <c r="K142" s="25"/>
      <c r="L142" s="232">
        <f>SUM(L118:L141)</f>
        <v>30336361937.028297</v>
      </c>
      <c r="M142" s="94"/>
      <c r="N142" s="25">
        <f>((L142-H142)/H142)</f>
        <v>6.9637967083782931E-3</v>
      </c>
      <c r="O142" s="25"/>
      <c r="P142" s="232">
        <f>SUM(P118:P141)</f>
        <v>31041156130.042023</v>
      </c>
      <c r="Q142" s="94"/>
      <c r="R142" s="25">
        <f>((P142-L142)/L142)</f>
        <v>2.3232653753166747E-2</v>
      </c>
      <c r="S142" s="25"/>
      <c r="T142" s="232">
        <f>SUM(T118:T141)</f>
        <v>30761564463.892384</v>
      </c>
      <c r="U142" s="94"/>
      <c r="V142" s="25">
        <f>((T142-P142)/P142)</f>
        <v>-9.0071279877055477E-3</v>
      </c>
      <c r="W142" s="25"/>
      <c r="X142" s="232">
        <f>SUM(X118:X141)</f>
        <v>30652475117.892384</v>
      </c>
      <c r="Y142" s="94"/>
      <c r="Z142" s="25">
        <f>((X142-T142)/T142)</f>
        <v>-3.5462873199459013E-3</v>
      </c>
      <c r="AA142" s="25"/>
      <c r="AB142" s="232">
        <f>SUM(AB118:AB141)</f>
        <v>31150543689.963333</v>
      </c>
      <c r="AC142" s="94"/>
      <c r="AD142" s="25">
        <f>((AB142-X142)/X142)</f>
        <v>1.6248885943315496E-2</v>
      </c>
      <c r="AE142" s="25"/>
      <c r="AF142" s="232">
        <f>SUM(AF118:AF141)</f>
        <v>31179910941.77726</v>
      </c>
      <c r="AG142" s="94"/>
      <c r="AH142" s="25">
        <f>((AF142-AB142)/AB142)</f>
        <v>9.4275246384828871E-4</v>
      </c>
      <c r="AI142" s="25"/>
      <c r="AJ142" s="26">
        <f t="shared" si="131"/>
        <v>5.4252615678171082E-3</v>
      </c>
      <c r="AK142" s="26" t="e">
        <f t="shared" si="132"/>
        <v>#DIV/0!</v>
      </c>
      <c r="AL142" s="27">
        <f t="shared" si="133"/>
        <v>3.6027760417560416E-2</v>
      </c>
      <c r="AM142" s="27"/>
      <c r="AN142" s="28">
        <f t="shared" si="135"/>
        <v>1.0483347700248695E-2</v>
      </c>
      <c r="AO142" s="85"/>
    </row>
    <row r="143" spans="1:46" s="119" customFormat="1" ht="8.25" customHeight="1">
      <c r="A143" s="219"/>
      <c r="B143" s="94"/>
      <c r="C143" s="94"/>
      <c r="D143" s="94"/>
      <c r="E143" s="94"/>
      <c r="F143" s="25"/>
      <c r="G143" s="25"/>
      <c r="H143" s="94"/>
      <c r="I143" s="94"/>
      <c r="J143" s="25"/>
      <c r="K143" s="25"/>
      <c r="L143" s="94"/>
      <c r="M143" s="94"/>
      <c r="N143" s="25"/>
      <c r="O143" s="25"/>
      <c r="P143" s="94"/>
      <c r="Q143" s="94"/>
      <c r="R143" s="25"/>
      <c r="S143" s="25"/>
      <c r="T143" s="94"/>
      <c r="U143" s="94"/>
      <c r="V143" s="25"/>
      <c r="W143" s="25"/>
      <c r="X143" s="94"/>
      <c r="Y143" s="94"/>
      <c r="Z143" s="25"/>
      <c r="AA143" s="25"/>
      <c r="AB143" s="94"/>
      <c r="AC143" s="94"/>
      <c r="AD143" s="25"/>
      <c r="AE143" s="25"/>
      <c r="AF143" s="94"/>
      <c r="AG143" s="94"/>
      <c r="AH143" s="25"/>
      <c r="AI143" s="25"/>
      <c r="AJ143" s="26"/>
      <c r="AK143" s="26"/>
      <c r="AL143" s="27"/>
      <c r="AM143" s="27"/>
      <c r="AN143" s="28"/>
      <c r="AO143" s="85"/>
    </row>
    <row r="144" spans="1:46" s="119" customFormat="1">
      <c r="A144" s="221" t="s">
        <v>71</v>
      </c>
      <c r="B144" s="94"/>
      <c r="C144" s="94"/>
      <c r="D144" s="94"/>
      <c r="E144" s="94"/>
      <c r="F144" s="25"/>
      <c r="G144" s="25"/>
      <c r="H144" s="94"/>
      <c r="I144" s="94"/>
      <c r="J144" s="25"/>
      <c r="K144" s="25"/>
      <c r="L144" s="94"/>
      <c r="M144" s="94"/>
      <c r="N144" s="25"/>
      <c r="O144" s="25"/>
      <c r="P144" s="94"/>
      <c r="Q144" s="94"/>
      <c r="R144" s="25"/>
      <c r="S144" s="25"/>
      <c r="T144" s="94"/>
      <c r="U144" s="94"/>
      <c r="V144" s="25"/>
      <c r="W144" s="25"/>
      <c r="X144" s="94"/>
      <c r="Y144" s="94"/>
      <c r="Z144" s="25"/>
      <c r="AA144" s="25"/>
      <c r="AB144" s="94"/>
      <c r="AC144" s="94"/>
      <c r="AD144" s="25"/>
      <c r="AE144" s="25"/>
      <c r="AF144" s="94"/>
      <c r="AG144" s="94"/>
      <c r="AH144" s="25"/>
      <c r="AI144" s="25"/>
      <c r="AJ144" s="26"/>
      <c r="AK144" s="26"/>
      <c r="AL144" s="27"/>
      <c r="AM144" s="27"/>
      <c r="AN144" s="28"/>
      <c r="AO144" s="85"/>
    </row>
    <row r="145" spans="1:41" s="119" customFormat="1">
      <c r="A145" s="218" t="s">
        <v>205</v>
      </c>
      <c r="B145" s="387">
        <v>579606198.36000001</v>
      </c>
      <c r="C145" s="388">
        <v>15.615</v>
      </c>
      <c r="D145" s="387">
        <v>574921326.77999997</v>
      </c>
      <c r="E145" s="388">
        <v>15.7354</v>
      </c>
      <c r="F145" s="25">
        <f t="shared" ref="F145:G147" si="137">((D145-B145)/B145)</f>
        <v>-8.0828527942867438E-3</v>
      </c>
      <c r="G145" s="25">
        <f t="shared" si="137"/>
        <v>7.7105347422350345E-3</v>
      </c>
      <c r="H145" s="387">
        <v>585260800.14999998</v>
      </c>
      <c r="I145" s="388">
        <v>15.882199999999999</v>
      </c>
      <c r="J145" s="25">
        <f t="shared" ref="J145:K147" si="138">((H145-D145)/D145)</f>
        <v>1.7984153463064208E-2</v>
      </c>
      <c r="K145" s="25">
        <f t="shared" si="138"/>
        <v>9.3292830179085972E-3</v>
      </c>
      <c r="L145" s="387">
        <v>587770816.25999999</v>
      </c>
      <c r="M145" s="388">
        <v>16.073799999999999</v>
      </c>
      <c r="N145" s="25">
        <f t="shared" ref="N145:O147" si="139">((L145-H145)/H145)</f>
        <v>4.2887138679998851E-3</v>
      </c>
      <c r="O145" s="25">
        <f t="shared" si="139"/>
        <v>1.2063819873820965E-2</v>
      </c>
      <c r="P145" s="387">
        <v>596856333.58000004</v>
      </c>
      <c r="Q145" s="388">
        <v>16.161000000000001</v>
      </c>
      <c r="R145" s="25">
        <f t="shared" ref="R145:R147" si="140">((P145-L145)/L145)</f>
        <v>1.5457584944096783E-2</v>
      </c>
      <c r="S145" s="25">
        <f t="shared" ref="S145:S147" si="141">((Q145-M145)/M145)</f>
        <v>5.4249772922397221E-3</v>
      </c>
      <c r="T145" s="387">
        <v>599628904.95000005</v>
      </c>
      <c r="U145" s="388">
        <v>16.449000000000002</v>
      </c>
      <c r="V145" s="25">
        <f t="shared" ref="V145:V147" si="142">((T145-P145)/P145)</f>
        <v>4.6452910256809419E-3</v>
      </c>
      <c r="W145" s="25">
        <f t="shared" ref="W145:W147" si="143">((U145-Q145)/Q145)</f>
        <v>1.7820679413402651E-2</v>
      </c>
      <c r="X145" s="387">
        <v>600439918.73000002</v>
      </c>
      <c r="Y145" s="388">
        <v>16.447800000000001</v>
      </c>
      <c r="Z145" s="25">
        <f t="shared" ref="Z145:Z147" si="144">((X145-T145)/T145)</f>
        <v>1.3525261596046602E-3</v>
      </c>
      <c r="AA145" s="25">
        <f t="shared" ref="AA145:AA147" si="145">((Y145-U145)/U145)</f>
        <v>-7.2952763085947826E-5</v>
      </c>
      <c r="AB145" s="387">
        <v>603188613.46000004</v>
      </c>
      <c r="AC145" s="388">
        <v>16.522099999999998</v>
      </c>
      <c r="AD145" s="25">
        <f t="shared" ref="AD145:AD147" si="146">((AB145-X145)/X145)</f>
        <v>4.5778014490006373E-3</v>
      </c>
      <c r="AE145" s="25">
        <f t="shared" ref="AE145:AE147" si="147">((AC145-Y145)/Y145)</f>
        <v>4.5173214654845853E-3</v>
      </c>
      <c r="AF145" s="387">
        <v>603836308.66999996</v>
      </c>
      <c r="AG145" s="388">
        <v>16.540700000000001</v>
      </c>
      <c r="AH145" s="25">
        <f t="shared" ref="AH145:AH147" si="148">((AF145-AB145)/AB145)</f>
        <v>1.0737855382989094E-3</v>
      </c>
      <c r="AI145" s="25">
        <f t="shared" ref="AI145:AI147" si="149">((AG145-AC145)/AC145)</f>
        <v>1.1257648846092711E-3</v>
      </c>
      <c r="AJ145" s="26">
        <f t="shared" si="131"/>
        <v>5.1621254566824098E-3</v>
      </c>
      <c r="AK145" s="26">
        <f t="shared" si="132"/>
        <v>7.2399284908268597E-3</v>
      </c>
      <c r="AL145" s="27">
        <f t="shared" si="133"/>
        <v>5.0293806375119259E-2</v>
      </c>
      <c r="AM145" s="27">
        <f t="shared" si="134"/>
        <v>5.1177599552601191E-2</v>
      </c>
      <c r="AN145" s="28">
        <f t="shared" si="135"/>
        <v>8.2672270994130423E-3</v>
      </c>
      <c r="AO145" s="85">
        <f t="shared" si="136"/>
        <v>5.8721735626516593E-3</v>
      </c>
    </row>
    <row r="146" spans="1:41">
      <c r="A146" s="218" t="s">
        <v>29</v>
      </c>
      <c r="B146" s="387">
        <v>1736961296.45</v>
      </c>
      <c r="C146" s="388">
        <v>1.4</v>
      </c>
      <c r="D146" s="387">
        <v>1761117722.8800001</v>
      </c>
      <c r="E146" s="388">
        <v>1.41</v>
      </c>
      <c r="F146" s="25">
        <f t="shared" si="137"/>
        <v>1.3907291129267503E-2</v>
      </c>
      <c r="G146" s="25">
        <f t="shared" si="137"/>
        <v>7.1428571428571496E-3</v>
      </c>
      <c r="H146" s="387">
        <v>1799937197.24</v>
      </c>
      <c r="I146" s="388">
        <v>1.44</v>
      </c>
      <c r="J146" s="25">
        <f t="shared" si="138"/>
        <v>2.204252098293431E-2</v>
      </c>
      <c r="K146" s="25">
        <f t="shared" si="138"/>
        <v>2.1276595744680871E-2</v>
      </c>
      <c r="L146" s="387">
        <v>1811638895.3599999</v>
      </c>
      <c r="M146" s="388">
        <v>1.45</v>
      </c>
      <c r="N146" s="25">
        <f t="shared" si="139"/>
        <v>6.5011702285741498E-3</v>
      </c>
      <c r="O146" s="25">
        <f t="shared" si="139"/>
        <v>6.944444444444451E-3</v>
      </c>
      <c r="P146" s="387">
        <v>1848539750.26</v>
      </c>
      <c r="Q146" s="388">
        <v>1.48</v>
      </c>
      <c r="R146" s="25">
        <f t="shared" si="140"/>
        <v>2.0368769402396465E-2</v>
      </c>
      <c r="S146" s="25">
        <f t="shared" si="141"/>
        <v>2.0689655172413814E-2</v>
      </c>
      <c r="T146" s="387">
        <v>1849763903.3499999</v>
      </c>
      <c r="U146" s="388">
        <v>1.48</v>
      </c>
      <c r="V146" s="25">
        <f t="shared" si="142"/>
        <v>6.622270848261365E-4</v>
      </c>
      <c r="W146" s="25">
        <f t="shared" si="143"/>
        <v>0</v>
      </c>
      <c r="X146" s="387">
        <v>1855851229.21</v>
      </c>
      <c r="Y146" s="388">
        <v>1.49</v>
      </c>
      <c r="Z146" s="25">
        <f t="shared" si="144"/>
        <v>3.2908663905570497E-3</v>
      </c>
      <c r="AA146" s="25">
        <f t="shared" si="145"/>
        <v>6.7567567567567632E-3</v>
      </c>
      <c r="AB146" s="387">
        <v>1907133816.53</v>
      </c>
      <c r="AC146" s="388">
        <v>1.53</v>
      </c>
      <c r="AD146" s="25">
        <f t="shared" si="146"/>
        <v>2.7632919337952502E-2</v>
      </c>
      <c r="AE146" s="25">
        <f t="shared" si="147"/>
        <v>2.6845637583892641E-2</v>
      </c>
      <c r="AF146" s="387">
        <v>1919307131.02</v>
      </c>
      <c r="AG146" s="388">
        <v>1.53</v>
      </c>
      <c r="AH146" s="25">
        <f t="shared" si="148"/>
        <v>6.3830416012176658E-3</v>
      </c>
      <c r="AI146" s="25">
        <f t="shared" si="149"/>
        <v>0</v>
      </c>
      <c r="AJ146" s="26">
        <f t="shared" si="131"/>
        <v>1.2598600769715721E-2</v>
      </c>
      <c r="AK146" s="26">
        <f t="shared" si="132"/>
        <v>1.1206993355630711E-2</v>
      </c>
      <c r="AL146" s="27">
        <f t="shared" si="133"/>
        <v>8.9823301466360098E-2</v>
      </c>
      <c r="AM146" s="27">
        <f t="shared" si="134"/>
        <v>8.5106382978723485E-2</v>
      </c>
      <c r="AN146" s="28">
        <f t="shared" si="135"/>
        <v>9.8722506179246151E-3</v>
      </c>
      <c r="AO146" s="85">
        <f t="shared" si="136"/>
        <v>1.0292642955124255E-2</v>
      </c>
    </row>
    <row r="147" spans="1:41">
      <c r="A147" s="218" t="s">
        <v>30</v>
      </c>
      <c r="B147" s="388">
        <v>556660561.27999997</v>
      </c>
      <c r="C147" s="388">
        <v>44.286799999999999</v>
      </c>
      <c r="D147" s="388">
        <v>552018160.54999995</v>
      </c>
      <c r="E147" s="388">
        <v>43.912300000000002</v>
      </c>
      <c r="F147" s="25">
        <f t="shared" si="137"/>
        <v>-8.3397334981396218E-3</v>
      </c>
      <c r="G147" s="25">
        <f t="shared" si="137"/>
        <v>-8.4562442985268212E-3</v>
      </c>
      <c r="H147" s="388">
        <v>564548787.46000004</v>
      </c>
      <c r="I147" s="388">
        <v>44.886200000000002</v>
      </c>
      <c r="J147" s="25">
        <f t="shared" si="138"/>
        <v>2.2699664260167222E-2</v>
      </c>
      <c r="K147" s="25">
        <f t="shared" si="138"/>
        <v>2.2178296286006434E-2</v>
      </c>
      <c r="L147" s="388">
        <v>581417503.13</v>
      </c>
      <c r="M147" s="388">
        <v>46.780200000000001</v>
      </c>
      <c r="N147" s="25">
        <f t="shared" si="139"/>
        <v>2.9879996281446546E-2</v>
      </c>
      <c r="O147" s="25">
        <f t="shared" si="139"/>
        <v>4.2195596864960681E-2</v>
      </c>
      <c r="P147" s="388">
        <v>586637324.90999997</v>
      </c>
      <c r="Q147" s="388">
        <v>47.311700000000002</v>
      </c>
      <c r="R147" s="25">
        <f t="shared" si="140"/>
        <v>8.9777513609404763E-3</v>
      </c>
      <c r="S147" s="25">
        <f t="shared" si="141"/>
        <v>1.1361644456415347E-2</v>
      </c>
      <c r="T147" s="388">
        <v>588149083.70000005</v>
      </c>
      <c r="U147" s="388">
        <v>47.380400000000002</v>
      </c>
      <c r="V147" s="25">
        <f t="shared" si="142"/>
        <v>2.576990460387106E-3</v>
      </c>
      <c r="W147" s="25">
        <f t="shared" si="143"/>
        <v>1.4520721090131989E-3</v>
      </c>
      <c r="X147" s="388">
        <v>590641312.95000005</v>
      </c>
      <c r="Y147" s="388">
        <v>47.583500000000001</v>
      </c>
      <c r="Z147" s="25">
        <f t="shared" si="144"/>
        <v>4.2374107502158804E-3</v>
      </c>
      <c r="AA147" s="25">
        <f t="shared" si="145"/>
        <v>4.2865826375463097E-3</v>
      </c>
      <c r="AB147" s="388">
        <v>539465548.28999996</v>
      </c>
      <c r="AC147" s="388">
        <v>47.719099999999997</v>
      </c>
      <c r="AD147" s="25">
        <f t="shared" si="146"/>
        <v>-8.6644404205996173E-2</v>
      </c>
      <c r="AE147" s="25">
        <f t="shared" si="147"/>
        <v>2.8497273214453879E-3</v>
      </c>
      <c r="AF147" s="388">
        <v>541322257.98000002</v>
      </c>
      <c r="AG147" s="388">
        <v>47.885199999999998</v>
      </c>
      <c r="AH147" s="25">
        <f t="shared" si="148"/>
        <v>3.4417576727289868E-3</v>
      </c>
      <c r="AI147" s="25">
        <f t="shared" si="149"/>
        <v>3.4807865194439991E-3</v>
      </c>
      <c r="AJ147" s="26">
        <f t="shared" si="131"/>
        <v>-2.8963208647811971E-3</v>
      </c>
      <c r="AK147" s="26">
        <f t="shared" si="132"/>
        <v>9.9185577370380675E-3</v>
      </c>
      <c r="AL147" s="27">
        <f t="shared" si="133"/>
        <v>-1.9375997629032957E-2</v>
      </c>
      <c r="AM147" s="27">
        <f t="shared" si="134"/>
        <v>9.0473511977281887E-2</v>
      </c>
      <c r="AN147" s="28">
        <f t="shared" si="135"/>
        <v>3.5926165790801531E-2</v>
      </c>
      <c r="AO147" s="85">
        <f t="shared" si="136"/>
        <v>1.5705495295713211E-2</v>
      </c>
    </row>
    <row r="148" spans="1:41">
      <c r="A148" s="219" t="s">
        <v>46</v>
      </c>
      <c r="B148" s="232">
        <f>SUM(B145:B147)</f>
        <v>2873228056.0900002</v>
      </c>
      <c r="C148" s="94"/>
      <c r="D148" s="232">
        <f>SUM(D145:D147)</f>
        <v>2888057210.21</v>
      </c>
      <c r="E148" s="94"/>
      <c r="F148" s="25">
        <f>((D148-B148)/B148)</f>
        <v>5.1611476118536767E-3</v>
      </c>
      <c r="G148" s="25"/>
      <c r="H148" s="232">
        <f>SUM(H145:H147)</f>
        <v>2949746784.8499999</v>
      </c>
      <c r="I148" s="94"/>
      <c r="J148" s="25">
        <f>((H148-D148)/D148)</f>
        <v>2.1360232900481294E-2</v>
      </c>
      <c r="K148" s="25"/>
      <c r="L148" s="232">
        <f>SUM(L145:L147)</f>
        <v>2980827214.75</v>
      </c>
      <c r="M148" s="94"/>
      <c r="N148" s="25">
        <f>((L148-H148)/H148)</f>
        <v>1.0536643368722442E-2</v>
      </c>
      <c r="O148" s="25"/>
      <c r="P148" s="232">
        <f>SUM(P145:P147)</f>
        <v>3032033408.75</v>
      </c>
      <c r="Q148" s="94"/>
      <c r="R148" s="25">
        <f>((P148-L148)/L148)</f>
        <v>1.717851801225407E-2</v>
      </c>
      <c r="S148" s="25"/>
      <c r="T148" s="232">
        <f>SUM(T145:T147)</f>
        <v>3037541892</v>
      </c>
      <c r="U148" s="94"/>
      <c r="V148" s="25">
        <f>((T148-P148)/P148)</f>
        <v>1.816762056151272E-3</v>
      </c>
      <c r="W148" s="25"/>
      <c r="X148" s="232">
        <f>SUM(X145:X147)</f>
        <v>3046932460.8900003</v>
      </c>
      <c r="Y148" s="94"/>
      <c r="Z148" s="25">
        <f>((X148-T148)/T148)</f>
        <v>3.0915026767967761E-3</v>
      </c>
      <c r="AA148" s="25"/>
      <c r="AB148" s="232">
        <f>SUM(AB145:AB147)</f>
        <v>3049787978.2799997</v>
      </c>
      <c r="AC148" s="94"/>
      <c r="AD148" s="25">
        <f>((AB148-X148)/X148)</f>
        <v>9.3717777687966908E-4</v>
      </c>
      <c r="AE148" s="25"/>
      <c r="AF148" s="232">
        <f>SUM(AF145:AF147)</f>
        <v>3064465697.6700001</v>
      </c>
      <c r="AG148" s="94"/>
      <c r="AH148" s="25">
        <f>((AF148-AB148)/AB148)</f>
        <v>4.8127015695950742E-3</v>
      </c>
      <c r="AI148" s="25"/>
      <c r="AJ148" s="26">
        <f t="shared" si="131"/>
        <v>8.1118357465917827E-3</v>
      </c>
      <c r="AK148" s="26"/>
      <c r="AL148" s="27">
        <f t="shared" si="133"/>
        <v>6.1082061268160542E-2</v>
      </c>
      <c r="AM148" s="27"/>
      <c r="AN148" s="28">
        <f t="shared" si="135"/>
        <v>7.5545890228241406E-3</v>
      </c>
      <c r="AO148" s="85"/>
    </row>
    <row r="149" spans="1:41" ht="8.25" customHeight="1">
      <c r="A149" s="219"/>
      <c r="B149" s="94"/>
      <c r="C149" s="94"/>
      <c r="D149" s="94"/>
      <c r="E149" s="94"/>
      <c r="F149" s="25"/>
      <c r="G149" s="25"/>
      <c r="H149" s="94"/>
      <c r="I149" s="94"/>
      <c r="J149" s="25"/>
      <c r="K149" s="25"/>
      <c r="L149" s="94"/>
      <c r="M149" s="94"/>
      <c r="N149" s="25"/>
      <c r="O149" s="25"/>
      <c r="P149" s="94"/>
      <c r="Q149" s="94"/>
      <c r="R149" s="25"/>
      <c r="S149" s="25"/>
      <c r="T149" s="94"/>
      <c r="U149" s="94"/>
      <c r="V149" s="25"/>
      <c r="W149" s="25"/>
      <c r="X149" s="94"/>
      <c r="Y149" s="94"/>
      <c r="Z149" s="25"/>
      <c r="AA149" s="25"/>
      <c r="AB149" s="94"/>
      <c r="AC149" s="94"/>
      <c r="AD149" s="25"/>
      <c r="AE149" s="25"/>
      <c r="AF149" s="94"/>
      <c r="AG149" s="94"/>
      <c r="AH149" s="25"/>
      <c r="AI149" s="25"/>
      <c r="AJ149" s="26"/>
      <c r="AK149" s="26"/>
      <c r="AL149" s="27"/>
      <c r="AM149" s="27"/>
      <c r="AN149" s="28"/>
      <c r="AO149" s="85"/>
    </row>
    <row r="150" spans="1:41">
      <c r="A150" s="222" t="s">
        <v>214</v>
      </c>
      <c r="B150" s="94"/>
      <c r="C150" s="94"/>
      <c r="D150" s="94"/>
      <c r="E150" s="94"/>
      <c r="F150" s="25"/>
      <c r="G150" s="25"/>
      <c r="H150" s="94"/>
      <c r="I150" s="94"/>
      <c r="J150" s="25"/>
      <c r="K150" s="25"/>
      <c r="L150" s="94"/>
      <c r="M150" s="94"/>
      <c r="N150" s="25"/>
      <c r="O150" s="25"/>
      <c r="P150" s="94"/>
      <c r="Q150" s="94"/>
      <c r="R150" s="25"/>
      <c r="S150" s="25"/>
      <c r="T150" s="94"/>
      <c r="U150" s="94"/>
      <c r="V150" s="25"/>
      <c r="W150" s="25"/>
      <c r="X150" s="94"/>
      <c r="Y150" s="94"/>
      <c r="Z150" s="25"/>
      <c r="AA150" s="25"/>
      <c r="AB150" s="94"/>
      <c r="AC150" s="94"/>
      <c r="AD150" s="25"/>
      <c r="AE150" s="25"/>
      <c r="AF150" s="94"/>
      <c r="AG150" s="94"/>
      <c r="AH150" s="25"/>
      <c r="AI150" s="25"/>
      <c r="AJ150" s="26"/>
      <c r="AK150" s="26"/>
      <c r="AL150" s="27"/>
      <c r="AM150" s="27"/>
      <c r="AN150" s="28"/>
      <c r="AO150" s="85"/>
    </row>
    <row r="151" spans="1:41">
      <c r="A151" s="223" t="s">
        <v>215</v>
      </c>
      <c r="B151" s="94"/>
      <c r="C151" s="94"/>
      <c r="D151" s="94"/>
      <c r="E151" s="94"/>
      <c r="F151" s="25"/>
      <c r="G151" s="25"/>
      <c r="H151" s="94"/>
      <c r="I151" s="94"/>
      <c r="J151" s="25"/>
      <c r="K151" s="25"/>
      <c r="L151" s="94"/>
      <c r="M151" s="94"/>
      <c r="N151" s="25"/>
      <c r="O151" s="25"/>
      <c r="P151" s="94"/>
      <c r="Q151" s="94"/>
      <c r="R151" s="25"/>
      <c r="S151" s="25"/>
      <c r="T151" s="94"/>
      <c r="U151" s="94"/>
      <c r="V151" s="25"/>
      <c r="W151" s="25"/>
      <c r="X151" s="94"/>
      <c r="Y151" s="94"/>
      <c r="Z151" s="25"/>
      <c r="AA151" s="25"/>
      <c r="AB151" s="94"/>
      <c r="AC151" s="94"/>
      <c r="AD151" s="25"/>
      <c r="AE151" s="25"/>
      <c r="AF151" s="94"/>
      <c r="AG151" s="94"/>
      <c r="AH151" s="25"/>
      <c r="AI151" s="25"/>
      <c r="AJ151" s="26"/>
      <c r="AK151" s="26"/>
      <c r="AL151" s="27"/>
      <c r="AM151" s="27"/>
      <c r="AN151" s="28"/>
      <c r="AO151" s="85"/>
    </row>
    <row r="152" spans="1:41">
      <c r="A152" s="218" t="s">
        <v>28</v>
      </c>
      <c r="B152" s="378">
        <v>3463289246.5599999</v>
      </c>
      <c r="C152" s="380">
        <v>1.73</v>
      </c>
      <c r="D152" s="378">
        <v>3454548650.4899998</v>
      </c>
      <c r="E152" s="380">
        <v>1.72</v>
      </c>
      <c r="F152" s="25">
        <f>((D145-B152)/B152)</f>
        <v>-0.83399557881252473</v>
      </c>
      <c r="G152" s="25">
        <f>((E152-C152)/C152)</f>
        <v>-5.7803468208092535E-3</v>
      </c>
      <c r="H152" s="378">
        <v>3497327251.5100002</v>
      </c>
      <c r="I152" s="380">
        <v>1.74</v>
      </c>
      <c r="J152" s="25">
        <f>((H145-D152)/D152)</f>
        <v>-0.83058255669174452</v>
      </c>
      <c r="K152" s="25">
        <f>((I152-E152)/E152)</f>
        <v>1.1627906976744196E-2</v>
      </c>
      <c r="L152" s="378">
        <v>3559610061.0500002</v>
      </c>
      <c r="M152" s="380">
        <v>1.74</v>
      </c>
      <c r="N152" s="25">
        <f>((L145-H152)/H152)</f>
        <v>-0.83193714113935857</v>
      </c>
      <c r="O152" s="25">
        <f>((M152-I152)/I152)</f>
        <v>0</v>
      </c>
      <c r="P152" s="378">
        <v>3608696215.3299999</v>
      </c>
      <c r="Q152" s="380">
        <v>1.8</v>
      </c>
      <c r="R152" s="25">
        <f>((P145-L152)/L152)</f>
        <v>-0.83232536054695228</v>
      </c>
      <c r="S152" s="25">
        <f>((Q152-M152)/M152)</f>
        <v>3.4482758620689689E-2</v>
      </c>
      <c r="T152" s="378">
        <v>3610106502.4699998</v>
      </c>
      <c r="U152" s="380">
        <v>1.8</v>
      </c>
      <c r="V152" s="25">
        <f>((T145-P152)/P152)</f>
        <v>-0.83383779925760082</v>
      </c>
      <c r="W152" s="25">
        <f>((U152-Q152)/Q152)</f>
        <v>0</v>
      </c>
      <c r="X152" s="378">
        <v>3621726018.6799998</v>
      </c>
      <c r="Y152" s="380">
        <v>1.8</v>
      </c>
      <c r="Z152" s="25">
        <f>((X145-T152)/T152)</f>
        <v>-0.83367805954777652</v>
      </c>
      <c r="AA152" s="25">
        <f>((Y152-U152)/U152)</f>
        <v>0</v>
      </c>
      <c r="AB152" s="378">
        <v>3655398927.79</v>
      </c>
      <c r="AC152" s="380">
        <v>1.82</v>
      </c>
      <c r="AD152" s="25">
        <f>((AB145-X152)/X152)</f>
        <v>-0.83345272106479151</v>
      </c>
      <c r="AE152" s="25">
        <f>((AC152-Y152)/Y152)</f>
        <v>1.111111111111112E-2</v>
      </c>
      <c r="AF152" s="378">
        <v>3670464321.6900001</v>
      </c>
      <c r="AG152" s="380">
        <v>1.83</v>
      </c>
      <c r="AH152" s="25">
        <f>((AF145-AB152)/AB152)</f>
        <v>-0.83480973743266085</v>
      </c>
      <c r="AI152" s="25">
        <f>((AG152-AC152)/AC152)</f>
        <v>5.4945054945054993E-3</v>
      </c>
      <c r="AJ152" s="26">
        <f t="shared" si="131"/>
        <v>-0.83307736931167609</v>
      </c>
      <c r="AK152" s="26">
        <f t="shared" si="132"/>
        <v>7.1169919227801557E-3</v>
      </c>
      <c r="AL152" s="27">
        <f t="shared" si="133"/>
        <v>6.2501846997978852E-2</v>
      </c>
      <c r="AM152" s="27">
        <f t="shared" si="134"/>
        <v>6.3953488372093081E-2</v>
      </c>
      <c r="AN152" s="28">
        <f t="shared" si="135"/>
        <v>1.3634990109883292E-3</v>
      </c>
      <c r="AO152" s="85">
        <f t="shared" si="136"/>
        <v>1.2570458911060766E-2</v>
      </c>
    </row>
    <row r="153" spans="1:41">
      <c r="A153" s="217" t="s">
        <v>70</v>
      </c>
      <c r="B153" s="378">
        <v>287042549.93000001</v>
      </c>
      <c r="C153" s="380">
        <v>258.49</v>
      </c>
      <c r="D153" s="378">
        <v>289562971.23000002</v>
      </c>
      <c r="E153" s="380">
        <v>258.95999999999998</v>
      </c>
      <c r="F153" s="25">
        <f>((D146-B153)/B153)</f>
        <v>5.1353890679604026</v>
      </c>
      <c r="G153" s="25">
        <f>((E153-C153)/C153)</f>
        <v>1.8182521567564332E-3</v>
      </c>
      <c r="H153" s="378">
        <v>295560826.66000003</v>
      </c>
      <c r="I153" s="380">
        <v>265.49</v>
      </c>
      <c r="J153" s="25">
        <f>((H146-D153)/D153)</f>
        <v>5.2160475477726358</v>
      </c>
      <c r="K153" s="25">
        <f>((I153-E153)/E153)</f>
        <v>2.5216249613840093E-2</v>
      </c>
      <c r="L153" s="378">
        <v>295462572.35000002</v>
      </c>
      <c r="M153" s="380">
        <v>264.92</v>
      </c>
      <c r="N153" s="25">
        <f>((L146-H153)/H153)</f>
        <v>5.1294959681650516</v>
      </c>
      <c r="O153" s="25">
        <f>((M153-I153)/I153)</f>
        <v>-2.1469735206598862E-3</v>
      </c>
      <c r="P153" s="378">
        <v>301197849.95999998</v>
      </c>
      <c r="Q153" s="380">
        <v>271.89999999999998</v>
      </c>
      <c r="R153" s="25">
        <f>((P146-L153)/L153)</f>
        <v>5.2564261035074544</v>
      </c>
      <c r="S153" s="25">
        <f>((Q153-M153)/M153)</f>
        <v>2.6347576626906087E-2</v>
      </c>
      <c r="T153" s="378">
        <v>302252505.66000003</v>
      </c>
      <c r="U153" s="380">
        <v>272.76</v>
      </c>
      <c r="V153" s="25">
        <f>((T146-P153)/P153)</f>
        <v>5.1413582586849618</v>
      </c>
      <c r="W153" s="25">
        <f>((U153-Q153)/Q153)</f>
        <v>3.1629275468922904E-3</v>
      </c>
      <c r="X153" s="378">
        <v>307237826.99000001</v>
      </c>
      <c r="Y153" s="380">
        <v>274.3</v>
      </c>
      <c r="Z153" s="25">
        <f>((X146-T153)/T153)</f>
        <v>5.140068963721423</v>
      </c>
      <c r="AA153" s="25">
        <f>((Y153-U153)/U153)</f>
        <v>5.6459891479689857E-3</v>
      </c>
      <c r="AB153" s="378">
        <v>311533840.92000002</v>
      </c>
      <c r="AC153" s="380">
        <v>277.17</v>
      </c>
      <c r="AD153" s="25">
        <f>((AB146-X153)/X153)</f>
        <v>5.2073535515276035</v>
      </c>
      <c r="AE153" s="25">
        <f>((AC153-Y153)/Y153)</f>
        <v>1.0462996718920906E-2</v>
      </c>
      <c r="AF153" s="378">
        <v>313287527.64999998</v>
      </c>
      <c r="AG153" s="380">
        <v>278.39999999999998</v>
      </c>
      <c r="AH153" s="25">
        <f>((AF146-AB153)/AB153)</f>
        <v>5.1608303141387015</v>
      </c>
      <c r="AI153" s="25">
        <f>((AG153-AC153)/AC153)</f>
        <v>4.4377097088428089E-3</v>
      </c>
      <c r="AJ153" s="26">
        <f t="shared" si="131"/>
        <v>5.1733712219347785</v>
      </c>
      <c r="AK153" s="26">
        <f t="shared" si="132"/>
        <v>9.3680909999334649E-3</v>
      </c>
      <c r="AL153" s="27">
        <f t="shared" si="133"/>
        <v>8.1932286850156438E-2</v>
      </c>
      <c r="AM153" s="27">
        <f t="shared" si="134"/>
        <v>7.5069508804448556E-2</v>
      </c>
      <c r="AN153" s="28">
        <f t="shared" si="135"/>
        <v>4.7106274021028453E-2</v>
      </c>
      <c r="AO153" s="85">
        <f t="shared" si="136"/>
        <v>1.0736648951564041E-2</v>
      </c>
    </row>
    <row r="154" spans="1:41" ht="8.25" customHeight="1">
      <c r="A154" s="219"/>
      <c r="B154" s="94"/>
      <c r="C154" s="94"/>
      <c r="D154" s="94"/>
      <c r="E154" s="94"/>
      <c r="F154" s="25"/>
      <c r="G154" s="25"/>
      <c r="H154" s="94"/>
      <c r="I154" s="94"/>
      <c r="J154" s="25"/>
      <c r="K154" s="25"/>
      <c r="L154" s="94"/>
      <c r="M154" s="94"/>
      <c r="N154" s="25"/>
      <c r="O154" s="25"/>
      <c r="P154" s="94"/>
      <c r="Q154" s="94"/>
      <c r="R154" s="25"/>
      <c r="S154" s="25"/>
      <c r="T154" s="94"/>
      <c r="U154" s="94"/>
      <c r="V154" s="25"/>
      <c r="W154" s="25"/>
      <c r="X154" s="94"/>
      <c r="Y154" s="94"/>
      <c r="Z154" s="25"/>
      <c r="AA154" s="25"/>
      <c r="AB154" s="94"/>
      <c r="AC154" s="94"/>
      <c r="AD154" s="25"/>
      <c r="AE154" s="25"/>
      <c r="AF154" s="94"/>
      <c r="AG154" s="94"/>
      <c r="AH154" s="25"/>
      <c r="AI154" s="25"/>
      <c r="AJ154" s="26"/>
      <c r="AK154" s="26"/>
      <c r="AL154" s="27"/>
      <c r="AM154" s="27"/>
      <c r="AN154" s="28"/>
      <c r="AO154" s="85"/>
    </row>
    <row r="155" spans="1:41">
      <c r="A155" s="223" t="s">
        <v>216</v>
      </c>
      <c r="B155" s="94"/>
      <c r="C155" s="94"/>
      <c r="D155" s="94"/>
      <c r="E155" s="94"/>
      <c r="F155" s="25"/>
      <c r="G155" s="25"/>
      <c r="H155" s="94"/>
      <c r="I155" s="94"/>
      <c r="J155" s="25"/>
      <c r="K155" s="25"/>
      <c r="L155" s="94"/>
      <c r="M155" s="94"/>
      <c r="N155" s="25"/>
      <c r="O155" s="25"/>
      <c r="P155" s="94"/>
      <c r="Q155" s="94"/>
      <c r="R155" s="25"/>
      <c r="S155" s="25"/>
      <c r="T155" s="94"/>
      <c r="U155" s="94"/>
      <c r="V155" s="25"/>
      <c r="W155" s="25"/>
      <c r="X155" s="94"/>
      <c r="Y155" s="94"/>
      <c r="Z155" s="25"/>
      <c r="AA155" s="25"/>
      <c r="AB155" s="94"/>
      <c r="AC155" s="94"/>
      <c r="AD155" s="25"/>
      <c r="AE155" s="25"/>
      <c r="AF155" s="94"/>
      <c r="AG155" s="94"/>
      <c r="AH155" s="25"/>
      <c r="AI155" s="25"/>
      <c r="AJ155" s="26"/>
      <c r="AK155" s="26"/>
      <c r="AL155" s="27"/>
      <c r="AM155" s="27"/>
      <c r="AN155" s="28"/>
      <c r="AO155" s="85"/>
    </row>
    <row r="156" spans="1:41">
      <c r="A156" s="217" t="s">
        <v>140</v>
      </c>
      <c r="B156" s="393">
        <v>9027716586.2600002</v>
      </c>
      <c r="C156" s="394">
        <v>120.68</v>
      </c>
      <c r="D156" s="393">
        <v>8841100329.3799992</v>
      </c>
      <c r="E156" s="394">
        <v>120.84</v>
      </c>
      <c r="F156" s="25">
        <f>((D156-B156)/B156)</f>
        <v>-2.0671479337757145E-2</v>
      </c>
      <c r="G156" s="25">
        <f>((E156-C156)/C156)</f>
        <v>1.3258203513423648E-3</v>
      </c>
      <c r="H156" s="393">
        <v>8847054980.7399998</v>
      </c>
      <c r="I156" s="394">
        <v>120.99</v>
      </c>
      <c r="J156" s="25">
        <f>((H156-D156)/D156)</f>
        <v>6.7351926096943099E-4</v>
      </c>
      <c r="K156" s="25">
        <f t="shared" ref="K156:K162" si="150">((I156-E156)/E156)</f>
        <v>1.2413108242303166E-3</v>
      </c>
      <c r="L156" s="393">
        <v>8886649368.2099991</v>
      </c>
      <c r="M156" s="394">
        <v>121.12</v>
      </c>
      <c r="N156" s="25">
        <f>((L156-H156)/H156)</f>
        <v>4.475431378712591E-3</v>
      </c>
      <c r="O156" s="25">
        <f t="shared" ref="O156:O162" si="151">((M156-I156)/I156)</f>
        <v>1.0744689643773012E-3</v>
      </c>
      <c r="P156" s="393">
        <v>8669102212.5300007</v>
      </c>
      <c r="Q156" s="394">
        <v>121.23</v>
      </c>
      <c r="R156" s="25">
        <f>((P156-L156)/L156)</f>
        <v>-2.4480222710060409E-2</v>
      </c>
      <c r="S156" s="25">
        <f t="shared" ref="S156:S162" si="152">((Q156-M156)/M156)</f>
        <v>9.0819022457066894E-4</v>
      </c>
      <c r="T156" s="393">
        <v>8591273301.0900002</v>
      </c>
      <c r="U156" s="394">
        <v>121.39</v>
      </c>
      <c r="V156" s="25">
        <f>((T156-P156)/P156)</f>
        <v>-8.9777360483199158E-3</v>
      </c>
      <c r="W156" s="25">
        <f t="shared" ref="W156:W162" si="153">((U156-Q156)/Q156)</f>
        <v>1.3198053287139864E-3</v>
      </c>
      <c r="X156" s="393">
        <v>8587337090.29</v>
      </c>
      <c r="Y156" s="394">
        <v>121.55</v>
      </c>
      <c r="Z156" s="25">
        <f>((X156-T156)/T156)</f>
        <v>-4.5816384394392298E-4</v>
      </c>
      <c r="AA156" s="25">
        <f t="shared" ref="AA156:AA162" si="154">((Y156-U156)/U156)</f>
        <v>1.3180657385286809E-3</v>
      </c>
      <c r="AB156" s="393">
        <v>8548497294.0100002</v>
      </c>
      <c r="AC156" s="394">
        <v>121.7</v>
      </c>
      <c r="AD156" s="25">
        <f>((AB156-X156)/X156)</f>
        <v>-4.5229150633806191E-3</v>
      </c>
      <c r="AE156" s="25">
        <f t="shared" ref="AE156:AE162" si="155">((AC156-Y156)/Y156)</f>
        <v>1.2340600575895162E-3</v>
      </c>
      <c r="AF156" s="393">
        <v>8487547879.2299995</v>
      </c>
      <c r="AG156" s="394">
        <v>121.87</v>
      </c>
      <c r="AH156" s="25">
        <f>((AF156-AB156)/AB156)</f>
        <v>-7.1298396295578666E-3</v>
      </c>
      <c r="AI156" s="25">
        <f t="shared" ref="AI156:AI162" si="156">((AG156-AC156)/AC156)</f>
        <v>1.3968775677896607E-3</v>
      </c>
      <c r="AJ156" s="26">
        <f t="shared" si="131"/>
        <v>-7.6364257491672322E-3</v>
      </c>
      <c r="AK156" s="26">
        <f t="shared" si="132"/>
        <v>1.227324882142812E-3</v>
      </c>
      <c r="AL156" s="27">
        <f t="shared" si="133"/>
        <v>-3.9989643480812444E-2</v>
      </c>
      <c r="AM156" s="27">
        <f t="shared" si="134"/>
        <v>8.5236676597153348E-3</v>
      </c>
      <c r="AN156" s="28">
        <f t="shared" si="135"/>
        <v>1.0230595031295343E-2</v>
      </c>
      <c r="AO156" s="85">
        <f t="shared" si="136"/>
        <v>1.6066328458813769E-4</v>
      </c>
    </row>
    <row r="157" spans="1:41">
      <c r="A157" s="217" t="s">
        <v>202</v>
      </c>
      <c r="B157" s="393">
        <v>7063174979.1899996</v>
      </c>
      <c r="C157" s="393">
        <v>122.29</v>
      </c>
      <c r="D157" s="393">
        <v>7077799426.8599997</v>
      </c>
      <c r="E157" s="393">
        <v>122.57</v>
      </c>
      <c r="F157" s="25">
        <f>((D152-B157)/B157)</f>
        <v>-0.51090711179207327</v>
      </c>
      <c r="G157" s="25">
        <f t="shared" ref="G157:G162" si="157">((E157-C157)/C157)</f>
        <v>2.28963938179726E-3</v>
      </c>
      <c r="H157" s="393">
        <v>7096083923.6400003</v>
      </c>
      <c r="I157" s="393">
        <v>122.85</v>
      </c>
      <c r="J157" s="25">
        <f>((H152-D157)/D157)</f>
        <v>-0.50587364227392961</v>
      </c>
      <c r="K157" s="25">
        <f t="shared" si="150"/>
        <v>2.2844089091947554E-3</v>
      </c>
      <c r="L157" s="393">
        <v>7107002458.3400002</v>
      </c>
      <c r="M157" s="393">
        <v>123.14</v>
      </c>
      <c r="N157" s="25">
        <f>((L152-H157)/H157)</f>
        <v>-0.49836979109118734</v>
      </c>
      <c r="O157" s="25">
        <f t="shared" si="151"/>
        <v>2.3606023606024115E-3</v>
      </c>
      <c r="P157" s="393">
        <v>7129484820.75</v>
      </c>
      <c r="Q157" s="393">
        <v>123.42</v>
      </c>
      <c r="R157" s="25">
        <f>((P152-L157)/L157)</f>
        <v>-0.49223371787423137</v>
      </c>
      <c r="S157" s="25">
        <f t="shared" si="152"/>
        <v>2.2738346597368942E-3</v>
      </c>
      <c r="T157" s="393">
        <v>7144225849.4399996</v>
      </c>
      <c r="U157" s="393">
        <v>123.73</v>
      </c>
      <c r="V157" s="25">
        <f>((T152-P157)/P157)</f>
        <v>-0.49363711498999618</v>
      </c>
      <c r="W157" s="25">
        <f t="shared" si="153"/>
        <v>2.5117485010533324E-3</v>
      </c>
      <c r="X157" s="393">
        <v>7575814955.4200001</v>
      </c>
      <c r="Y157" s="393">
        <v>124.04</v>
      </c>
      <c r="Z157" s="25">
        <f>((X152-T157)/T157)</f>
        <v>-0.49305549754367173</v>
      </c>
      <c r="AA157" s="25">
        <f t="shared" si="154"/>
        <v>2.5054554271397582E-3</v>
      </c>
      <c r="AB157" s="393">
        <v>7529804652.3900003</v>
      </c>
      <c r="AC157" s="393">
        <v>124.36</v>
      </c>
      <c r="AD157" s="25">
        <f>((AB152-X157)/X157)</f>
        <v>-0.51749099611061633</v>
      </c>
      <c r="AE157" s="25">
        <f t="shared" si="155"/>
        <v>2.5798129635600867E-3</v>
      </c>
      <c r="AF157" s="393">
        <v>8141366291.6800003</v>
      </c>
      <c r="AG157" s="393">
        <v>124.67</v>
      </c>
      <c r="AH157" s="25">
        <f>((AF152-AB157)/AB157)</f>
        <v>-0.51254189303238096</v>
      </c>
      <c r="AI157" s="25">
        <f t="shared" si="156"/>
        <v>2.4927629462849973E-3</v>
      </c>
      <c r="AJ157" s="26">
        <f t="shared" si="131"/>
        <v>-0.50301372058851079</v>
      </c>
      <c r="AK157" s="26">
        <f t="shared" si="132"/>
        <v>2.4122831436711868E-3</v>
      </c>
      <c r="AL157" s="27">
        <f t="shared" si="133"/>
        <v>0.15026801420563032</v>
      </c>
      <c r="AM157" s="27">
        <f t="shared" si="134"/>
        <v>1.7133066818960666E-2</v>
      </c>
      <c r="AN157" s="28">
        <f t="shared" si="135"/>
        <v>9.9694091518514136E-3</v>
      </c>
      <c r="AO157" s="85">
        <f t="shared" si="136"/>
        <v>1.2325923269881166E-4</v>
      </c>
    </row>
    <row r="158" spans="1:41">
      <c r="A158" s="217" t="s">
        <v>176</v>
      </c>
      <c r="B158" s="393">
        <v>2197559000.52</v>
      </c>
      <c r="C158" s="394">
        <v>1.1001000000000001</v>
      </c>
      <c r="D158" s="393">
        <v>2199242850.0300002</v>
      </c>
      <c r="E158" s="394">
        <v>1.1015999999999999</v>
      </c>
      <c r="F158" s="25">
        <f>((D153-B158)/B158)</f>
        <v>-0.86823426758440536</v>
      </c>
      <c r="G158" s="25">
        <f t="shared" si="157"/>
        <v>1.3635124079627622E-3</v>
      </c>
      <c r="H158" s="393">
        <v>2204444021.77</v>
      </c>
      <c r="I158" s="394">
        <v>1.1035999999999999</v>
      </c>
      <c r="J158" s="25">
        <f>((H153-D158)/D158)</f>
        <v>-0.86560791744487509</v>
      </c>
      <c r="K158" s="25">
        <f t="shared" si="150"/>
        <v>1.8155410312273076E-3</v>
      </c>
      <c r="L158" s="393">
        <v>2206389274.3000002</v>
      </c>
      <c r="M158" s="394">
        <v>1.1053999999999999</v>
      </c>
      <c r="N158" s="25">
        <f>((L153-H158)/H158)</f>
        <v>-0.86596957353774584</v>
      </c>
      <c r="O158" s="25">
        <f t="shared" si="151"/>
        <v>1.6310257339616019E-3</v>
      </c>
      <c r="P158" s="393">
        <v>2203261878.9200001</v>
      </c>
      <c r="Q158" s="394">
        <v>1.1074999999999999</v>
      </c>
      <c r="R158" s="25">
        <f>((P153-L158)/L158)</f>
        <v>-0.86348834565670274</v>
      </c>
      <c r="S158" s="25">
        <f t="shared" si="152"/>
        <v>1.8997647910258648E-3</v>
      </c>
      <c r="T158" s="393">
        <v>2207140082.98</v>
      </c>
      <c r="U158" s="394">
        <v>1.1094999999999999</v>
      </c>
      <c r="V158" s="25">
        <f>((T153-P158)/P158)</f>
        <v>-0.86281589648881918</v>
      </c>
      <c r="W158" s="25">
        <f t="shared" si="153"/>
        <v>1.8058690744921009E-3</v>
      </c>
      <c r="X158" s="393">
        <v>2211081913.5500002</v>
      </c>
      <c r="Y158" s="394">
        <v>1.1094999999999999</v>
      </c>
      <c r="Z158" s="25">
        <f>((X153-T158)/T158)</f>
        <v>-0.86079822057547939</v>
      </c>
      <c r="AA158" s="25">
        <f t="shared" si="154"/>
        <v>0</v>
      </c>
      <c r="AB158" s="393">
        <v>2215642157.8800001</v>
      </c>
      <c r="AC158" s="394">
        <v>1.1136999999999999</v>
      </c>
      <c r="AD158" s="25">
        <f>((AB153-X158)/X158)</f>
        <v>-0.85910343754754104</v>
      </c>
      <c r="AE158" s="25">
        <f t="shared" si="155"/>
        <v>3.7854889589905199E-3</v>
      </c>
      <c r="AF158" s="393">
        <v>2229913614.5100002</v>
      </c>
      <c r="AG158" s="394">
        <v>1.1157999999999999</v>
      </c>
      <c r="AH158" s="25">
        <f>((AF153-AB158)/AB158)</f>
        <v>-0.85860192877456165</v>
      </c>
      <c r="AI158" s="25">
        <f t="shared" si="156"/>
        <v>1.8856065367693193E-3</v>
      </c>
      <c r="AJ158" s="26">
        <f t="shared" si="131"/>
        <v>-0.86307744845126622</v>
      </c>
      <c r="AK158" s="26">
        <f t="shared" si="132"/>
        <v>1.7733510668036846E-3</v>
      </c>
      <c r="AL158" s="27">
        <f t="shared" si="133"/>
        <v>1.3946056243666603E-2</v>
      </c>
      <c r="AM158" s="27">
        <f t="shared" si="134"/>
        <v>1.2890341321713863E-2</v>
      </c>
      <c r="AN158" s="28">
        <f t="shared" si="135"/>
        <v>3.435437362614343E-3</v>
      </c>
      <c r="AO158" s="85">
        <f t="shared" si="136"/>
        <v>1.0290853264697873E-3</v>
      </c>
    </row>
    <row r="159" spans="1:41" s="314" customFormat="1">
      <c r="A159" s="217" t="s">
        <v>189</v>
      </c>
      <c r="B159" s="393">
        <v>318956090.85000002</v>
      </c>
      <c r="C159" s="394">
        <v>102.31</v>
      </c>
      <c r="D159" s="393">
        <v>320822861.08000004</v>
      </c>
      <c r="E159" s="394">
        <v>102.72</v>
      </c>
      <c r="F159" s="25">
        <f t="shared" ref="F159:F164" si="158">((D159-B159)/B159)</f>
        <v>5.852749903678533E-3</v>
      </c>
      <c r="G159" s="25">
        <f t="shared" si="157"/>
        <v>4.0074284038705563E-3</v>
      </c>
      <c r="H159" s="393">
        <v>322184155.94</v>
      </c>
      <c r="I159" s="394">
        <v>103.69</v>
      </c>
      <c r="J159" s="25">
        <f t="shared" ref="J159:J164" si="159">((H159-D159)/D159)</f>
        <v>4.2431354655256426E-3</v>
      </c>
      <c r="K159" s="25">
        <f t="shared" si="150"/>
        <v>9.4431464174454718E-3</v>
      </c>
      <c r="L159" s="393">
        <v>325009298.95999992</v>
      </c>
      <c r="M159" s="394">
        <v>103.96380191382531</v>
      </c>
      <c r="N159" s="25">
        <f t="shared" ref="N159:N164" si="160">((L159-H159)/H159)</f>
        <v>8.7687211425941276E-3</v>
      </c>
      <c r="O159" s="25">
        <f t="shared" si="151"/>
        <v>2.6405816744653234E-3</v>
      </c>
      <c r="P159" s="393">
        <v>323057452.64000005</v>
      </c>
      <c r="Q159" s="394">
        <v>100.94844608150626</v>
      </c>
      <c r="R159" s="25">
        <f t="shared" ref="R159:R164" si="161">((P159-L159)/L159)</f>
        <v>-6.0055091538783771E-3</v>
      </c>
      <c r="S159" s="25">
        <f t="shared" si="152"/>
        <v>-2.9003901134920476E-2</v>
      </c>
      <c r="T159" s="393">
        <v>338978948.46000004</v>
      </c>
      <c r="U159" s="394">
        <v>101.16868345876789</v>
      </c>
      <c r="V159" s="25">
        <f t="shared" ref="V159:V164" si="162">((T159-P159)/P159)</f>
        <v>4.9283790514321163E-2</v>
      </c>
      <c r="W159" s="25">
        <f t="shared" si="153"/>
        <v>2.1816816980402532E-3</v>
      </c>
      <c r="X159" s="393">
        <v>338450268.92000002</v>
      </c>
      <c r="Y159" s="394">
        <v>101.32164828667599</v>
      </c>
      <c r="Z159" s="25">
        <f t="shared" ref="Z159:Z164" si="163">((X159-T159)/T159)</f>
        <v>-1.5596235176309372E-3</v>
      </c>
      <c r="AA159" s="25">
        <f t="shared" si="154"/>
        <v>1.5119780418062802E-3</v>
      </c>
      <c r="AB159" s="393">
        <v>339471323</v>
      </c>
      <c r="AC159" s="394">
        <v>101.48</v>
      </c>
      <c r="AD159" s="25">
        <f t="shared" ref="AD159:AD164" si="164">((AB159-X159)/X159)</f>
        <v>3.0168511411090984E-3</v>
      </c>
      <c r="AE159" s="25">
        <f t="shared" si="155"/>
        <v>1.5628615996847429E-3</v>
      </c>
      <c r="AF159" s="393">
        <v>359488079.36000001</v>
      </c>
      <c r="AG159" s="394">
        <v>101.63</v>
      </c>
      <c r="AH159" s="25">
        <f t="shared" ref="AH159:AH164" si="165">((AF159-AB159)/AB159)</f>
        <v>5.8964498630124387E-2</v>
      </c>
      <c r="AI159" s="25">
        <f t="shared" si="156"/>
        <v>1.4781237682301091E-3</v>
      </c>
      <c r="AJ159" s="26">
        <f t="shared" si="131"/>
        <v>1.5320576765730455E-2</v>
      </c>
      <c r="AK159" s="26">
        <f t="shared" si="132"/>
        <v>-7.7226244142221726E-4</v>
      </c>
      <c r="AL159" s="27">
        <f t="shared" si="133"/>
        <v>0.12051889989958806</v>
      </c>
      <c r="AM159" s="27">
        <f t="shared" si="134"/>
        <v>-1.0611370716510938E-2</v>
      </c>
      <c r="AN159" s="28">
        <f t="shared" si="135"/>
        <v>2.4508578188335781E-2</v>
      </c>
      <c r="AO159" s="85">
        <f t="shared" si="136"/>
        <v>1.1712835047528099E-2</v>
      </c>
    </row>
    <row r="160" spans="1:41" s="330" customFormat="1">
      <c r="A160" s="217" t="s">
        <v>249</v>
      </c>
      <c r="B160" s="393">
        <v>475332960.52999997</v>
      </c>
      <c r="C160" s="393">
        <v>1019.25</v>
      </c>
      <c r="D160" s="393">
        <v>474407970.60000002</v>
      </c>
      <c r="E160" s="393">
        <v>1017.22</v>
      </c>
      <c r="F160" s="25">
        <f t="shared" si="158"/>
        <v>-1.9459831461478634E-3</v>
      </c>
      <c r="G160" s="25">
        <f t="shared" si="157"/>
        <v>-1.9916605347068657E-3</v>
      </c>
      <c r="H160" s="393">
        <v>474725453.47000003</v>
      </c>
      <c r="I160" s="393">
        <v>1017.91</v>
      </c>
      <c r="J160" s="25">
        <f t="shared" si="159"/>
        <v>6.6921908921233617E-4</v>
      </c>
      <c r="K160" s="25">
        <f t="shared" si="150"/>
        <v>6.7831934094880254E-4</v>
      </c>
      <c r="L160" s="393">
        <v>475042830.83999997</v>
      </c>
      <c r="M160" s="393">
        <v>1018.59</v>
      </c>
      <c r="N160" s="25">
        <f t="shared" si="160"/>
        <v>6.6854930082235753E-4</v>
      </c>
      <c r="O160" s="25">
        <f t="shared" si="151"/>
        <v>6.6803548447314962E-4</v>
      </c>
      <c r="P160" s="393">
        <v>1283931018.8599999</v>
      </c>
      <c r="Q160" s="393">
        <v>1019.27</v>
      </c>
      <c r="R160" s="25">
        <f t="shared" si="161"/>
        <v>1.702768962094795</v>
      </c>
      <c r="S160" s="25">
        <f t="shared" si="152"/>
        <v>6.6758951099063404E-4</v>
      </c>
      <c r="T160" s="393">
        <v>476212055.06</v>
      </c>
      <c r="U160" s="393">
        <v>1023.93</v>
      </c>
      <c r="V160" s="25">
        <f t="shared" si="162"/>
        <v>-0.62909841100121733</v>
      </c>
      <c r="W160" s="25">
        <f t="shared" si="153"/>
        <v>4.5718994966985867E-3</v>
      </c>
      <c r="X160" s="393">
        <v>471519498.49000001</v>
      </c>
      <c r="Y160" s="393">
        <v>1013.84</v>
      </c>
      <c r="Z160" s="25">
        <f t="shared" si="163"/>
        <v>-9.8539222603442021E-3</v>
      </c>
      <c r="AA160" s="25">
        <f t="shared" si="154"/>
        <v>-9.854189251218266E-3</v>
      </c>
      <c r="AB160" s="393">
        <v>472284192.94999999</v>
      </c>
      <c r="AC160" s="393">
        <v>1010.85</v>
      </c>
      <c r="AD160" s="25">
        <f t="shared" si="164"/>
        <v>1.6217663584408401E-3</v>
      </c>
      <c r="AE160" s="25">
        <f t="shared" si="155"/>
        <v>-2.9491833030853083E-3</v>
      </c>
      <c r="AF160" s="393">
        <v>498886405.76999998</v>
      </c>
      <c r="AG160" s="393">
        <v>1045.94</v>
      </c>
      <c r="AH160" s="25">
        <f t="shared" si="165"/>
        <v>5.6326705862917437E-2</v>
      </c>
      <c r="AI160" s="25">
        <f t="shared" si="156"/>
        <v>3.4713360043527756E-2</v>
      </c>
      <c r="AJ160" s="26">
        <f t="shared" si="131"/>
        <v>0.14014461078730978</v>
      </c>
      <c r="AK160" s="26">
        <f t="shared" si="132"/>
        <v>3.3130213484535613E-3</v>
      </c>
      <c r="AL160" s="27">
        <f t="shared" si="133"/>
        <v>5.1597858145261008E-2</v>
      </c>
      <c r="AM160" s="27">
        <f t="shared" si="134"/>
        <v>2.8233813727610572E-2</v>
      </c>
      <c r="AN160" s="28">
        <f t="shared" si="135"/>
        <v>0.66989764281055797</v>
      </c>
      <c r="AO160" s="85">
        <f t="shared" si="136"/>
        <v>1.3358957673243429E-2</v>
      </c>
    </row>
    <row r="161" spans="1:41" s="330" customFormat="1">
      <c r="A161" s="217" t="s">
        <v>252</v>
      </c>
      <c r="B161" s="393">
        <v>49511866.82</v>
      </c>
      <c r="C161" s="393">
        <v>101.72</v>
      </c>
      <c r="D161" s="393">
        <v>50786895.060000002</v>
      </c>
      <c r="E161" s="393">
        <v>101.92</v>
      </c>
      <c r="F161" s="25">
        <f t="shared" si="158"/>
        <v>2.5751972645979136E-2</v>
      </c>
      <c r="G161" s="25">
        <f t="shared" si="157"/>
        <v>1.9661816751868153E-3</v>
      </c>
      <c r="H161" s="393">
        <v>48522379.939999998</v>
      </c>
      <c r="I161" s="393">
        <v>102.51</v>
      </c>
      <c r="J161" s="25">
        <f t="shared" si="159"/>
        <v>-4.4588571861396337E-2</v>
      </c>
      <c r="K161" s="25">
        <f t="shared" si="150"/>
        <v>5.788854003139751E-3</v>
      </c>
      <c r="L161" s="393">
        <v>49219891.07</v>
      </c>
      <c r="M161" s="393">
        <v>102.58</v>
      </c>
      <c r="N161" s="25">
        <f t="shared" si="160"/>
        <v>1.4375039535622636E-2</v>
      </c>
      <c r="O161" s="25">
        <f t="shared" si="151"/>
        <v>6.8286020876005436E-4</v>
      </c>
      <c r="P161" s="393">
        <v>53115044.75</v>
      </c>
      <c r="Q161" s="393">
        <v>103.42</v>
      </c>
      <c r="R161" s="25">
        <f t="shared" si="161"/>
        <v>7.9137795621293722E-2</v>
      </c>
      <c r="S161" s="25">
        <f t="shared" si="152"/>
        <v>8.188730746734289E-3</v>
      </c>
      <c r="T161" s="393">
        <v>53910224.93</v>
      </c>
      <c r="U161" s="393">
        <v>103.65</v>
      </c>
      <c r="V161" s="25">
        <f t="shared" si="162"/>
        <v>1.4970902947417732E-2</v>
      </c>
      <c r="W161" s="25">
        <f t="shared" si="153"/>
        <v>2.223941210597602E-3</v>
      </c>
      <c r="X161" s="393">
        <v>54230733.600000001</v>
      </c>
      <c r="Y161" s="393">
        <v>103.79</v>
      </c>
      <c r="Z161" s="25">
        <f t="shared" si="163"/>
        <v>5.9452296928118528E-3</v>
      </c>
      <c r="AA161" s="25">
        <f t="shared" si="154"/>
        <v>1.350699469368071E-3</v>
      </c>
      <c r="AB161" s="393">
        <v>54381270.920000002</v>
      </c>
      <c r="AC161" s="393">
        <v>103.87</v>
      </c>
      <c r="AD161" s="25">
        <f t="shared" si="164"/>
        <v>2.775867298981187E-3</v>
      </c>
      <c r="AE161" s="25">
        <f t="shared" si="155"/>
        <v>7.7078716639366305E-4</v>
      </c>
      <c r="AF161" s="393">
        <v>54515641.07</v>
      </c>
      <c r="AG161" s="393">
        <v>104.03</v>
      </c>
      <c r="AH161" s="25">
        <f t="shared" si="165"/>
        <v>2.4708902114051311E-3</v>
      </c>
      <c r="AI161" s="25">
        <f t="shared" si="156"/>
        <v>1.5403870222393046E-3</v>
      </c>
      <c r="AJ161" s="26">
        <f t="shared" si="131"/>
        <v>1.2604890761514385E-2</v>
      </c>
      <c r="AK161" s="26">
        <f t="shared" si="132"/>
        <v>2.8140551878024444E-3</v>
      </c>
      <c r="AL161" s="27">
        <f t="shared" si="133"/>
        <v>7.3419452116433401E-2</v>
      </c>
      <c r="AM161" s="27">
        <f t="shared" si="134"/>
        <v>2.0702511773940339E-2</v>
      </c>
      <c r="AN161" s="28">
        <f t="shared" si="135"/>
        <v>3.4064970598692533E-2</v>
      </c>
      <c r="AO161" s="85">
        <f t="shared" si="136"/>
        <v>2.7067182595389258E-3</v>
      </c>
    </row>
    <row r="162" spans="1:41">
      <c r="A162" s="217" t="s">
        <v>257</v>
      </c>
      <c r="B162" s="387">
        <v>50944985.340000004</v>
      </c>
      <c r="C162" s="388">
        <v>99.72</v>
      </c>
      <c r="D162" s="387">
        <v>50989219.140000001</v>
      </c>
      <c r="E162" s="388">
        <v>99.92</v>
      </c>
      <c r="F162" s="25">
        <f t="shared" si="158"/>
        <v>8.6826602667144893E-4</v>
      </c>
      <c r="G162" s="25">
        <f t="shared" si="157"/>
        <v>2.0056157240273048E-3</v>
      </c>
      <c r="H162" s="387">
        <v>51033560.57</v>
      </c>
      <c r="I162" s="388">
        <v>100.13</v>
      </c>
      <c r="J162" s="25">
        <f t="shared" si="159"/>
        <v>8.6962363314983099E-4</v>
      </c>
      <c r="K162" s="25">
        <f t="shared" si="150"/>
        <v>2.1016813450759984E-3</v>
      </c>
      <c r="L162" s="387">
        <v>51078217.990000002</v>
      </c>
      <c r="M162" s="388">
        <v>100.33</v>
      </c>
      <c r="N162" s="25">
        <f t="shared" si="160"/>
        <v>8.7505985279525225E-4</v>
      </c>
      <c r="O162" s="25">
        <f t="shared" si="151"/>
        <v>1.9974033756117331E-3</v>
      </c>
      <c r="P162" s="387">
        <v>51122843.700000003</v>
      </c>
      <c r="Q162" s="388">
        <v>100.62</v>
      </c>
      <c r="R162" s="25">
        <f t="shared" si="161"/>
        <v>8.7367397994851019E-4</v>
      </c>
      <c r="S162" s="25">
        <f t="shared" si="152"/>
        <v>2.8904614771255483E-3</v>
      </c>
      <c r="T162" s="387">
        <v>51167951.359999999</v>
      </c>
      <c r="U162" s="388">
        <v>100.74</v>
      </c>
      <c r="V162" s="25">
        <f t="shared" si="162"/>
        <v>8.8233863250444388E-4</v>
      </c>
      <c r="W162" s="25">
        <f t="shared" si="153"/>
        <v>1.1926058437685383E-3</v>
      </c>
      <c r="X162" s="387">
        <v>51213412.340000004</v>
      </c>
      <c r="Y162" s="388">
        <v>100.95</v>
      </c>
      <c r="Z162" s="25">
        <f t="shared" si="163"/>
        <v>8.8846590085572212E-4</v>
      </c>
      <c r="AA162" s="25">
        <f t="shared" si="154"/>
        <v>2.0845741512806031E-3</v>
      </c>
      <c r="AB162" s="387">
        <v>51258841.340000004</v>
      </c>
      <c r="AC162" s="388">
        <v>101.15</v>
      </c>
      <c r="AD162" s="25">
        <f t="shared" si="164"/>
        <v>8.8705278411057729E-4</v>
      </c>
      <c r="AE162" s="25">
        <f t="shared" si="155"/>
        <v>1.9811788013868533E-3</v>
      </c>
      <c r="AF162" s="387">
        <v>51304238.359999999</v>
      </c>
      <c r="AG162" s="388">
        <v>101.36</v>
      </c>
      <c r="AH162" s="25">
        <f t="shared" si="165"/>
        <v>8.8564272646892849E-4</v>
      </c>
      <c r="AI162" s="25">
        <f t="shared" si="156"/>
        <v>2.0761245674739866E-3</v>
      </c>
      <c r="AJ162" s="26">
        <f t="shared" si="131"/>
        <v>8.7876544206308925E-4</v>
      </c>
      <c r="AK162" s="26">
        <f t="shared" si="132"/>
        <v>2.0412056607188207E-3</v>
      </c>
      <c r="AL162" s="27">
        <f t="shared" si="133"/>
        <v>6.1781534472033651E-3</v>
      </c>
      <c r="AM162" s="27">
        <f t="shared" si="134"/>
        <v>1.4411529223378679E-2</v>
      </c>
      <c r="AN162" s="28">
        <f t="shared" si="135"/>
        <v>8.0738417284061212E-6</v>
      </c>
      <c r="AO162" s="85">
        <f t="shared" si="136"/>
        <v>4.558983381452697E-4</v>
      </c>
    </row>
    <row r="163" spans="1:41">
      <c r="A163" s="219" t="s">
        <v>46</v>
      </c>
      <c r="B163" s="82">
        <f>SUM(B152:B162)</f>
        <v>22933528265.999996</v>
      </c>
      <c r="C163" s="94"/>
      <c r="D163" s="82">
        <f>SUM(D152:D162)</f>
        <v>22759261173.869999</v>
      </c>
      <c r="E163" s="94"/>
      <c r="F163" s="25">
        <f t="shared" si="158"/>
        <v>-7.5987911719783731E-3</v>
      </c>
      <c r="G163" s="25"/>
      <c r="H163" s="82">
        <f>SUM(H152:H162)</f>
        <v>22836936554.239998</v>
      </c>
      <c r="I163" s="94"/>
      <c r="J163" s="25">
        <f t="shared" si="159"/>
        <v>3.4129130896032051E-3</v>
      </c>
      <c r="K163" s="25"/>
      <c r="L163" s="82">
        <f>SUM(L152:L162)</f>
        <v>22955463973.109997</v>
      </c>
      <c r="M163" s="94"/>
      <c r="N163" s="25">
        <f t="shared" si="160"/>
        <v>5.1901628131463479E-3</v>
      </c>
      <c r="O163" s="25"/>
      <c r="P163" s="82">
        <f>SUM(P152:P162)</f>
        <v>23622969337.439999</v>
      </c>
      <c r="Q163" s="94"/>
      <c r="R163" s="25">
        <f t="shared" si="161"/>
        <v>2.9078278056671684E-2</v>
      </c>
      <c r="S163" s="25"/>
      <c r="T163" s="82">
        <f>SUM(T152:T162)</f>
        <v>22775267421.450001</v>
      </c>
      <c r="U163" s="94"/>
      <c r="V163" s="25">
        <f t="shared" si="162"/>
        <v>-3.5884647009488208E-2</v>
      </c>
      <c r="W163" s="25"/>
      <c r="X163" s="82">
        <f>SUM(X152:X162)</f>
        <v>23218611718.279995</v>
      </c>
      <c r="Y163" s="94"/>
      <c r="Z163" s="25">
        <f t="shared" si="163"/>
        <v>1.9466041325707888E-2</v>
      </c>
      <c r="AA163" s="25"/>
      <c r="AB163" s="82">
        <f>SUM(AB152:AB162)</f>
        <v>23178272501.200001</v>
      </c>
      <c r="AC163" s="94"/>
      <c r="AD163" s="25">
        <f t="shared" si="164"/>
        <v>-1.7373655914248813E-3</v>
      </c>
      <c r="AE163" s="25"/>
      <c r="AF163" s="82">
        <f>SUM(AF152:AF162)</f>
        <v>23806773999.320004</v>
      </c>
      <c r="AG163" s="94"/>
      <c r="AH163" s="25">
        <f t="shared" si="165"/>
        <v>2.7115976744490494E-2</v>
      </c>
      <c r="AI163" s="25"/>
      <c r="AJ163" s="26">
        <f t="shared" si="131"/>
        <v>4.8803210320910199E-3</v>
      </c>
      <c r="AK163" s="26"/>
      <c r="AL163" s="27">
        <f t="shared" si="133"/>
        <v>4.6025783413947474E-2</v>
      </c>
      <c r="AM163" s="27"/>
      <c r="AN163" s="28">
        <f t="shared" si="135"/>
        <v>2.1234280473820755E-2</v>
      </c>
      <c r="AO163" s="85"/>
    </row>
    <row r="164" spans="1:41">
      <c r="A164" s="219" t="s">
        <v>32</v>
      </c>
      <c r="B164" s="331">
        <f>SUM(B21,B53,B86,B109,B116,B142,B148,B163)</f>
        <v>1370337763856.9602</v>
      </c>
      <c r="C164" s="94"/>
      <c r="D164" s="331">
        <f>SUM(D21,D53,D86,D109,D116,D142,D148,D163)</f>
        <v>1383047379166.9146</v>
      </c>
      <c r="E164" s="94"/>
      <c r="F164" s="25">
        <f t="shared" si="158"/>
        <v>9.2748048292720132E-3</v>
      </c>
      <c r="G164" s="25"/>
      <c r="H164" s="331">
        <f>SUM(H21,H53,H86,H109,H116,H142,H148,H163)</f>
        <v>1410877526772.1309</v>
      </c>
      <c r="I164" s="94"/>
      <c r="J164" s="25">
        <f t="shared" si="159"/>
        <v>2.0122338557902433E-2</v>
      </c>
      <c r="K164" s="25"/>
      <c r="L164" s="331">
        <f>SUM(L21,L53,L86,L109,L116,L142,L148,L163)</f>
        <v>1422950870882.5374</v>
      </c>
      <c r="M164" s="94"/>
      <c r="N164" s="25">
        <f t="shared" si="160"/>
        <v>8.5573296627868434E-3</v>
      </c>
      <c r="O164" s="25"/>
      <c r="P164" s="331">
        <f>SUM(P21,P53,P86,P109,P116,P142,P148,P163)</f>
        <v>1437907234781.4109</v>
      </c>
      <c r="Q164" s="94"/>
      <c r="R164" s="25">
        <f t="shared" si="161"/>
        <v>1.0510808352502961E-2</v>
      </c>
      <c r="S164" s="25"/>
      <c r="T164" s="331">
        <f>SUM(T21,T53,T86,T109,T116,T142,T148,T163)</f>
        <v>1449213690676.6555</v>
      </c>
      <c r="U164" s="94"/>
      <c r="V164" s="25">
        <f t="shared" si="162"/>
        <v>7.8631330462451045E-3</v>
      </c>
      <c r="W164" s="25"/>
      <c r="X164" s="331">
        <f>SUM(X21,X53,X86,X109,X116,X142,X148,X163)</f>
        <v>1469823604527.4382</v>
      </c>
      <c r="Y164" s="94"/>
      <c r="Z164" s="25">
        <f t="shared" si="163"/>
        <v>1.4221445728379571E-2</v>
      </c>
      <c r="AA164" s="25"/>
      <c r="AB164" s="331">
        <f>SUM(AB21,AB53,AB86,AB109,AB116,AB142,AB148,AB163)</f>
        <v>1490921997071.4626</v>
      </c>
      <c r="AC164" s="94"/>
      <c r="AD164" s="25">
        <f t="shared" si="164"/>
        <v>1.4354370469378699E-2</v>
      </c>
      <c r="AE164" s="25"/>
      <c r="AF164" s="331">
        <f>SUM(AF21,AF53,AF86,AF109,AF116,AF142,AF148,AF163)</f>
        <v>1512850065818.8408</v>
      </c>
      <c r="AG164" s="94"/>
      <c r="AH164" s="25">
        <f t="shared" si="165"/>
        <v>1.4707723670621462E-2</v>
      </c>
      <c r="AI164" s="25"/>
      <c r="AJ164" s="26">
        <f t="shared" si="131"/>
        <v>1.2451494289636135E-2</v>
      </c>
      <c r="AK164" s="26"/>
      <c r="AL164" s="27">
        <f t="shared" si="133"/>
        <v>9.3852668106072804E-2</v>
      </c>
      <c r="AM164" s="27"/>
      <c r="AN164" s="28">
        <f t="shared" si="135"/>
        <v>4.1535059808997373E-3</v>
      </c>
      <c r="AO164" s="85"/>
    </row>
    <row r="165" spans="1:41" s="119" customFormat="1" ht="6" customHeight="1">
      <c r="A165" s="219"/>
      <c r="B165" s="94"/>
      <c r="C165" s="94"/>
      <c r="D165" s="94"/>
      <c r="E165" s="94"/>
      <c r="F165" s="25"/>
      <c r="G165" s="25"/>
      <c r="H165" s="94"/>
      <c r="I165" s="94"/>
      <c r="J165" s="25"/>
      <c r="K165" s="25"/>
      <c r="L165" s="94"/>
      <c r="M165" s="94"/>
      <c r="N165" s="25"/>
      <c r="O165" s="25"/>
      <c r="P165" s="94"/>
      <c r="Q165" s="94"/>
      <c r="R165" s="25"/>
      <c r="S165" s="25"/>
      <c r="T165" s="94"/>
      <c r="U165" s="94"/>
      <c r="V165" s="25"/>
      <c r="W165" s="25"/>
      <c r="X165" s="94"/>
      <c r="Y165" s="94"/>
      <c r="Z165" s="25"/>
      <c r="AA165" s="25"/>
      <c r="AB165" s="94"/>
      <c r="AC165" s="94"/>
      <c r="AD165" s="25"/>
      <c r="AE165" s="25"/>
      <c r="AF165" s="94"/>
      <c r="AG165" s="94"/>
      <c r="AH165" s="25"/>
      <c r="AI165" s="25"/>
      <c r="AJ165" s="26"/>
      <c r="AK165" s="26"/>
      <c r="AL165" s="27"/>
      <c r="AM165" s="27"/>
      <c r="AN165" s="28"/>
      <c r="AO165" s="85"/>
    </row>
    <row r="166" spans="1:41" s="119" customFormat="1">
      <c r="A166" s="223" t="s">
        <v>217</v>
      </c>
      <c r="B166" s="94"/>
      <c r="C166" s="94"/>
      <c r="D166" s="94"/>
      <c r="E166" s="94"/>
      <c r="F166" s="25"/>
      <c r="G166" s="25"/>
      <c r="H166" s="94"/>
      <c r="I166" s="94"/>
      <c r="J166" s="25"/>
      <c r="K166" s="25"/>
      <c r="L166" s="94"/>
      <c r="M166" s="94"/>
      <c r="N166" s="25"/>
      <c r="O166" s="25"/>
      <c r="P166" s="94"/>
      <c r="Q166" s="94"/>
      <c r="R166" s="25"/>
      <c r="S166" s="25"/>
      <c r="T166" s="94"/>
      <c r="U166" s="94"/>
      <c r="V166" s="25"/>
      <c r="W166" s="25"/>
      <c r="X166" s="94"/>
      <c r="Y166" s="94"/>
      <c r="Z166" s="25"/>
      <c r="AA166" s="25"/>
      <c r="AB166" s="94"/>
      <c r="AC166" s="94"/>
      <c r="AD166" s="25"/>
      <c r="AE166" s="25"/>
      <c r="AF166" s="94"/>
      <c r="AG166" s="94"/>
      <c r="AH166" s="25"/>
      <c r="AI166" s="25"/>
      <c r="AJ166" s="26"/>
      <c r="AK166" s="26"/>
      <c r="AL166" s="27"/>
      <c r="AM166" s="27"/>
      <c r="AN166" s="28"/>
      <c r="AO166" s="85"/>
    </row>
    <row r="167" spans="1:41" s="119" customFormat="1">
      <c r="A167" s="224" t="s">
        <v>126</v>
      </c>
      <c r="B167" s="393">
        <v>90849121065</v>
      </c>
      <c r="C167" s="394">
        <v>107.59</v>
      </c>
      <c r="D167" s="393">
        <v>90849121065</v>
      </c>
      <c r="E167" s="394">
        <v>107.59</v>
      </c>
      <c r="F167" s="25">
        <f>((D167-B167)/B167)</f>
        <v>0</v>
      </c>
      <c r="G167" s="25">
        <f>((E167-C167)/C167)</f>
        <v>0</v>
      </c>
      <c r="H167" s="393">
        <v>90849121065</v>
      </c>
      <c r="I167" s="394">
        <v>107.59</v>
      </c>
      <c r="J167" s="25">
        <f t="shared" ref="J167:K170" si="166">((H167-D167)/D167)</f>
        <v>0</v>
      </c>
      <c r="K167" s="25">
        <f t="shared" si="166"/>
        <v>0</v>
      </c>
      <c r="L167" s="393">
        <v>90849121065</v>
      </c>
      <c r="M167" s="394">
        <v>107.59</v>
      </c>
      <c r="N167" s="25">
        <f t="shared" ref="N167:O170" si="167">((L167-H167)/H167)</f>
        <v>0</v>
      </c>
      <c r="O167" s="25">
        <f t="shared" si="167"/>
        <v>0</v>
      </c>
      <c r="P167" s="393">
        <v>90849121065</v>
      </c>
      <c r="Q167" s="394">
        <v>107.59</v>
      </c>
      <c r="R167" s="25">
        <f t="shared" ref="R167:R170" si="168">((P167-L167)/L167)</f>
        <v>0</v>
      </c>
      <c r="S167" s="25">
        <f t="shared" ref="S167:S170" si="169">((Q167-M167)/M167)</f>
        <v>0</v>
      </c>
      <c r="T167" s="393">
        <v>91117290437</v>
      </c>
      <c r="U167" s="394">
        <v>107.59</v>
      </c>
      <c r="V167" s="25">
        <f t="shared" ref="V167:V170" si="170">((T167-P167)/P167)</f>
        <v>2.9518103076432885E-3</v>
      </c>
      <c r="W167" s="25">
        <f t="shared" ref="W167:W170" si="171">((U167-Q167)/Q167)</f>
        <v>0</v>
      </c>
      <c r="X167" s="393">
        <v>91117290437</v>
      </c>
      <c r="Y167" s="394">
        <v>107.59</v>
      </c>
      <c r="Z167" s="25">
        <f t="shared" ref="Z167:Z170" si="172">((X167-T167)/T167)</f>
        <v>0</v>
      </c>
      <c r="AA167" s="25">
        <f t="shared" ref="AA167:AA170" si="173">((Y167-U167)/U167)</f>
        <v>0</v>
      </c>
      <c r="AB167" s="393">
        <v>91117290437</v>
      </c>
      <c r="AC167" s="394">
        <v>107.59</v>
      </c>
      <c r="AD167" s="25">
        <f t="shared" ref="AD167:AD168" si="174">((AB167-X167)/X167)</f>
        <v>0</v>
      </c>
      <c r="AE167" s="25">
        <f t="shared" ref="AE167:AE168" si="175">((AC167-Y167)/Y167)</f>
        <v>0</v>
      </c>
      <c r="AF167" s="393">
        <v>91117290437</v>
      </c>
      <c r="AG167" s="394">
        <v>107.59</v>
      </c>
      <c r="AH167" s="25">
        <f t="shared" ref="AH167:AH168" si="176">((AF167-AB167)/AB167)</f>
        <v>0</v>
      </c>
      <c r="AI167" s="25">
        <f t="shared" ref="AI167:AI168" si="177">((AG167-AC167)/AC167)</f>
        <v>0</v>
      </c>
      <c r="AJ167" s="26">
        <f t="shared" si="131"/>
        <v>3.6897628845541106E-4</v>
      </c>
      <c r="AK167" s="26">
        <f t="shared" si="132"/>
        <v>0</v>
      </c>
      <c r="AL167" s="27">
        <f t="shared" si="133"/>
        <v>2.9518103076432885E-3</v>
      </c>
      <c r="AM167" s="27">
        <f t="shared" si="134"/>
        <v>0</v>
      </c>
      <c r="AN167" s="28">
        <f t="shared" si="135"/>
        <v>1.0436225426554591E-3</v>
      </c>
      <c r="AO167" s="85">
        <f t="shared" si="136"/>
        <v>0</v>
      </c>
    </row>
    <row r="168" spans="1:41" s="330" customFormat="1">
      <c r="A168" s="224" t="s">
        <v>218</v>
      </c>
      <c r="B168" s="393">
        <v>7095735367.2700005</v>
      </c>
      <c r="C168" s="395">
        <v>105.2</v>
      </c>
      <c r="D168" s="393">
        <v>7112935899.8199997</v>
      </c>
      <c r="E168" s="395">
        <v>105.45</v>
      </c>
      <c r="F168" s="25">
        <f>((D168-B168)/B168)</f>
        <v>2.4240662397499945E-3</v>
      </c>
      <c r="G168" s="25">
        <f>((E168-C168)/C168)</f>
        <v>2.3764258555133079E-3</v>
      </c>
      <c r="H168" s="393">
        <v>7130146059.6700001</v>
      </c>
      <c r="I168" s="395">
        <v>105.71</v>
      </c>
      <c r="J168" s="25">
        <f t="shared" si="166"/>
        <v>2.4195578439608744E-3</v>
      </c>
      <c r="K168" s="25">
        <f t="shared" si="166"/>
        <v>2.4656235182550111E-3</v>
      </c>
      <c r="L168" s="393">
        <v>7147409059.1400003</v>
      </c>
      <c r="M168" s="395">
        <v>105.97</v>
      </c>
      <c r="N168" s="25">
        <f t="shared" si="167"/>
        <v>2.4211284489169694E-3</v>
      </c>
      <c r="O168" s="25">
        <f t="shared" si="167"/>
        <v>2.4595591713178046E-3</v>
      </c>
      <c r="P168" s="393">
        <v>7162882268.7600002</v>
      </c>
      <c r="Q168" s="395">
        <v>106.2</v>
      </c>
      <c r="R168" s="25">
        <f t="shared" si="168"/>
        <v>2.1648697439826778E-3</v>
      </c>
      <c r="S168" s="25">
        <f t="shared" si="169"/>
        <v>2.170425592148759E-3</v>
      </c>
      <c r="T168" s="393">
        <v>7180030562.4300003</v>
      </c>
      <c r="U168" s="395">
        <v>106.45</v>
      </c>
      <c r="V168" s="25">
        <f t="shared" si="170"/>
        <v>2.3940493542369359E-3</v>
      </c>
      <c r="W168" s="25">
        <f t="shared" si="171"/>
        <v>2.3540489642184556E-3</v>
      </c>
      <c r="X168" s="393">
        <v>7197170411.4300003</v>
      </c>
      <c r="Y168" s="395">
        <v>106.7</v>
      </c>
      <c r="Z168" s="25">
        <f t="shared" si="172"/>
        <v>2.3871554377059936E-3</v>
      </c>
      <c r="AA168" s="25">
        <f t="shared" si="173"/>
        <v>2.3485204321277596E-3</v>
      </c>
      <c r="AB168" s="393">
        <v>7529275172.3100004</v>
      </c>
      <c r="AC168" s="395">
        <v>111.63</v>
      </c>
      <c r="AD168" s="25">
        <f t="shared" si="174"/>
        <v>4.6143795671779078E-2</v>
      </c>
      <c r="AE168" s="25">
        <f t="shared" si="175"/>
        <v>4.6204311152764688E-2</v>
      </c>
      <c r="AF168" s="393">
        <v>7547416201.8199997</v>
      </c>
      <c r="AG168" s="395">
        <v>111.9</v>
      </c>
      <c r="AH168" s="25">
        <f t="shared" si="176"/>
        <v>2.4093991911353614E-3</v>
      </c>
      <c r="AI168" s="25">
        <f t="shared" si="177"/>
        <v>2.4187046492879175E-3</v>
      </c>
      <c r="AJ168" s="26">
        <f t="shared" si="131"/>
        <v>7.8455027414334848E-3</v>
      </c>
      <c r="AK168" s="26">
        <f t="shared" si="132"/>
        <v>7.8497024169542143E-3</v>
      </c>
      <c r="AL168" s="27">
        <f t="shared" si="133"/>
        <v>6.1083117874153062E-2</v>
      </c>
      <c r="AM168" s="27">
        <f t="shared" si="134"/>
        <v>6.1166429587482245E-2</v>
      </c>
      <c r="AN168" s="28">
        <f t="shared" si="135"/>
        <v>1.5475088931192635E-2</v>
      </c>
      <c r="AO168" s="85">
        <f t="shared" si="136"/>
        <v>1.5497879345708373E-2</v>
      </c>
    </row>
    <row r="169" spans="1:41" s="330" customFormat="1">
      <c r="A169" s="224" t="s">
        <v>284</v>
      </c>
      <c r="B169" s="393"/>
      <c r="C169" s="395"/>
      <c r="D169" s="393"/>
      <c r="E169" s="395"/>
      <c r="F169" s="25"/>
      <c r="G169" s="25"/>
      <c r="H169" s="393"/>
      <c r="I169" s="395"/>
      <c r="J169" s="25"/>
      <c r="K169" s="25"/>
      <c r="L169" s="393"/>
      <c r="M169" s="395"/>
      <c r="N169" s="25"/>
      <c r="O169" s="25"/>
      <c r="P169" s="393"/>
      <c r="Q169" s="395"/>
      <c r="R169" s="25"/>
      <c r="S169" s="25"/>
      <c r="T169" s="393"/>
      <c r="U169" s="395"/>
      <c r="V169" s="25"/>
      <c r="W169" s="25"/>
      <c r="X169" s="393"/>
      <c r="Y169" s="395"/>
      <c r="Z169" s="25"/>
      <c r="AA169" s="25"/>
      <c r="AB169" s="393">
        <v>16160350694.93</v>
      </c>
      <c r="AC169" s="395">
        <v>103.29</v>
      </c>
      <c r="AD169" s="25"/>
      <c r="AE169" s="25"/>
      <c r="AF169" s="393">
        <v>16193647138.440001</v>
      </c>
      <c r="AG169" s="395">
        <v>103.51</v>
      </c>
      <c r="AH169" s="25"/>
      <c r="AI169" s="25"/>
      <c r="AJ169" s="26" t="e">
        <f t="shared" si="131"/>
        <v>#DIV/0!</v>
      </c>
      <c r="AK169" s="26" t="e">
        <f t="shared" si="132"/>
        <v>#DIV/0!</v>
      </c>
      <c r="AL169" s="27" t="e">
        <f t="shared" si="133"/>
        <v>#DIV/0!</v>
      </c>
      <c r="AM169" s="27" t="e">
        <f t="shared" si="134"/>
        <v>#DIV/0!</v>
      </c>
      <c r="AN169" s="28" t="e">
        <f t="shared" si="135"/>
        <v>#DIV/0!</v>
      </c>
      <c r="AO169" s="85" t="e">
        <f t="shared" si="136"/>
        <v>#DIV/0!</v>
      </c>
    </row>
    <row r="170" spans="1:41" s="119" customFormat="1">
      <c r="A170" s="224" t="s">
        <v>266</v>
      </c>
      <c r="B170" s="393">
        <v>2104457498.4200001</v>
      </c>
      <c r="C170" s="395">
        <v>1000000</v>
      </c>
      <c r="D170" s="393">
        <v>2093955874</v>
      </c>
      <c r="E170" s="395">
        <v>1000000</v>
      </c>
      <c r="F170" s="25">
        <f>((D170-B170)/B170)</f>
        <v>-4.9901812832449993E-3</v>
      </c>
      <c r="G170" s="25">
        <f>((E170-C170)/C170)</f>
        <v>0</v>
      </c>
      <c r="H170" s="393">
        <v>2099666137</v>
      </c>
      <c r="I170" s="395">
        <v>1000000</v>
      </c>
      <c r="J170" s="25">
        <f t="shared" si="166"/>
        <v>2.7270216487857088E-3</v>
      </c>
      <c r="K170" s="25">
        <f t="shared" si="166"/>
        <v>0</v>
      </c>
      <c r="L170" s="393">
        <v>2106123700</v>
      </c>
      <c r="M170" s="395">
        <v>1000000</v>
      </c>
      <c r="N170" s="25">
        <f t="shared" si="167"/>
        <v>3.0755189533258637E-3</v>
      </c>
      <c r="O170" s="25">
        <f t="shared" si="167"/>
        <v>0</v>
      </c>
      <c r="P170" s="393">
        <v>2110816483</v>
      </c>
      <c r="Q170" s="395">
        <v>1000000</v>
      </c>
      <c r="R170" s="25">
        <f t="shared" si="168"/>
        <v>2.2281611474197836E-3</v>
      </c>
      <c r="S170" s="25">
        <f t="shared" si="169"/>
        <v>0</v>
      </c>
      <c r="T170" s="393">
        <v>2116811773</v>
      </c>
      <c r="U170" s="395">
        <v>1000000</v>
      </c>
      <c r="V170" s="25">
        <f t="shared" si="170"/>
        <v>2.8402706006346833E-3</v>
      </c>
      <c r="W170" s="25">
        <f t="shared" si="171"/>
        <v>0</v>
      </c>
      <c r="X170" s="393">
        <v>2138523179</v>
      </c>
      <c r="Y170" s="395">
        <v>1000000</v>
      </c>
      <c r="Z170" s="25">
        <f t="shared" si="172"/>
        <v>1.0256654028917289E-2</v>
      </c>
      <c r="AA170" s="25">
        <f t="shared" si="173"/>
        <v>0</v>
      </c>
      <c r="AB170" s="393">
        <v>2145217215</v>
      </c>
      <c r="AC170" s="395">
        <v>1000000</v>
      </c>
      <c r="AD170" s="25">
        <f>((AB169-X170)/X170)</f>
        <v>6.5567807043769246</v>
      </c>
      <c r="AE170" s="25">
        <f>((AC169-Y170)/Y170)</f>
        <v>-0.99989670999999991</v>
      </c>
      <c r="AF170" s="393">
        <v>2151169989</v>
      </c>
      <c r="AG170" s="395">
        <v>1000000</v>
      </c>
      <c r="AH170" s="25">
        <f>((AF169-AB170)/AB170)</f>
        <v>6.5487214186093503</v>
      </c>
      <c r="AI170" s="25">
        <f>((AG169-AC170)/AC170)</f>
        <v>-0.99989649000000003</v>
      </c>
      <c r="AJ170" s="26">
        <f t="shared" si="131"/>
        <v>1.6402049460102641</v>
      </c>
      <c r="AK170" s="26">
        <f t="shared" si="132"/>
        <v>-0.24997415000000001</v>
      </c>
      <c r="AL170" s="27">
        <f t="shared" si="133"/>
        <v>2.7323457819913927E-2</v>
      </c>
      <c r="AM170" s="27">
        <f t="shared" si="134"/>
        <v>0</v>
      </c>
      <c r="AN170" s="28">
        <f t="shared" si="135"/>
        <v>3.0320928023084357</v>
      </c>
      <c r="AO170" s="85">
        <f t="shared" si="136"/>
        <v>0.46286218498712117</v>
      </c>
    </row>
    <row r="171" spans="1:41" s="119" customFormat="1">
      <c r="A171" s="219" t="s">
        <v>46</v>
      </c>
      <c r="B171" s="83">
        <f>SUM(B167:B170)</f>
        <v>100049313930.69</v>
      </c>
      <c r="C171" s="94"/>
      <c r="D171" s="83">
        <f>SUM(D167:D170)</f>
        <v>100056012838.82001</v>
      </c>
      <c r="E171" s="94"/>
      <c r="F171" s="25"/>
      <c r="G171" s="25"/>
      <c r="H171" s="83">
        <f>SUM(H167:H170)</f>
        <v>100078933261.67</v>
      </c>
      <c r="I171" s="94"/>
      <c r="J171" s="25"/>
      <c r="K171" s="25"/>
      <c r="L171" s="83">
        <f>SUM(L167:L170)</f>
        <v>100102653824.14</v>
      </c>
      <c r="M171" s="94"/>
      <c r="N171" s="25"/>
      <c r="O171" s="25"/>
      <c r="P171" s="83">
        <f>SUM(P167:P170)</f>
        <v>100122819816.75999</v>
      </c>
      <c r="Q171" s="94"/>
      <c r="R171" s="25"/>
      <c r="S171" s="25"/>
      <c r="T171" s="83">
        <f>SUM(T167:T170)</f>
        <v>100414132772.42999</v>
      </c>
      <c r="U171" s="94"/>
      <c r="V171" s="25"/>
      <c r="W171" s="25"/>
      <c r="X171" s="83">
        <f>SUM(X167:X170)</f>
        <v>100452984027.42999</v>
      </c>
      <c r="Y171" s="94"/>
      <c r="Z171" s="25"/>
      <c r="AA171" s="25"/>
      <c r="AB171" s="83">
        <f>SUM(AB167:AB170)</f>
        <v>116952133519.23999</v>
      </c>
      <c r="AD171" s="25"/>
      <c r="AE171" s="25"/>
      <c r="AF171" s="83">
        <f>SUM(AF167:AF170)</f>
        <v>117009523766.26001</v>
      </c>
      <c r="AG171" s="94"/>
      <c r="AH171" s="25"/>
      <c r="AI171" s="25"/>
      <c r="AJ171" s="26"/>
      <c r="AK171" s="26"/>
      <c r="AL171" s="27"/>
      <c r="AM171" s="27"/>
      <c r="AN171" s="28"/>
      <c r="AO171" s="85"/>
    </row>
    <row r="172" spans="1:41" ht="6" customHeight="1">
      <c r="A172" s="218"/>
      <c r="B172" s="94"/>
      <c r="C172" s="94"/>
      <c r="D172" s="94"/>
      <c r="E172" s="94"/>
      <c r="F172" s="25"/>
      <c r="G172" s="25"/>
      <c r="H172" s="94"/>
      <c r="I172" s="94"/>
      <c r="J172" s="25"/>
      <c r="K172" s="25"/>
      <c r="L172" s="94"/>
      <c r="M172" s="94"/>
      <c r="N172" s="25"/>
      <c r="O172" s="25"/>
      <c r="P172" s="94"/>
      <c r="Q172" s="94"/>
      <c r="R172" s="25"/>
      <c r="S172" s="25"/>
      <c r="T172" s="94"/>
      <c r="U172" s="94"/>
      <c r="V172" s="25"/>
      <c r="W172" s="25"/>
      <c r="X172" s="94"/>
      <c r="Y172" s="94"/>
      <c r="Z172" s="25"/>
      <c r="AA172" s="25"/>
      <c r="AC172" s="94"/>
      <c r="AD172" s="25"/>
      <c r="AE172" s="25"/>
      <c r="AF172" s="94"/>
      <c r="AG172" s="94"/>
      <c r="AH172" s="25"/>
      <c r="AI172" s="25"/>
      <c r="AJ172" s="26"/>
      <c r="AK172" s="26"/>
      <c r="AL172" s="27"/>
      <c r="AM172" s="27"/>
      <c r="AN172" s="28"/>
      <c r="AO172" s="85"/>
    </row>
    <row r="173" spans="1:41" ht="25.5">
      <c r="A173" s="214" t="s">
        <v>50</v>
      </c>
      <c r="B173" s="88" t="s">
        <v>78</v>
      </c>
      <c r="C173" s="89" t="s">
        <v>79</v>
      </c>
      <c r="D173" s="88" t="s">
        <v>78</v>
      </c>
      <c r="E173" s="89" t="s">
        <v>79</v>
      </c>
      <c r="F173" s="408" t="s">
        <v>77</v>
      </c>
      <c r="G173" s="408" t="s">
        <v>3</v>
      </c>
      <c r="H173" s="88" t="s">
        <v>78</v>
      </c>
      <c r="I173" s="89" t="s">
        <v>79</v>
      </c>
      <c r="J173" s="410" t="s">
        <v>77</v>
      </c>
      <c r="K173" s="410" t="s">
        <v>3</v>
      </c>
      <c r="L173" s="88" t="s">
        <v>78</v>
      </c>
      <c r="M173" s="89" t="s">
        <v>79</v>
      </c>
      <c r="N173" s="426" t="s">
        <v>77</v>
      </c>
      <c r="O173" s="426" t="s">
        <v>3</v>
      </c>
      <c r="P173" s="88" t="s">
        <v>78</v>
      </c>
      <c r="Q173" s="89" t="s">
        <v>79</v>
      </c>
      <c r="R173" s="427" t="s">
        <v>77</v>
      </c>
      <c r="S173" s="427" t="s">
        <v>3</v>
      </c>
      <c r="T173" s="88" t="s">
        <v>78</v>
      </c>
      <c r="U173" s="89" t="s">
        <v>79</v>
      </c>
      <c r="V173" s="428" t="s">
        <v>77</v>
      </c>
      <c r="W173" s="428" t="s">
        <v>3</v>
      </c>
      <c r="X173" s="88" t="s">
        <v>78</v>
      </c>
      <c r="Y173" s="89" t="s">
        <v>79</v>
      </c>
      <c r="Z173" s="429" t="s">
        <v>77</v>
      </c>
      <c r="AA173" s="429" t="s">
        <v>3</v>
      </c>
      <c r="AB173" s="88" t="s">
        <v>78</v>
      </c>
      <c r="AC173" s="89" t="s">
        <v>79</v>
      </c>
      <c r="AD173" s="435" t="s">
        <v>77</v>
      </c>
      <c r="AE173" s="435" t="s">
        <v>3</v>
      </c>
      <c r="AF173" s="88" t="s">
        <v>78</v>
      </c>
      <c r="AG173" s="89" t="s">
        <v>79</v>
      </c>
      <c r="AH173" s="437" t="s">
        <v>77</v>
      </c>
      <c r="AI173" s="437" t="s">
        <v>3</v>
      </c>
      <c r="AJ173" s="335" t="s">
        <v>83</v>
      </c>
      <c r="AK173" s="335" t="s">
        <v>83</v>
      </c>
      <c r="AL173" s="335" t="s">
        <v>83</v>
      </c>
      <c r="AM173" s="335" t="s">
        <v>83</v>
      </c>
      <c r="AN173" s="17" t="s">
        <v>83</v>
      </c>
      <c r="AO173" s="18" t="s">
        <v>83</v>
      </c>
    </row>
    <row r="174" spans="1:41">
      <c r="A174" s="218" t="s">
        <v>34</v>
      </c>
      <c r="B174" s="391">
        <v>2712934000</v>
      </c>
      <c r="C174" s="395">
        <v>18.3</v>
      </c>
      <c r="D174" s="391">
        <v>2731162000</v>
      </c>
      <c r="E174" s="395">
        <v>18.41</v>
      </c>
      <c r="F174" s="25">
        <f t="shared" ref="F174:F185" si="178">((D174-B174)/B174)</f>
        <v>6.7189249720044789E-3</v>
      </c>
      <c r="G174" s="25">
        <f t="shared" ref="G174:G185" si="179">((E174-C174)/C174)</f>
        <v>6.0109289617486022E-3</v>
      </c>
      <c r="H174" s="391">
        <v>2794960000</v>
      </c>
      <c r="I174" s="395">
        <v>18.87</v>
      </c>
      <c r="J174" s="25">
        <f t="shared" ref="J174:J185" si="180">((H174-D174)/D174)</f>
        <v>2.3359288097886542E-2</v>
      </c>
      <c r="K174" s="25">
        <f t="shared" ref="K174:K185" si="181">((I174-E174)/E174)</f>
        <v>2.4986420423682827E-2</v>
      </c>
      <c r="L174" s="391">
        <v>2794960000</v>
      </c>
      <c r="M174" s="395">
        <v>18.88</v>
      </c>
      <c r="N174" s="25">
        <f t="shared" ref="N174:N185" si="182">((L174-H174)/H174)</f>
        <v>0</v>
      </c>
      <c r="O174" s="25">
        <f t="shared" ref="O174:O185" si="183">((M174-I174)/I174)</f>
        <v>5.2994170641218919E-4</v>
      </c>
      <c r="P174" s="391">
        <v>2869391000</v>
      </c>
      <c r="Q174" s="395">
        <v>19.399999999999999</v>
      </c>
      <c r="R174" s="25">
        <f t="shared" ref="R174:R185" si="184">((P174-L174)/L174)</f>
        <v>2.6630434782608695E-2</v>
      </c>
      <c r="S174" s="25">
        <f t="shared" ref="S174:S185" si="185">((Q174-M174)/M174)</f>
        <v>2.7542372881355911E-2</v>
      </c>
      <c r="T174" s="391">
        <v>2884581000</v>
      </c>
      <c r="U174" s="395">
        <v>19.43</v>
      </c>
      <c r="V174" s="25">
        <f t="shared" ref="V174:V185" si="186">((T174-P174)/P174)</f>
        <v>5.2938062466913712E-3</v>
      </c>
      <c r="W174" s="25">
        <f t="shared" ref="W174:W185" si="187">((U174-Q174)/Q174)</f>
        <v>1.5463917525773783E-3</v>
      </c>
      <c r="X174" s="391">
        <v>2884581000</v>
      </c>
      <c r="Y174" s="395">
        <v>19.420000000000002</v>
      </c>
      <c r="Z174" s="25">
        <f t="shared" ref="Z174:Z185" si="188">((X174-T174)/T174)</f>
        <v>0</v>
      </c>
      <c r="AA174" s="25">
        <f t="shared" ref="AA174:AA185" si="189">((Y174-U174)/U174)</f>
        <v>-5.1466803911466856E-4</v>
      </c>
      <c r="AB174" s="391">
        <v>3208128000</v>
      </c>
      <c r="AC174" s="395">
        <v>19.899999999999999</v>
      </c>
      <c r="AD174" s="25">
        <f t="shared" ref="AD174:AD185" si="190">((AB174-X174)/X174)</f>
        <v>0.11216429699842022</v>
      </c>
      <c r="AE174" s="25">
        <f t="shared" ref="AE174:AE185" si="191">((AC174-Y174)/Y174)</f>
        <v>2.4716786817713533E-2</v>
      </c>
      <c r="AF174" s="391">
        <v>3881045000</v>
      </c>
      <c r="AG174" s="395">
        <v>19.97</v>
      </c>
      <c r="AH174" s="25">
        <f t="shared" ref="AH174:AH185" si="192">((AF174-AB174)/AB174)</f>
        <v>0.20975378787878787</v>
      </c>
      <c r="AI174" s="25">
        <f t="shared" ref="AI174:AI185" si="193">((AG174-AC174)/AC174)</f>
        <v>3.5175879396985069E-3</v>
      </c>
      <c r="AJ174" s="26">
        <f t="shared" ref="AJ174" si="194">AVERAGE(F174,J174,N174,R174,V174,Z174,AD174,AH174)</f>
        <v>4.7990067372049902E-2</v>
      </c>
      <c r="AK174" s="26">
        <f t="shared" ref="AK174" si="195">AVERAGE(G174,K174,O174,S174,W174,AA174,AE174,AI174)</f>
        <v>1.1041970305509284E-2</v>
      </c>
      <c r="AL174" s="27">
        <f t="shared" ref="AL174" si="196">((AF174-D174)/D174)</f>
        <v>0.42102335928809786</v>
      </c>
      <c r="AM174" s="27">
        <f t="shared" ref="AM174" si="197">((AG174-E174)/E174)</f>
        <v>8.4736556219445883E-2</v>
      </c>
      <c r="AN174" s="28">
        <f t="shared" ref="AN174" si="198">STDEV(F174,J174,N174,R174,V174,Z174,AD174,AH174)</f>
        <v>7.5100992245838077E-2</v>
      </c>
      <c r="AO174" s="85">
        <f t="shared" ref="AO174" si="199">STDEV(G174,K174,O174,S174,W174,AA174,AE174,AI174)</f>
        <v>1.2362754749920723E-2</v>
      </c>
    </row>
    <row r="175" spans="1:41">
      <c r="A175" s="218" t="s">
        <v>64</v>
      </c>
      <c r="B175" s="81">
        <v>355301484.81</v>
      </c>
      <c r="C175" s="395">
        <v>4.2</v>
      </c>
      <c r="D175" s="81">
        <v>360413736.38999999</v>
      </c>
      <c r="E175" s="395">
        <v>4.28</v>
      </c>
      <c r="F175" s="25">
        <f t="shared" si="178"/>
        <v>1.4388489208633046E-2</v>
      </c>
      <c r="G175" s="25">
        <f t="shared" si="179"/>
        <v>1.9047619047619063E-2</v>
      </c>
      <c r="H175" s="81">
        <v>360413736.38999999</v>
      </c>
      <c r="I175" s="395">
        <v>4.2300000000000004</v>
      </c>
      <c r="J175" s="25">
        <f t="shared" si="180"/>
        <v>0</v>
      </c>
      <c r="K175" s="25">
        <f t="shared" si="181"/>
        <v>-1.1682242990654164E-2</v>
      </c>
      <c r="L175" s="81">
        <v>370638239.55000001</v>
      </c>
      <c r="M175" s="395">
        <v>4.4000000000000004</v>
      </c>
      <c r="N175" s="25">
        <f t="shared" si="182"/>
        <v>2.8368794326241207E-2</v>
      </c>
      <c r="O175" s="25">
        <f t="shared" si="183"/>
        <v>4.0189125295508256E-2</v>
      </c>
      <c r="P175" s="81">
        <v>383418868.5</v>
      </c>
      <c r="Q175" s="395">
        <v>4.5599999999999996</v>
      </c>
      <c r="R175" s="25">
        <f t="shared" si="184"/>
        <v>3.448275862068962E-2</v>
      </c>
      <c r="S175" s="25">
        <f t="shared" si="185"/>
        <v>3.6363636363636188E-2</v>
      </c>
      <c r="T175" s="81">
        <v>374046407.26999998</v>
      </c>
      <c r="U175" s="395">
        <v>4.4400000000000004</v>
      </c>
      <c r="V175" s="25">
        <f t="shared" si="186"/>
        <v>-2.4444444444444494E-2</v>
      </c>
      <c r="W175" s="25">
        <f t="shared" si="187"/>
        <v>-2.6315789473684043E-2</v>
      </c>
      <c r="X175" s="81">
        <v>374046407.26999998</v>
      </c>
      <c r="Y175" s="395">
        <v>4.51</v>
      </c>
      <c r="Z175" s="25">
        <f t="shared" si="188"/>
        <v>0</v>
      </c>
      <c r="AA175" s="25">
        <f t="shared" si="189"/>
        <v>1.5765765765765629E-2</v>
      </c>
      <c r="AB175" s="81">
        <v>420056671.49000001</v>
      </c>
      <c r="AC175" s="395">
        <v>4.62</v>
      </c>
      <c r="AD175" s="25">
        <f t="shared" si="190"/>
        <v>0.12300683371298414</v>
      </c>
      <c r="AE175" s="25">
        <f t="shared" si="191"/>
        <v>2.4390243902439098E-2</v>
      </c>
      <c r="AF175" s="81">
        <v>461806726.06</v>
      </c>
      <c r="AG175" s="395">
        <v>4.58</v>
      </c>
      <c r="AH175" s="25">
        <f t="shared" si="192"/>
        <v>9.9391480730223108E-2</v>
      </c>
      <c r="AI175" s="25">
        <f t="shared" si="193"/>
        <v>-8.6580086580086649E-3</v>
      </c>
      <c r="AJ175" s="26">
        <f t="shared" ref="AJ175:AJ187" si="200">AVERAGE(F175,J175,N175,R175,V175,Z175,AD175,AH175)</f>
        <v>3.4399239019290831E-2</v>
      </c>
      <c r="AK175" s="26">
        <f t="shared" ref="AK175:AK187" si="201">AVERAGE(G175,K175,O175,S175,W175,AA175,AE175,AI175)</f>
        <v>1.113754365657767E-2</v>
      </c>
      <c r="AL175" s="27">
        <f t="shared" ref="AL175:AL187" si="202">((AF175-D175)/D175)</f>
        <v>0.28132387706855799</v>
      </c>
      <c r="AM175" s="27">
        <f t="shared" ref="AM175:AM187" si="203">((AG175-E175)/E175)</f>
        <v>7.0093457943925186E-2</v>
      </c>
      <c r="AN175" s="28">
        <f t="shared" ref="AN175:AN187" si="204">STDEV(F175,J175,N175,R175,V175,Z175,AD175,AH175)</f>
        <v>5.1187742729948034E-2</v>
      </c>
      <c r="AO175" s="85">
        <f t="shared" ref="AO175:AO187" si="205">STDEV(G175,K175,O175,S175,W175,AA175,AE175,AI175)</f>
        <v>2.4069342272484941E-2</v>
      </c>
    </row>
    <row r="176" spans="1:41">
      <c r="A176" s="218" t="s">
        <v>54</v>
      </c>
      <c r="B176" s="391">
        <v>143301185.28</v>
      </c>
      <c r="C176" s="395">
        <v>5.61</v>
      </c>
      <c r="D176" s="391">
        <v>144328433.91999999</v>
      </c>
      <c r="E176" s="395">
        <v>5.67</v>
      </c>
      <c r="F176" s="25">
        <f t="shared" si="178"/>
        <v>7.1684587813619074E-3</v>
      </c>
      <c r="G176" s="25">
        <f t="shared" si="179"/>
        <v>1.0695187165775331E-2</v>
      </c>
      <c r="H176" s="391">
        <v>151005550.08000001</v>
      </c>
      <c r="I176" s="395">
        <v>5.94</v>
      </c>
      <c r="J176" s="25">
        <f t="shared" si="180"/>
        <v>4.6263345195729721E-2</v>
      </c>
      <c r="K176" s="25">
        <f t="shared" si="181"/>
        <v>4.76190476190477E-2</v>
      </c>
      <c r="L176" s="391">
        <v>161021224.31999999</v>
      </c>
      <c r="M176" s="395">
        <v>6.32</v>
      </c>
      <c r="N176" s="25">
        <f t="shared" si="182"/>
        <v>6.6326530612244763E-2</v>
      </c>
      <c r="O176" s="25">
        <f t="shared" si="183"/>
        <v>6.3973063973063946E-2</v>
      </c>
      <c r="P176" s="391">
        <v>162305285.12</v>
      </c>
      <c r="Q176" s="395">
        <v>6.36</v>
      </c>
      <c r="R176" s="25">
        <f t="shared" si="184"/>
        <v>7.974481658692259E-3</v>
      </c>
      <c r="S176" s="25">
        <f t="shared" si="185"/>
        <v>6.329113924050638E-3</v>
      </c>
      <c r="T176" s="391">
        <v>162305285.12</v>
      </c>
      <c r="U176" s="395">
        <v>6.34</v>
      </c>
      <c r="V176" s="25">
        <f t="shared" si="186"/>
        <v>0</v>
      </c>
      <c r="W176" s="25">
        <f t="shared" si="187"/>
        <v>-3.1446540880503871E-3</v>
      </c>
      <c r="X176" s="391">
        <v>162305285.12</v>
      </c>
      <c r="Y176" s="395">
        <v>6.27</v>
      </c>
      <c r="Z176" s="25">
        <f t="shared" si="188"/>
        <v>0</v>
      </c>
      <c r="AA176" s="25">
        <f t="shared" si="189"/>
        <v>-1.1041009463722443E-2</v>
      </c>
      <c r="AB176" s="391">
        <v>159737163.52000001</v>
      </c>
      <c r="AC176" s="395">
        <v>6.24</v>
      </c>
      <c r="AD176" s="25">
        <f t="shared" si="190"/>
        <v>-1.5822784810126545E-2</v>
      </c>
      <c r="AE176" s="25">
        <f t="shared" si="191"/>
        <v>-4.7846889952152093E-3</v>
      </c>
      <c r="AF176" s="391">
        <v>159737163.52000001</v>
      </c>
      <c r="AG176" s="395">
        <v>6.2</v>
      </c>
      <c r="AH176" s="25">
        <f t="shared" si="192"/>
        <v>0</v>
      </c>
      <c r="AI176" s="25">
        <f t="shared" si="193"/>
        <v>-6.4102564102564161E-3</v>
      </c>
      <c r="AJ176" s="26">
        <f t="shared" si="200"/>
        <v>1.3988753929737764E-2</v>
      </c>
      <c r="AK176" s="26">
        <f t="shared" si="201"/>
        <v>1.2904475465586642E-2</v>
      </c>
      <c r="AL176" s="27">
        <f t="shared" si="202"/>
        <v>0.1067615658362991</v>
      </c>
      <c r="AM176" s="27">
        <f t="shared" si="203"/>
        <v>9.3474426807760191E-2</v>
      </c>
      <c r="AN176" s="28">
        <f t="shared" si="204"/>
        <v>2.7618222653775774E-2</v>
      </c>
      <c r="AO176" s="85">
        <f t="shared" si="205"/>
        <v>2.7718340500788818E-2</v>
      </c>
    </row>
    <row r="177" spans="1:41">
      <c r="A177" s="218" t="s">
        <v>55</v>
      </c>
      <c r="B177" s="81">
        <v>252531286.77000001</v>
      </c>
      <c r="C177" s="395">
        <v>24.09</v>
      </c>
      <c r="D177" s="81">
        <v>252531286.77000001</v>
      </c>
      <c r="E177" s="395">
        <v>24.1</v>
      </c>
      <c r="F177" s="25">
        <f t="shared" si="178"/>
        <v>0</v>
      </c>
      <c r="G177" s="25">
        <f t="shared" si="179"/>
        <v>4.1511000415116493E-4</v>
      </c>
      <c r="H177" s="81">
        <v>252531286.77000001</v>
      </c>
      <c r="I177" s="395">
        <v>24.13</v>
      </c>
      <c r="J177" s="25">
        <f t="shared" si="180"/>
        <v>0</v>
      </c>
      <c r="K177" s="25">
        <f t="shared" si="181"/>
        <v>1.2448132780081985E-3</v>
      </c>
      <c r="L177" s="81">
        <v>251057573.55000001</v>
      </c>
      <c r="M177" s="395">
        <v>23.99</v>
      </c>
      <c r="N177" s="25">
        <f t="shared" si="182"/>
        <v>-5.835764902042513E-3</v>
      </c>
      <c r="O177" s="25">
        <f t="shared" si="183"/>
        <v>-5.8019063406548107E-3</v>
      </c>
      <c r="P177" s="81">
        <v>260005118.09999999</v>
      </c>
      <c r="Q177" s="395">
        <v>24.79</v>
      </c>
      <c r="R177" s="25">
        <f t="shared" si="184"/>
        <v>3.5639412997903491E-2</v>
      </c>
      <c r="S177" s="25">
        <f t="shared" si="185"/>
        <v>3.3347228011671559E-2</v>
      </c>
      <c r="T177" s="81">
        <v>257162956.88999999</v>
      </c>
      <c r="U177" s="395">
        <v>24.53</v>
      </c>
      <c r="V177" s="25">
        <f t="shared" si="186"/>
        <v>-1.0931174089068858E-2</v>
      </c>
      <c r="W177" s="25">
        <f t="shared" si="187"/>
        <v>-1.0488100040338767E-2</v>
      </c>
      <c r="X177" s="81">
        <v>257162956.88999999</v>
      </c>
      <c r="Y177" s="395">
        <v>24.62</v>
      </c>
      <c r="Z177" s="25">
        <f t="shared" si="188"/>
        <v>0</v>
      </c>
      <c r="AA177" s="25">
        <f t="shared" si="189"/>
        <v>3.6689767631471609E-3</v>
      </c>
      <c r="AB177" s="81">
        <v>258426139.65000001</v>
      </c>
      <c r="AC177" s="395">
        <v>24.65</v>
      </c>
      <c r="AD177" s="25">
        <f t="shared" si="190"/>
        <v>4.9119934506754778E-3</v>
      </c>
      <c r="AE177" s="25">
        <f t="shared" si="191"/>
        <v>1.2185215272135493E-3</v>
      </c>
      <c r="AF177" s="81">
        <v>258426139.65000001</v>
      </c>
      <c r="AG177" s="395">
        <v>24.65</v>
      </c>
      <c r="AH177" s="25">
        <f t="shared" si="192"/>
        <v>0</v>
      </c>
      <c r="AI177" s="25">
        <f t="shared" si="193"/>
        <v>0</v>
      </c>
      <c r="AJ177" s="26">
        <f t="shared" si="200"/>
        <v>2.9730584321834494E-3</v>
      </c>
      <c r="AK177" s="26">
        <f t="shared" si="201"/>
        <v>2.9505804003997571E-3</v>
      </c>
      <c r="AL177" s="27">
        <f t="shared" si="202"/>
        <v>2.3343059608170052E-2</v>
      </c>
      <c r="AM177" s="27">
        <f t="shared" si="203"/>
        <v>2.2821576763485358E-2</v>
      </c>
      <c r="AN177" s="28">
        <f t="shared" si="204"/>
        <v>1.4026146736529682E-2</v>
      </c>
      <c r="AO177" s="85">
        <f t="shared" si="205"/>
        <v>1.3107907317580483E-2</v>
      </c>
    </row>
    <row r="178" spans="1:41">
      <c r="A178" s="218" t="s">
        <v>98</v>
      </c>
      <c r="B178" s="391">
        <v>584133168.87</v>
      </c>
      <c r="C178" s="395">
        <v>143.34</v>
      </c>
      <c r="D178" s="391">
        <v>584133168.87</v>
      </c>
      <c r="E178" s="395">
        <v>145.02000000000001</v>
      </c>
      <c r="F178" s="25">
        <f t="shared" si="178"/>
        <v>0</v>
      </c>
      <c r="G178" s="25">
        <f t="shared" si="179"/>
        <v>1.1720385098367566E-2</v>
      </c>
      <c r="H178" s="391">
        <v>584133168.87</v>
      </c>
      <c r="I178" s="395">
        <v>145.41999999999999</v>
      </c>
      <c r="J178" s="25">
        <f t="shared" si="180"/>
        <v>0</v>
      </c>
      <c r="K178" s="25">
        <f t="shared" si="181"/>
        <v>2.7582402427249846E-3</v>
      </c>
      <c r="L178" s="391">
        <v>584133168.87</v>
      </c>
      <c r="M178" s="395">
        <v>146.47999999999999</v>
      </c>
      <c r="N178" s="25">
        <f t="shared" si="182"/>
        <v>0</v>
      </c>
      <c r="O178" s="25">
        <f t="shared" si="183"/>
        <v>7.2892311924082128E-3</v>
      </c>
      <c r="P178" s="391">
        <v>584133168.87</v>
      </c>
      <c r="Q178" s="395">
        <v>145.55000000000001</v>
      </c>
      <c r="R178" s="25">
        <f t="shared" si="184"/>
        <v>0</v>
      </c>
      <c r="S178" s="25">
        <f t="shared" si="185"/>
        <v>-6.3489896231565977E-3</v>
      </c>
      <c r="T178" s="391">
        <v>580612809.87</v>
      </c>
      <c r="U178" s="395">
        <v>142.26</v>
      </c>
      <c r="V178" s="25">
        <f t="shared" si="186"/>
        <v>-6.0266377388055207E-3</v>
      </c>
      <c r="W178" s="25">
        <f t="shared" si="187"/>
        <v>-2.2603916180007011E-2</v>
      </c>
      <c r="X178" s="391">
        <v>575332271.37</v>
      </c>
      <c r="Y178" s="395">
        <v>142.30000000000001</v>
      </c>
      <c r="Z178" s="25">
        <f t="shared" si="188"/>
        <v>-9.0947674771115015E-3</v>
      </c>
      <c r="AA178" s="25">
        <f t="shared" si="189"/>
        <v>2.8117531280767938E-4</v>
      </c>
      <c r="AB178" s="391">
        <v>575332271.37</v>
      </c>
      <c r="AC178" s="395">
        <v>141.9</v>
      </c>
      <c r="AD178" s="25">
        <f t="shared" si="190"/>
        <v>0</v>
      </c>
      <c r="AE178" s="25">
        <f t="shared" si="191"/>
        <v>-2.8109627547435396E-3</v>
      </c>
      <c r="AF178" s="391">
        <v>573572091.87</v>
      </c>
      <c r="AG178" s="395">
        <v>142.15</v>
      </c>
      <c r="AH178" s="25">
        <f t="shared" si="192"/>
        <v>-3.0594138163127942E-3</v>
      </c>
      <c r="AI178" s="25">
        <f t="shared" si="193"/>
        <v>1.7618040873854826E-3</v>
      </c>
      <c r="AJ178" s="26">
        <f t="shared" si="200"/>
        <v>-2.2726023790287271E-3</v>
      </c>
      <c r="AK178" s="26">
        <f t="shared" si="201"/>
        <v>-9.9412907802665291E-4</v>
      </c>
      <c r="AL178" s="27">
        <f t="shared" si="202"/>
        <v>-1.8079913216416561E-2</v>
      </c>
      <c r="AM178" s="27">
        <f t="shared" si="203"/>
        <v>-1.979037374155292E-2</v>
      </c>
      <c r="AN178" s="28">
        <f t="shared" si="204"/>
        <v>3.5269857266435113E-3</v>
      </c>
      <c r="AO178" s="85">
        <f t="shared" si="205"/>
        <v>1.036844861788414E-2</v>
      </c>
    </row>
    <row r="179" spans="1:41">
      <c r="A179" s="218" t="s">
        <v>36</v>
      </c>
      <c r="B179" s="391">
        <v>611407100</v>
      </c>
      <c r="C179" s="395">
        <v>11450</v>
      </c>
      <c r="D179" s="391">
        <v>539330479.60000002</v>
      </c>
      <c r="E179" s="395">
        <v>10100.200000000001</v>
      </c>
      <c r="F179" s="25">
        <f t="shared" si="178"/>
        <v>-0.11788646288209603</v>
      </c>
      <c r="G179" s="25">
        <f t="shared" si="179"/>
        <v>-0.117886462882096</v>
      </c>
      <c r="H179" s="391">
        <v>539330479.60000002</v>
      </c>
      <c r="I179" s="395">
        <v>10100.200000000001</v>
      </c>
      <c r="J179" s="25">
        <f t="shared" si="180"/>
        <v>0</v>
      </c>
      <c r="K179" s="25">
        <f t="shared" si="181"/>
        <v>0</v>
      </c>
      <c r="L179" s="391">
        <v>619416800</v>
      </c>
      <c r="M179" s="395">
        <v>11600</v>
      </c>
      <c r="N179" s="25">
        <f t="shared" si="182"/>
        <v>0.14849210906714713</v>
      </c>
      <c r="O179" s="25">
        <f t="shared" si="183"/>
        <v>0.1484921090671471</v>
      </c>
      <c r="P179" s="391">
        <v>593251780</v>
      </c>
      <c r="Q179" s="395">
        <v>11110</v>
      </c>
      <c r="R179" s="25">
        <f t="shared" si="184"/>
        <v>-4.2241379310344829E-2</v>
      </c>
      <c r="S179" s="25">
        <f t="shared" si="185"/>
        <v>-4.2241379310344829E-2</v>
      </c>
      <c r="T179" s="391">
        <v>592717800</v>
      </c>
      <c r="U179" s="395">
        <v>11100</v>
      </c>
      <c r="V179" s="25">
        <f t="shared" si="186"/>
        <v>-9.0009000900090005E-4</v>
      </c>
      <c r="W179" s="25">
        <f t="shared" si="187"/>
        <v>-9.0009000900090005E-4</v>
      </c>
      <c r="X179" s="391">
        <v>656544429.39999998</v>
      </c>
      <c r="Y179" s="395">
        <v>12295.3</v>
      </c>
      <c r="Z179" s="25">
        <f t="shared" si="188"/>
        <v>0.10768468468468465</v>
      </c>
      <c r="AA179" s="25">
        <f t="shared" si="189"/>
        <v>0.10768468468468462</v>
      </c>
      <c r="AB179" s="391">
        <v>539346499</v>
      </c>
      <c r="AC179" s="395">
        <v>10100</v>
      </c>
      <c r="AD179" s="25">
        <f t="shared" si="190"/>
        <v>-0.17850723447170866</v>
      </c>
      <c r="AE179" s="25">
        <f t="shared" si="191"/>
        <v>-0.17854790041723256</v>
      </c>
      <c r="AF179" s="391">
        <v>655567246</v>
      </c>
      <c r="AG179" s="395">
        <v>12277</v>
      </c>
      <c r="AH179" s="25">
        <f t="shared" si="192"/>
        <v>0.21548438196128905</v>
      </c>
      <c r="AI179" s="25">
        <f t="shared" si="193"/>
        <v>0.21554455445544554</v>
      </c>
      <c r="AJ179" s="26">
        <f t="shared" si="200"/>
        <v>1.6515751129996301E-2</v>
      </c>
      <c r="AK179" s="26">
        <f t="shared" si="201"/>
        <v>1.651818944857537E-2</v>
      </c>
      <c r="AL179" s="27">
        <f t="shared" si="202"/>
        <v>0.21552048474287633</v>
      </c>
      <c r="AM179" s="27">
        <f t="shared" si="203"/>
        <v>0.2155204847428763</v>
      </c>
      <c r="AN179" s="28">
        <f t="shared" si="204"/>
        <v>0.13386797949293097</v>
      </c>
      <c r="AO179" s="85">
        <f t="shared" si="205"/>
        <v>0.1338892203210722</v>
      </c>
    </row>
    <row r="180" spans="1:41">
      <c r="A180" s="218" t="s">
        <v>51</v>
      </c>
      <c r="B180" s="391">
        <v>511286749.37</v>
      </c>
      <c r="C180" s="395">
        <v>15.31</v>
      </c>
      <c r="D180" s="391">
        <v>505948331.72000003</v>
      </c>
      <c r="E180" s="395">
        <v>15.15</v>
      </c>
      <c r="F180" s="25">
        <f t="shared" si="178"/>
        <v>-1.0441142189931375E-2</v>
      </c>
      <c r="G180" s="25">
        <f t="shared" si="179"/>
        <v>-1.0450685826257357E-2</v>
      </c>
      <c r="H180" s="391">
        <v>516665533.60000002</v>
      </c>
      <c r="I180" s="395">
        <v>15.47</v>
      </c>
      <c r="J180" s="25">
        <f t="shared" si="180"/>
        <v>2.118240383077509E-2</v>
      </c>
      <c r="K180" s="25">
        <f t="shared" si="181"/>
        <v>2.112211221122114E-2</v>
      </c>
      <c r="L180" s="391">
        <v>527108880.82999998</v>
      </c>
      <c r="M180" s="395">
        <v>15.78</v>
      </c>
      <c r="N180" s="25">
        <f t="shared" si="182"/>
        <v>2.0212974450285567E-2</v>
      </c>
      <c r="O180" s="25">
        <f t="shared" si="183"/>
        <v>2.0038784744667013E-2</v>
      </c>
      <c r="P180" s="391">
        <v>540084815.85000002</v>
      </c>
      <c r="Q180" s="395">
        <v>16.170000000000002</v>
      </c>
      <c r="R180" s="25">
        <f t="shared" si="184"/>
        <v>2.4617181557570762E-2</v>
      </c>
      <c r="S180" s="25">
        <f t="shared" si="185"/>
        <v>2.4714828897338552E-2</v>
      </c>
      <c r="T180" s="391">
        <v>542942485.16999996</v>
      </c>
      <c r="U180" s="395">
        <v>16.260000000000002</v>
      </c>
      <c r="V180" s="25">
        <f t="shared" si="186"/>
        <v>5.2911491605303817E-3</v>
      </c>
      <c r="W180" s="25">
        <f t="shared" si="187"/>
        <v>5.5658627087198419E-3</v>
      </c>
      <c r="X180" s="391">
        <v>542561141.20000005</v>
      </c>
      <c r="Y180" s="395">
        <v>16.239999999999998</v>
      </c>
      <c r="Z180" s="25">
        <f t="shared" si="188"/>
        <v>-7.0236531569362699E-4</v>
      </c>
      <c r="AA180" s="25">
        <f t="shared" si="189"/>
        <v>-1.2300123001231934E-3</v>
      </c>
      <c r="AB180" s="391">
        <v>556354073.90999997</v>
      </c>
      <c r="AC180" s="395">
        <v>16.66</v>
      </c>
      <c r="AD180" s="25">
        <f t="shared" si="190"/>
        <v>2.5421895640173647E-2</v>
      </c>
      <c r="AE180" s="25">
        <f t="shared" si="191"/>
        <v>2.5862068965517349E-2</v>
      </c>
      <c r="AF180" s="391">
        <v>558941668.99000001</v>
      </c>
      <c r="AG180" s="395">
        <v>16.73</v>
      </c>
      <c r="AH180" s="25">
        <f t="shared" si="192"/>
        <v>4.6509861279790538E-3</v>
      </c>
      <c r="AI180" s="25">
        <f t="shared" si="193"/>
        <v>4.2016806722689247E-3</v>
      </c>
      <c r="AJ180" s="26">
        <f t="shared" si="200"/>
        <v>1.1279135407711187E-2</v>
      </c>
      <c r="AK180" s="26">
        <f t="shared" si="201"/>
        <v>1.1228080009169033E-2</v>
      </c>
      <c r="AL180" s="27">
        <f t="shared" si="202"/>
        <v>0.10474061074546116</v>
      </c>
      <c r="AM180" s="27">
        <f t="shared" si="203"/>
        <v>0.1042904290429043</v>
      </c>
      <c r="AN180" s="28">
        <f t="shared" si="204"/>
        <v>1.3368002886749657E-2</v>
      </c>
      <c r="AO180" s="85">
        <f t="shared" si="205"/>
        <v>1.3512800090663402E-2</v>
      </c>
    </row>
    <row r="181" spans="1:41">
      <c r="A181" s="218" t="s">
        <v>44</v>
      </c>
      <c r="B181" s="391">
        <v>434714270.49000001</v>
      </c>
      <c r="C181" s="395">
        <v>101.89</v>
      </c>
      <c r="D181" s="391">
        <v>437443348.13</v>
      </c>
      <c r="E181" s="395">
        <v>102.53</v>
      </c>
      <c r="F181" s="25">
        <f t="shared" si="178"/>
        <v>6.2778653135169256E-3</v>
      </c>
      <c r="G181" s="25">
        <f t="shared" si="179"/>
        <v>6.2812837373638292E-3</v>
      </c>
      <c r="H181" s="391">
        <v>446968901.43000001</v>
      </c>
      <c r="I181" s="395">
        <v>104.76</v>
      </c>
      <c r="J181" s="25">
        <f t="shared" si="180"/>
        <v>2.1775512968068258E-2</v>
      </c>
      <c r="K181" s="25">
        <f t="shared" si="181"/>
        <v>2.1749731785818825E-2</v>
      </c>
      <c r="L181" s="391">
        <v>445610215.69</v>
      </c>
      <c r="M181" s="395">
        <v>104.43</v>
      </c>
      <c r="N181" s="25">
        <f t="shared" si="182"/>
        <v>-3.0397768964532624E-3</v>
      </c>
      <c r="O181" s="25">
        <f t="shared" si="183"/>
        <v>-3.1500572737685976E-3</v>
      </c>
      <c r="P181" s="391">
        <v>466090081.55000001</v>
      </c>
      <c r="Q181" s="395">
        <v>109.25</v>
      </c>
      <c r="R181" s="25">
        <f t="shared" si="184"/>
        <v>4.5959148015240633E-2</v>
      </c>
      <c r="S181" s="25">
        <f t="shared" si="185"/>
        <v>4.6155319352676367E-2</v>
      </c>
      <c r="T181" s="391">
        <v>466627258.92000002</v>
      </c>
      <c r="U181" s="395">
        <v>109.38</v>
      </c>
      <c r="V181" s="25">
        <f t="shared" si="186"/>
        <v>1.1525183462681749E-3</v>
      </c>
      <c r="W181" s="25">
        <f t="shared" si="187"/>
        <v>1.1899313501143747E-3</v>
      </c>
      <c r="X181" s="391">
        <v>465985818.86000001</v>
      </c>
      <c r="Y181" s="395">
        <v>109.23</v>
      </c>
      <c r="Z181" s="25">
        <f t="shared" si="188"/>
        <v>-1.3746304951935369E-3</v>
      </c>
      <c r="AA181" s="25">
        <f t="shared" si="189"/>
        <v>-1.3713658804168174E-3</v>
      </c>
      <c r="AB181" s="391">
        <v>477270455.54000002</v>
      </c>
      <c r="AC181" s="395">
        <v>111.87</v>
      </c>
      <c r="AD181" s="25">
        <f t="shared" si="190"/>
        <v>2.4216695494311477E-2</v>
      </c>
      <c r="AE181" s="25">
        <f t="shared" si="191"/>
        <v>2.4169184290030215E-2</v>
      </c>
      <c r="AF181" s="391">
        <v>478721776.20999998</v>
      </c>
      <c r="AG181" s="395">
        <v>112.21</v>
      </c>
      <c r="AH181" s="25">
        <f t="shared" si="192"/>
        <v>3.0408768302196362E-3</v>
      </c>
      <c r="AI181" s="25">
        <f t="shared" si="193"/>
        <v>3.0392419772949778E-3</v>
      </c>
      <c r="AJ181" s="26">
        <f t="shared" si="200"/>
        <v>1.2251026196997288E-2</v>
      </c>
      <c r="AK181" s="26">
        <f t="shared" si="201"/>
        <v>1.2257908667389145E-2</v>
      </c>
      <c r="AL181" s="27">
        <f t="shared" si="202"/>
        <v>9.4362911806657082E-2</v>
      </c>
      <c r="AM181" s="27">
        <f t="shared" si="203"/>
        <v>9.4411391787769361E-2</v>
      </c>
      <c r="AN181" s="28">
        <f t="shared" si="204"/>
        <v>1.7043139067192483E-2</v>
      </c>
      <c r="AO181" s="85">
        <f t="shared" si="205"/>
        <v>1.7102105828453711E-2</v>
      </c>
    </row>
    <row r="182" spans="1:41">
      <c r="A182" s="218" t="s">
        <v>100</v>
      </c>
      <c r="B182" s="391">
        <v>594912643.71000004</v>
      </c>
      <c r="C182" s="395">
        <v>130.09</v>
      </c>
      <c r="D182" s="391">
        <v>611428907.62</v>
      </c>
      <c r="E182" s="395">
        <v>133.71</v>
      </c>
      <c r="F182" s="25">
        <f t="shared" si="178"/>
        <v>2.7762502755028166E-2</v>
      </c>
      <c r="G182" s="25">
        <f t="shared" si="179"/>
        <v>2.7826889076793024E-2</v>
      </c>
      <c r="H182" s="391">
        <v>615023515.02999997</v>
      </c>
      <c r="I182" s="395">
        <v>134.49</v>
      </c>
      <c r="J182" s="25">
        <f t="shared" si="180"/>
        <v>5.8790275781890203E-3</v>
      </c>
      <c r="K182" s="25">
        <f t="shared" si="181"/>
        <v>5.833520305137993E-3</v>
      </c>
      <c r="L182" s="391">
        <v>627940398.79999995</v>
      </c>
      <c r="M182" s="395">
        <v>137.21</v>
      </c>
      <c r="N182" s="25">
        <f t="shared" si="182"/>
        <v>2.1002260001993442E-2</v>
      </c>
      <c r="O182" s="25">
        <f t="shared" si="183"/>
        <v>2.0224552011301945E-2</v>
      </c>
      <c r="P182" s="391">
        <v>643339180.24000001</v>
      </c>
      <c r="Q182" s="395">
        <v>140.66999999999999</v>
      </c>
      <c r="R182" s="25">
        <f t="shared" si="184"/>
        <v>2.4522679969989625E-2</v>
      </c>
      <c r="S182" s="25">
        <f t="shared" si="185"/>
        <v>2.5216820931418842E-2</v>
      </c>
      <c r="T182" s="391">
        <v>638984796.32000005</v>
      </c>
      <c r="U182" s="395">
        <v>139.72</v>
      </c>
      <c r="V182" s="25">
        <f t="shared" si="186"/>
        <v>-6.7684109001033303E-3</v>
      </c>
      <c r="W182" s="25">
        <f t="shared" si="187"/>
        <v>-6.7533944693252915E-3</v>
      </c>
      <c r="X182" s="391">
        <v>640673529.03999996</v>
      </c>
      <c r="Y182" s="395">
        <v>137.69</v>
      </c>
      <c r="Z182" s="25">
        <f t="shared" si="188"/>
        <v>2.6428370905310261E-3</v>
      </c>
      <c r="AA182" s="25">
        <f t="shared" si="189"/>
        <v>-1.4529058116232473E-2</v>
      </c>
      <c r="AB182" s="391">
        <v>661972389.97000003</v>
      </c>
      <c r="AC182" s="395">
        <v>144.75</v>
      </c>
      <c r="AD182" s="25">
        <f t="shared" si="190"/>
        <v>3.3244484069623999E-2</v>
      </c>
      <c r="AE182" s="25">
        <f t="shared" si="191"/>
        <v>5.1274602367637465E-2</v>
      </c>
      <c r="AF182" s="391">
        <v>659082179.95000005</v>
      </c>
      <c r="AG182" s="395">
        <v>144.12</v>
      </c>
      <c r="AH182" s="25">
        <f t="shared" si="192"/>
        <v>-4.3660582583073633E-3</v>
      </c>
      <c r="AI182" s="25">
        <f t="shared" si="193"/>
        <v>-4.3523316062175849E-3</v>
      </c>
      <c r="AJ182" s="26">
        <f t="shared" si="200"/>
        <v>1.2989915288368072E-2</v>
      </c>
      <c r="AK182" s="26">
        <f t="shared" si="201"/>
        <v>1.3092700062564237E-2</v>
      </c>
      <c r="AL182" s="27">
        <f t="shared" si="202"/>
        <v>7.7937552078607822E-2</v>
      </c>
      <c r="AM182" s="27">
        <f t="shared" si="203"/>
        <v>7.7855059457033846E-2</v>
      </c>
      <c r="AN182" s="28">
        <f t="shared" si="204"/>
        <v>1.5468526796453642E-2</v>
      </c>
      <c r="AO182" s="85">
        <f t="shared" si="205"/>
        <v>2.1995666528836774E-2</v>
      </c>
    </row>
    <row r="183" spans="1:41">
      <c r="A183" s="218" t="s">
        <v>151</v>
      </c>
      <c r="B183" s="391">
        <v>516852013.23148328</v>
      </c>
      <c r="C183" s="395">
        <v>121.84337630252101</v>
      </c>
      <c r="D183" s="391">
        <v>519860990.44</v>
      </c>
      <c r="E183" s="395">
        <v>122.59</v>
      </c>
      <c r="F183" s="25">
        <f t="shared" si="178"/>
        <v>5.821738392202183E-3</v>
      </c>
      <c r="G183" s="25">
        <f t="shared" si="179"/>
        <v>6.1277331615074999E-3</v>
      </c>
      <c r="H183" s="391">
        <v>532073335.14999998</v>
      </c>
      <c r="I183" s="395">
        <v>125.46</v>
      </c>
      <c r="J183" s="25">
        <f t="shared" si="180"/>
        <v>2.3491558194554459E-2</v>
      </c>
      <c r="K183" s="25">
        <f t="shared" si="181"/>
        <v>2.3411371237458116E-2</v>
      </c>
      <c r="L183" s="391">
        <v>761457944.21000004</v>
      </c>
      <c r="M183" s="395">
        <v>178.29</v>
      </c>
      <c r="N183" s="25">
        <f t="shared" si="182"/>
        <v>0.43111464887698775</v>
      </c>
      <c r="O183" s="25">
        <f t="shared" si="183"/>
        <v>0.42109038737446197</v>
      </c>
      <c r="P183" s="391">
        <v>541441317.00999999</v>
      </c>
      <c r="Q183" s="395">
        <v>127.62</v>
      </c>
      <c r="R183" s="25">
        <f t="shared" si="184"/>
        <v>-0.28894127229608674</v>
      </c>
      <c r="S183" s="25">
        <f t="shared" si="185"/>
        <v>-0.28419989904088838</v>
      </c>
      <c r="T183" s="391">
        <v>541495574.71000004</v>
      </c>
      <c r="U183" s="395">
        <v>127.64</v>
      </c>
      <c r="V183" s="25">
        <f t="shared" si="186"/>
        <v>1.0020975181516409E-4</v>
      </c>
      <c r="W183" s="25">
        <f t="shared" si="187"/>
        <v>1.5671524839363751E-4</v>
      </c>
      <c r="X183" s="391">
        <v>541250290.91999996</v>
      </c>
      <c r="Y183" s="395">
        <v>127.58</v>
      </c>
      <c r="Z183" s="25">
        <f t="shared" si="188"/>
        <v>-4.5297468983277232E-4</v>
      </c>
      <c r="AA183" s="25">
        <f t="shared" si="189"/>
        <v>-4.7007207771860134E-4</v>
      </c>
      <c r="AB183" s="391">
        <v>549775340.68957698</v>
      </c>
      <c r="AC183" s="395">
        <v>129.54</v>
      </c>
      <c r="AD183" s="25">
        <f t="shared" si="190"/>
        <v>1.5750660854309047E-2</v>
      </c>
      <c r="AE183" s="25">
        <f t="shared" si="191"/>
        <v>1.5362909546950883E-2</v>
      </c>
      <c r="AF183" s="391">
        <v>551574995.07993412</v>
      </c>
      <c r="AG183" s="395">
        <v>129.96</v>
      </c>
      <c r="AH183" s="25">
        <f t="shared" si="192"/>
        <v>3.2734359967834326E-3</v>
      </c>
      <c r="AI183" s="25">
        <f t="shared" si="193"/>
        <v>3.2422417786013274E-3</v>
      </c>
      <c r="AJ183" s="26">
        <f t="shared" si="200"/>
        <v>2.3769750635091562E-2</v>
      </c>
      <c r="AK183" s="26">
        <f t="shared" si="201"/>
        <v>2.3090173403595808E-2</v>
      </c>
      <c r="AL183" s="27">
        <f t="shared" si="202"/>
        <v>6.1004778629556375E-2</v>
      </c>
      <c r="AM183" s="27">
        <f t="shared" si="203"/>
        <v>6.011909617423937E-2</v>
      </c>
      <c r="AN183" s="28">
        <f t="shared" si="204"/>
        <v>0.19481553576334945</v>
      </c>
      <c r="AO183" s="85">
        <f t="shared" si="205"/>
        <v>0.19073312176119778</v>
      </c>
    </row>
    <row r="184" spans="1:41">
      <c r="A184" s="218" t="s">
        <v>199</v>
      </c>
      <c r="B184" s="391">
        <v>226369634.77000001</v>
      </c>
      <c r="C184" s="395">
        <v>17.34094</v>
      </c>
      <c r="D184" s="391">
        <v>229986231.66</v>
      </c>
      <c r="E184" s="395">
        <v>17.62</v>
      </c>
      <c r="F184" s="25">
        <f t="shared" si="178"/>
        <v>1.5976510690908625E-2</v>
      </c>
      <c r="G184" s="25">
        <f t="shared" si="179"/>
        <v>1.6092553229525113E-2</v>
      </c>
      <c r="H184" s="391">
        <v>232394121.97</v>
      </c>
      <c r="I184" s="395">
        <v>17.82</v>
      </c>
      <c r="J184" s="25">
        <f t="shared" si="180"/>
        <v>1.0469715046071564E-2</v>
      </c>
      <c r="K184" s="25">
        <f t="shared" si="181"/>
        <v>1.1350737797956827E-2</v>
      </c>
      <c r="L184" s="391">
        <v>231547010.15000001</v>
      </c>
      <c r="M184" s="395">
        <v>16.5</v>
      </c>
      <c r="N184" s="25">
        <f t="shared" si="182"/>
        <v>-3.64515166226686E-3</v>
      </c>
      <c r="O184" s="25">
        <f t="shared" si="183"/>
        <v>-7.4074074074074084E-2</v>
      </c>
      <c r="P184" s="391">
        <v>243315386.49000001</v>
      </c>
      <c r="Q184" s="395">
        <v>16.5</v>
      </c>
      <c r="R184" s="25">
        <f t="shared" si="184"/>
        <v>5.082499805277664E-2</v>
      </c>
      <c r="S184" s="25">
        <f t="shared" si="185"/>
        <v>0</v>
      </c>
      <c r="T184" s="391">
        <v>242160896.10999998</v>
      </c>
      <c r="U184" s="395">
        <v>16.5</v>
      </c>
      <c r="V184" s="25">
        <f t="shared" si="186"/>
        <v>-4.7448309646766764E-3</v>
      </c>
      <c r="W184" s="25">
        <f t="shared" si="187"/>
        <v>0</v>
      </c>
      <c r="X184" s="391">
        <v>244737027.19</v>
      </c>
      <c r="Y184" s="395">
        <v>16.5</v>
      </c>
      <c r="Z184" s="25">
        <f t="shared" si="188"/>
        <v>1.063809690739591E-2</v>
      </c>
      <c r="AA184" s="25">
        <f t="shared" si="189"/>
        <v>0</v>
      </c>
      <c r="AB184" s="391">
        <v>239091543.55000001</v>
      </c>
      <c r="AC184" s="395">
        <v>16.5</v>
      </c>
      <c r="AD184" s="25">
        <f t="shared" si="190"/>
        <v>-2.3067550116219852E-2</v>
      </c>
      <c r="AE184" s="25">
        <f t="shared" si="191"/>
        <v>0</v>
      </c>
      <c r="AF184" s="391">
        <v>236249253.47</v>
      </c>
      <c r="AG184" s="395">
        <v>16.5</v>
      </c>
      <c r="AH184" s="25">
        <f t="shared" si="192"/>
        <v>-1.1887873731534212E-2</v>
      </c>
      <c r="AI184" s="25">
        <f t="shared" si="193"/>
        <v>0</v>
      </c>
      <c r="AJ184" s="26">
        <f t="shared" si="200"/>
        <v>5.5704892778068935E-3</v>
      </c>
      <c r="AK184" s="26">
        <f t="shared" si="201"/>
        <v>-5.8288478808240177E-3</v>
      </c>
      <c r="AL184" s="27">
        <f t="shared" si="202"/>
        <v>2.7232159789717051E-2</v>
      </c>
      <c r="AM184" s="27">
        <f t="shared" si="203"/>
        <v>-6.356413166855851E-2</v>
      </c>
      <c r="AN184" s="28">
        <f t="shared" si="204"/>
        <v>2.2431497355506789E-2</v>
      </c>
      <c r="AO184" s="85">
        <f t="shared" si="205"/>
        <v>2.8291781307834125E-2</v>
      </c>
    </row>
    <row r="185" spans="1:41">
      <c r="A185" s="218" t="s">
        <v>200</v>
      </c>
      <c r="B185" s="391">
        <v>184172444.52000001</v>
      </c>
      <c r="C185" s="395">
        <v>14.0844</v>
      </c>
      <c r="D185" s="391">
        <v>189002517.96000001</v>
      </c>
      <c r="E185" s="395">
        <v>14.45</v>
      </c>
      <c r="F185" s="25">
        <f t="shared" si="178"/>
        <v>2.6225820331528916E-2</v>
      </c>
      <c r="G185" s="25">
        <f t="shared" si="179"/>
        <v>2.5957797279259238E-2</v>
      </c>
      <c r="H185" s="391">
        <v>189763518.83000001</v>
      </c>
      <c r="I185" s="395">
        <v>14.53</v>
      </c>
      <c r="J185" s="25">
        <f t="shared" si="180"/>
        <v>4.0264059876761061E-3</v>
      </c>
      <c r="K185" s="25">
        <f t="shared" si="181"/>
        <v>5.5363321799308009E-3</v>
      </c>
      <c r="L185" s="391">
        <v>192784493.38</v>
      </c>
      <c r="M185" s="395">
        <v>17.5</v>
      </c>
      <c r="N185" s="25">
        <f t="shared" si="182"/>
        <v>1.5919680287475736E-2</v>
      </c>
      <c r="O185" s="25">
        <f t="shared" si="183"/>
        <v>0.2044046799724708</v>
      </c>
      <c r="P185" s="391">
        <v>193700593.5</v>
      </c>
      <c r="Q185" s="395">
        <v>17.5</v>
      </c>
      <c r="R185" s="25">
        <f t="shared" si="184"/>
        <v>4.7519388304445628E-3</v>
      </c>
      <c r="S185" s="25">
        <f t="shared" si="185"/>
        <v>0</v>
      </c>
      <c r="T185" s="391">
        <v>195763260.58000001</v>
      </c>
      <c r="U185" s="395">
        <v>17.5</v>
      </c>
      <c r="V185" s="25">
        <f t="shared" si="186"/>
        <v>1.0648739080915686E-2</v>
      </c>
      <c r="W185" s="25">
        <f t="shared" si="187"/>
        <v>0</v>
      </c>
      <c r="X185" s="391">
        <v>191830417.69</v>
      </c>
      <c r="Y185" s="395">
        <v>17.5</v>
      </c>
      <c r="Z185" s="25">
        <f t="shared" si="188"/>
        <v>-2.0089790486467873E-2</v>
      </c>
      <c r="AA185" s="25">
        <f t="shared" si="189"/>
        <v>0</v>
      </c>
      <c r="AB185" s="391">
        <v>191944395.91999999</v>
      </c>
      <c r="AC185" s="395">
        <v>17.5</v>
      </c>
      <c r="AD185" s="25">
        <f t="shared" si="190"/>
        <v>5.941614024120998E-4</v>
      </c>
      <c r="AE185" s="25">
        <f t="shared" si="191"/>
        <v>0</v>
      </c>
      <c r="AF185" s="391">
        <v>184972621.69999999</v>
      </c>
      <c r="AG185" s="395">
        <v>17.5</v>
      </c>
      <c r="AH185" s="25">
        <f t="shared" si="192"/>
        <v>-3.6321843034717964E-2</v>
      </c>
      <c r="AI185" s="25">
        <f t="shared" si="193"/>
        <v>0</v>
      </c>
      <c r="AJ185" s="26">
        <f t="shared" si="200"/>
        <v>7.1938904990840897E-4</v>
      </c>
      <c r="AK185" s="26">
        <f t="shared" si="201"/>
        <v>2.9487351178957608E-2</v>
      </c>
      <c r="AL185" s="27">
        <f t="shared" si="202"/>
        <v>-2.1321918371758924E-2</v>
      </c>
      <c r="AM185" s="27">
        <f t="shared" si="203"/>
        <v>0.21107266435986166</v>
      </c>
      <c r="AN185" s="28">
        <f t="shared" si="204"/>
        <v>2.0044618837969375E-2</v>
      </c>
      <c r="AO185" s="85">
        <f t="shared" si="205"/>
        <v>7.1243746965547278E-2</v>
      </c>
    </row>
    <row r="186" spans="1:41" ht="15.75" thickBot="1">
      <c r="A186" s="219" t="s">
        <v>37</v>
      </c>
      <c r="B186" s="83">
        <f>SUM(B174:B185)</f>
        <v>7127915981.8214836</v>
      </c>
      <c r="C186" s="337"/>
      <c r="D186" s="83">
        <f>SUM(D174:D185)</f>
        <v>7105569433.0799999</v>
      </c>
      <c r="E186" s="337"/>
      <c r="F186" s="25">
        <f>((D186-B186)/B186)</f>
        <v>-3.1350746555479461E-3</v>
      </c>
      <c r="G186" s="225"/>
      <c r="H186" s="83">
        <f>SUM(H174:H185)</f>
        <v>7215263147.7200003</v>
      </c>
      <c r="I186" s="337"/>
      <c r="J186" s="25">
        <f>((H186-D186)/D186)</f>
        <v>1.5437709204461633E-2</v>
      </c>
      <c r="K186" s="225"/>
      <c r="L186" s="83">
        <f>SUM(L174:L185)</f>
        <v>7567675949.3500004</v>
      </c>
      <c r="M186" s="337"/>
      <c r="N186" s="25">
        <f>((L186-H186)/H186)</f>
        <v>4.8842681744928652E-2</v>
      </c>
      <c r="O186" s="225"/>
      <c r="P186" s="83">
        <f>SUM(P174:P185)</f>
        <v>7480476595.2300005</v>
      </c>
      <c r="Q186" s="337"/>
      <c r="R186" s="25">
        <f>((P186-L186)/L186)</f>
        <v>-1.152260676905564E-2</v>
      </c>
      <c r="S186" s="225"/>
      <c r="T186" s="83">
        <f>SUM(T174:T185)</f>
        <v>7479400530.9599991</v>
      </c>
      <c r="U186" s="337"/>
      <c r="V186" s="25">
        <f>((T186-P186)/P186)</f>
        <v>-1.4384969410740145E-4</v>
      </c>
      <c r="W186" s="225"/>
      <c r="X186" s="83">
        <f>SUM(X174:X185)</f>
        <v>7537010574.9499979</v>
      </c>
      <c r="Y186" s="337"/>
      <c r="Z186" s="25">
        <f>((X186-T186)/T186)</f>
        <v>7.7024948391959469E-3</v>
      </c>
      <c r="AA186" s="225"/>
      <c r="AB186" s="83">
        <f>SUM(AB174:AB185)</f>
        <v>7837434944.6095772</v>
      </c>
      <c r="AC186" s="337"/>
      <c r="AD186" s="25">
        <f>((AB186-X186)/X186)</f>
        <v>3.9859884323112063E-2</v>
      </c>
      <c r="AE186" s="225"/>
      <c r="AF186" s="83">
        <f>SUM(AF174:AF185)</f>
        <v>8659696862.4999352</v>
      </c>
      <c r="AG186" s="337"/>
      <c r="AH186" s="25">
        <f>((AF186-AB186)/AB186)</f>
        <v>0.10491467217292724</v>
      </c>
      <c r="AI186" s="225"/>
      <c r="AJ186" s="26">
        <f t="shared" si="200"/>
        <v>2.5244488895739318E-2</v>
      </c>
      <c r="AK186" s="26"/>
      <c r="AL186" s="27">
        <f t="shared" si="202"/>
        <v>0.21871961762623701</v>
      </c>
      <c r="AM186" s="27"/>
      <c r="AN186" s="28">
        <f t="shared" si="204"/>
        <v>3.8402945875466769E-2</v>
      </c>
      <c r="AO186" s="85"/>
    </row>
    <row r="187" spans="1:41" ht="15.75" thickBot="1">
      <c r="A187" s="65" t="s">
        <v>47</v>
      </c>
      <c r="B187" s="240">
        <f>SUM(B164,B171,B186)</f>
        <v>1477514993769.4717</v>
      </c>
      <c r="C187" s="338"/>
      <c r="D187" s="240">
        <f>SUM(D164,D171,D186)</f>
        <v>1490208961438.8147</v>
      </c>
      <c r="E187" s="338"/>
      <c r="F187" s="225">
        <f>((D187-B187)/B187)</f>
        <v>8.5914306946949237E-3</v>
      </c>
      <c r="G187" s="336"/>
      <c r="H187" s="240">
        <f>SUM(H164,H171,H186)</f>
        <v>1518171723181.5208</v>
      </c>
      <c r="I187" s="338"/>
      <c r="J187" s="225">
        <f>((H187-D187)/D187)</f>
        <v>1.8764322632785452E-2</v>
      </c>
      <c r="K187" s="336"/>
      <c r="L187" s="240">
        <f>SUM(L164,L171,L186)</f>
        <v>1530621200656.0273</v>
      </c>
      <c r="M187" s="338"/>
      <c r="N187" s="225">
        <f>((L187-H187)/H187)</f>
        <v>8.200309151073594E-3</v>
      </c>
      <c r="O187" s="336"/>
      <c r="P187" s="240">
        <f>SUM(P164,P171,P186)</f>
        <v>1545510531193.4009</v>
      </c>
      <c r="Q187" s="338"/>
      <c r="R187" s="225">
        <f>((P187-L187)/L187)</f>
        <v>9.7276390337412925E-3</v>
      </c>
      <c r="S187" s="336"/>
      <c r="T187" s="240">
        <f>SUM(T164,T171,T186)</f>
        <v>1557107223980.0454</v>
      </c>
      <c r="U187" s="338"/>
      <c r="V187" s="225">
        <f>((T187-P187)/P187)</f>
        <v>7.5034705701357354E-3</v>
      </c>
      <c r="W187" s="336"/>
      <c r="X187" s="240">
        <f>SUM(X164,X171,X186)</f>
        <v>1577813599129.8181</v>
      </c>
      <c r="Y187" s="338"/>
      <c r="Z187" s="225">
        <f>((X187-T187)/T187)</f>
        <v>1.3297976421203773E-2</v>
      </c>
      <c r="AA187" s="336"/>
      <c r="AB187" s="240">
        <f>SUM(AB164,AB171,AB186)</f>
        <v>1615711565535.3123</v>
      </c>
      <c r="AC187" s="338"/>
      <c r="AD187" s="225">
        <f>((AB187-X187)/X187)</f>
        <v>2.4019292536453796E-2</v>
      </c>
      <c r="AE187" s="336"/>
      <c r="AF187" s="240">
        <f>SUM(AF164,AF171,AF186)</f>
        <v>1638519286447.6008</v>
      </c>
      <c r="AG187" s="338"/>
      <c r="AH187" s="225">
        <f>((AF187-AB187)/AB187)</f>
        <v>1.4116208238400518E-2</v>
      </c>
      <c r="AI187" s="336"/>
      <c r="AJ187" s="26">
        <f t="shared" si="200"/>
        <v>1.3027581159811135E-2</v>
      </c>
      <c r="AK187" s="26"/>
      <c r="AL187" s="27">
        <f t="shared" si="202"/>
        <v>9.9523173492119338E-2</v>
      </c>
      <c r="AM187" s="27"/>
      <c r="AN187" s="28">
        <f t="shared" si="204"/>
        <v>5.8477534888762067E-3</v>
      </c>
      <c r="AO187" s="85"/>
    </row>
  </sheetData>
  <protectedRanges>
    <protectedRange password="CADF" sqref="B18" name="Fund Name_1_1_1_3_1_1_1"/>
    <protectedRange password="CADF" sqref="C18" name="Fund Name_1_1_1_1_1_1_1"/>
    <protectedRange password="CADF" sqref="B76" name="Yield_2_1_2_1_1_1"/>
    <protectedRange password="CADF" sqref="C76" name="Fund Name_2_2_1_1"/>
    <protectedRange password="CADF" sqref="C75" name="BidOffer Prices_2_1_1_1_1_1_1_1_1_1_1"/>
    <protectedRange password="CADF" sqref="B46" name="Yield_2_1_2_3_1_1"/>
    <protectedRange password="CADF" sqref="B51" name="Yield_2_1_2_4_1_1"/>
    <protectedRange password="CADF" sqref="B139:B141" name="Fund Name_1_1_1_2_1"/>
    <protectedRange password="CADF" sqref="C139:C141" name="Fund Name_1_1_1_1_2"/>
    <protectedRange password="CADF" sqref="D18" name="Fund Name_1_1_1_3_1_1_7"/>
    <protectedRange password="CADF" sqref="E18" name="Fund Name_1_1_1_1_1_1_8"/>
    <protectedRange password="CADF" sqref="D46" name="Yield_2_1_2_3_1_7"/>
    <protectedRange password="CADF" sqref="D51" name="Yield_2_1_2_4_1_7"/>
    <protectedRange password="CADF" sqref="D76" name="Yield_2_1_2_1_1_7"/>
    <protectedRange password="CADF" sqref="E76" name="Fund Name_2_2_1_1_1"/>
    <protectedRange password="CADF" sqref="E75" name="BidOffer Prices_2_1_1_1_1_1_1_1_1_1_7"/>
    <protectedRange password="CADF" sqref="D139:D141" name="Fund Name_1_1_1_2_7"/>
    <protectedRange password="CADF" sqref="E139:E141" name="Fund Name_1_1_1_1_2_1"/>
    <protectedRange password="CADF" sqref="H18" name="Fund Name_1_1_1_3_1_1_2"/>
    <protectedRange password="CADF" sqref="I18" name="Fund Name_1_1_1_1_1_1_2"/>
    <protectedRange password="CADF" sqref="H46" name="Yield_2_1_2_3_1"/>
    <protectedRange password="CADF" sqref="H51" name="Yield_2_1_2_4_1"/>
    <protectedRange password="CADF" sqref="H76" name="Yield_2_1_2_1_1"/>
    <protectedRange password="CADF" sqref="I76" name="Fund Name_2_2_1_1_2"/>
    <protectedRange password="CADF" sqref="I75" name="BidOffer Prices_2_1_1_1_1_1_1_1_1_1_2"/>
    <protectedRange password="CADF" sqref="H139:H141" name="Fund Name_1_1_1_2_2"/>
    <protectedRange password="CADF" sqref="I139:I141" name="Fund Name_1_1_1_1_2_2"/>
    <protectedRange password="CADF" sqref="L18" name="Fund Name_1_1_1_3_1_1_8"/>
    <protectedRange password="CADF" sqref="M18" name="Fund Name_1_1_1_1_1_1_7"/>
    <protectedRange password="CADF" sqref="L46" name="Yield_2_1_2_3_1_9"/>
    <protectedRange password="CADF" sqref="L51" name="Yield_2_1_2_4_1_9"/>
    <protectedRange password="CADF" sqref="L76" name="Yield_2_1_2_1_1_8"/>
    <protectedRange password="CADF" sqref="M76" name="Fund Name_2_2_1_1_8"/>
    <protectedRange password="CADF" sqref="M75" name="BidOffer Prices_2_1_1_1_1_1_1_1_1_1_8"/>
    <protectedRange password="CADF" sqref="L139:L141" name="Fund Name_1_1_1_2_8"/>
    <protectedRange password="CADF" sqref="M139:M141" name="Fund Name_1_1_1_1_2_8"/>
    <protectedRange password="CADF" sqref="P18" name="Fund Name_1_1_1_3_1_1_3"/>
    <protectedRange password="CADF" sqref="Q18" name="Fund Name_1_1_1_1_1_1_3"/>
    <protectedRange password="CADF" sqref="P46" name="Yield_2_1_2_3_1_2"/>
    <protectedRange password="CADF" sqref="P51" name="Yield_2_1_2_4_1_2"/>
    <protectedRange password="CADF" sqref="P139:P141" name="Fund Name_1_1_1_2_3"/>
    <protectedRange password="CADF" sqref="Q139:Q141" name="Fund Name_1_1_1_1_2_3"/>
    <protectedRange password="CADF" sqref="P76" name="Yield_2_1_2_1_1_10"/>
    <protectedRange password="CADF" sqref="Q76" name="Fund Name_2_2_1_1_10"/>
    <protectedRange password="CADF" sqref="Q75" name="BidOffer Prices_2_1_1_1_1_1_1_1_1_1_10"/>
    <protectedRange password="CADF" sqref="T18" name="Fund Name_1_1_1_3_1_1_4"/>
    <protectedRange password="CADF" sqref="U18" name="Fund Name_1_1_1_1_1_1_4"/>
    <protectedRange password="CADF" sqref="T46" name="Yield_2_1_2_3_1_3"/>
    <protectedRange password="CADF" sqref="T51" name="Yield_2_1_2_4_1_3"/>
    <protectedRange password="CADF" sqref="T76" name="Yield_2_1_2_1_1_2"/>
    <protectedRange password="CADF" sqref="U76" name="Fund Name_2_2_1_1_3"/>
    <protectedRange password="CADF" sqref="U75" name="BidOffer Prices_2_1_1_1_1_1_1_1_1_1_3"/>
    <protectedRange password="CADF" sqref="T139:T141" name="Fund Name_1_1_1_2_4"/>
    <protectedRange password="CADF" sqref="U139:U141" name="Fund Name_1_1_1_1_2_4"/>
    <protectedRange password="CADF" sqref="X18" name="Fund Name_1_1_1_3_1_1"/>
    <protectedRange password="CADF" sqref="Y18" name="Fund Name_1_1_1_1_1_1"/>
    <protectedRange password="CADF" sqref="X46" name="Yield_2_1_2_3_1_4"/>
    <protectedRange password="CADF" sqref="X51" name="Yield_2_1_2_4_1_4"/>
    <protectedRange password="CADF" sqref="X76" name="Yield_2_1_2_1_1_3"/>
    <protectedRange password="CADF" sqref="Y76" name="Fund Name_2_2_1_1_4"/>
    <protectedRange password="CADF" sqref="Y75" name="BidOffer Prices_2_1_1_1_1_1_1_1_1_1"/>
    <protectedRange password="CADF" sqref="X93" name="Yield_2_1_2_6_3"/>
    <protectedRange password="CADF" sqref="X139:X141" name="Fund Name_1_1_1_2"/>
    <protectedRange password="CADF" sqref="Y139:Y141" name="Fund Name_1_1_1_1_2_5"/>
    <protectedRange password="CADF" sqref="AB18" name="Fund Name_1_1_1_3_1_1_5"/>
    <protectedRange password="CADF" sqref="AC18" name="Fund Name_1_1_1_1_1_1_5"/>
    <protectedRange password="CADF" sqref="AB46" name="Yield_2_1_2_3_1_5"/>
    <protectedRange password="CADF" sqref="AB51" name="Yield_2_1_2_4_1_5"/>
    <protectedRange password="CADF" sqref="AB76" name="Yield_2_1_2_1_1_4"/>
    <protectedRange password="CADF" sqref="AC76" name="Fund Name_2_2_1_1_5"/>
    <protectedRange password="CADF" sqref="AC75" name="BidOffer Prices_2_1_1_1_1_1_1_1_1_1_4"/>
    <protectedRange password="CADF" sqref="AB93" name="Yield_2_1_2_6_3_1"/>
    <protectedRange password="CADF" sqref="AB139:AB141" name="Fund Name_1_1_1_2_5"/>
    <protectedRange password="CADF" sqref="AC139:AC141" name="Fund Name_1_1_1_1_2_6"/>
    <protectedRange password="CADF" sqref="AF18" name="Fund Name_1_1_1_3_1_1_6"/>
    <protectedRange password="CADF" sqref="AG18" name="Fund Name_1_1_1_1_1_1_6"/>
    <protectedRange password="CADF" sqref="AF46" name="Yield_2_1_2_3_1_6"/>
    <protectedRange password="CADF" sqref="AF51" name="Yield_2_1_2_4_1_6"/>
    <protectedRange password="CADF" sqref="AF76" name="Yield_2_1_2_1_1_5"/>
    <protectedRange password="CADF" sqref="AG76" name="Fund Name_2_2_1_1_6"/>
    <protectedRange password="CADF" sqref="AG75" name="BidOffer Prices_2_1_1_1_1_1_1_1_1_1_5"/>
    <protectedRange password="CADF" sqref="AF93" name="Yield_2_1_2_6_3_2"/>
    <protectedRange password="CADF" sqref="AF139:AF141" name="Fund Name_1_1_1_2_6"/>
    <protectedRange password="CADF" sqref="AG139:AG141" name="Fund Name_1_1_1_1_2_7"/>
  </protectedRanges>
  <mergeCells count="23">
    <mergeCell ref="A1:AO1"/>
    <mergeCell ref="AN2:AO2"/>
    <mergeCell ref="AL2:AM2"/>
    <mergeCell ref="AJ2:AK2"/>
    <mergeCell ref="B2:C2"/>
    <mergeCell ref="H2:I2"/>
    <mergeCell ref="J2:K2"/>
    <mergeCell ref="R2:S2"/>
    <mergeCell ref="P2:Q2"/>
    <mergeCell ref="AQ2:AR2"/>
    <mergeCell ref="AQ124:AR124"/>
    <mergeCell ref="F2:G2"/>
    <mergeCell ref="D2:E2"/>
    <mergeCell ref="N2:O2"/>
    <mergeCell ref="L2:M2"/>
    <mergeCell ref="T2:U2"/>
    <mergeCell ref="V2:W2"/>
    <mergeCell ref="X2:Y2"/>
    <mergeCell ref="Z2:AA2"/>
    <mergeCell ref="AB2:AC2"/>
    <mergeCell ref="AD2:AE2"/>
    <mergeCell ref="AF2:AG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Data!Print_Area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2023-02-16T10:30:29Z</dcterms:modified>
</cp:coreProperties>
</file>