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4\"/>
    </mc:Choice>
  </mc:AlternateContent>
  <bookViews>
    <workbookView xWindow="0" yWindow="0" windowWidth="24000" windowHeight="10212"/>
  </bookViews>
  <sheets>
    <sheet name="July 2024" sheetId="7" r:id="rId1"/>
    <sheet name="NAV Comparison" sheetId="2" r:id="rId2"/>
    <sheet name="Market Share" sheetId="3" r:id="rId3"/>
    <sheet name="Unitholders" sheetId="6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M180" i="7" l="1"/>
  <c r="M181" i="7"/>
  <c r="M182" i="7"/>
  <c r="M183" i="7"/>
  <c r="M184" i="7"/>
  <c r="M185" i="7"/>
  <c r="M186" i="7"/>
  <c r="M187" i="7"/>
  <c r="M188" i="7"/>
  <c r="M189" i="7"/>
  <c r="L180" i="7"/>
  <c r="L181" i="7"/>
  <c r="L182" i="7"/>
  <c r="L183" i="7"/>
  <c r="L184" i="7"/>
  <c r="L185" i="7"/>
  <c r="L186" i="7"/>
  <c r="L187" i="7"/>
  <c r="L188" i="7"/>
  <c r="L189" i="7"/>
  <c r="L176" i="7"/>
  <c r="J180" i="7"/>
  <c r="J181" i="7"/>
  <c r="J182" i="7"/>
  <c r="J183" i="7"/>
  <c r="J184" i="7"/>
  <c r="J185" i="7"/>
  <c r="J186" i="7"/>
  <c r="J187" i="7"/>
  <c r="J188" i="7"/>
  <c r="J189" i="7"/>
  <c r="M169" i="7"/>
  <c r="M170" i="7"/>
  <c r="M171" i="7"/>
  <c r="L169" i="7"/>
  <c r="L170" i="7"/>
  <c r="J169" i="7"/>
  <c r="J170" i="7"/>
  <c r="L139" i="7"/>
  <c r="M139" i="7"/>
  <c r="L140" i="7"/>
  <c r="M140" i="7"/>
  <c r="L141" i="7"/>
  <c r="M141" i="7"/>
  <c r="L142" i="7"/>
  <c r="M142" i="7"/>
  <c r="L143" i="7"/>
  <c r="M143" i="7"/>
  <c r="L144" i="7"/>
  <c r="M144" i="7"/>
  <c r="L145" i="7"/>
  <c r="M145" i="7"/>
  <c r="L146" i="7"/>
  <c r="M146" i="7"/>
  <c r="L147" i="7"/>
  <c r="M147" i="7"/>
  <c r="L148" i="7"/>
  <c r="M148" i="7"/>
  <c r="L149" i="7"/>
  <c r="M149" i="7"/>
  <c r="L150" i="7"/>
  <c r="M150" i="7"/>
  <c r="L151" i="7"/>
  <c r="M151" i="7"/>
  <c r="L152" i="7"/>
  <c r="M152" i="7"/>
  <c r="L153" i="7"/>
  <c r="M153" i="7"/>
  <c r="L154" i="7"/>
  <c r="M154" i="7"/>
  <c r="L155" i="7"/>
  <c r="M155" i="7"/>
  <c r="L156" i="7"/>
  <c r="M156" i="7"/>
  <c r="L157" i="7"/>
  <c r="M157" i="7"/>
  <c r="L158" i="7"/>
  <c r="M158" i="7"/>
  <c r="L159" i="7"/>
  <c r="M159" i="7"/>
  <c r="L160" i="7"/>
  <c r="M160" i="7"/>
  <c r="L161" i="7"/>
  <c r="M161" i="7"/>
  <c r="L162" i="7"/>
  <c r="M162" i="7"/>
  <c r="L163" i="7"/>
  <c r="M163" i="7"/>
  <c r="L164" i="7"/>
  <c r="M164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L116" i="7"/>
  <c r="M116" i="7"/>
  <c r="L117" i="7"/>
  <c r="M117" i="7"/>
  <c r="L118" i="7"/>
  <c r="M118" i="7"/>
  <c r="L119" i="7"/>
  <c r="M119" i="7"/>
  <c r="L120" i="7"/>
  <c r="M120" i="7"/>
  <c r="L121" i="7"/>
  <c r="M121" i="7"/>
  <c r="L122" i="7"/>
  <c r="M122" i="7"/>
  <c r="L123" i="7"/>
  <c r="M123" i="7"/>
  <c r="L124" i="7"/>
  <c r="M124" i="7"/>
  <c r="L125" i="7"/>
  <c r="M125" i="7"/>
  <c r="L126" i="7"/>
  <c r="M126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L62" i="7"/>
  <c r="M62" i="7"/>
  <c r="L63" i="7"/>
  <c r="M63" i="7"/>
  <c r="L64" i="7"/>
  <c r="M64" i="7"/>
  <c r="L65" i="7"/>
  <c r="M65" i="7"/>
  <c r="L66" i="7"/>
  <c r="M66" i="7"/>
  <c r="L67" i="7"/>
  <c r="M67" i="7"/>
  <c r="L68" i="7"/>
  <c r="M68" i="7"/>
  <c r="L69" i="7"/>
  <c r="M69" i="7"/>
  <c r="L70" i="7"/>
  <c r="M70" i="7"/>
  <c r="L71" i="7"/>
  <c r="M71" i="7"/>
  <c r="L72" i="7"/>
  <c r="M72" i="7"/>
  <c r="L73" i="7"/>
  <c r="M73" i="7"/>
  <c r="L74" i="7"/>
  <c r="M74" i="7"/>
  <c r="L75" i="7"/>
  <c r="M75" i="7"/>
  <c r="L76" i="7"/>
  <c r="M76" i="7"/>
  <c r="L77" i="7"/>
  <c r="M77" i="7"/>
  <c r="L78" i="7"/>
  <c r="M78" i="7"/>
  <c r="L79" i="7"/>
  <c r="M79" i="7"/>
  <c r="L80" i="7"/>
  <c r="M80" i="7"/>
  <c r="L81" i="7"/>
  <c r="M81" i="7"/>
  <c r="L82" i="7"/>
  <c r="M82" i="7"/>
  <c r="L83" i="7"/>
  <c r="M83" i="7"/>
  <c r="L84" i="7"/>
  <c r="M84" i="7"/>
  <c r="L85" i="7"/>
  <c r="M85" i="7"/>
  <c r="L86" i="7"/>
  <c r="M86" i="7"/>
  <c r="L87" i="7"/>
  <c r="M87" i="7"/>
  <c r="L88" i="7"/>
  <c r="M88" i="7"/>
  <c r="L89" i="7"/>
  <c r="M89" i="7"/>
  <c r="L90" i="7"/>
  <c r="M90" i="7"/>
  <c r="L91" i="7"/>
  <c r="M91" i="7"/>
  <c r="L92" i="7"/>
  <c r="M92" i="7"/>
  <c r="L93" i="7"/>
  <c r="M93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N99" i="7"/>
  <c r="O99" i="7"/>
  <c r="P99" i="7"/>
  <c r="Q99" i="7"/>
  <c r="N100" i="7"/>
  <c r="O100" i="7"/>
  <c r="P100" i="7"/>
  <c r="Q100" i="7"/>
  <c r="N101" i="7"/>
  <c r="O101" i="7"/>
  <c r="P101" i="7"/>
  <c r="Q101" i="7"/>
  <c r="N102" i="7"/>
  <c r="O102" i="7"/>
  <c r="P102" i="7"/>
  <c r="Q102" i="7"/>
  <c r="N103" i="7"/>
  <c r="O103" i="7"/>
  <c r="P103" i="7"/>
  <c r="Q103" i="7"/>
  <c r="N104" i="7"/>
  <c r="O104" i="7"/>
  <c r="P104" i="7"/>
  <c r="Q104" i="7"/>
  <c r="N105" i="7"/>
  <c r="O105" i="7"/>
  <c r="P105" i="7"/>
  <c r="Q105" i="7"/>
  <c r="N106" i="7"/>
  <c r="O106" i="7"/>
  <c r="P106" i="7"/>
  <c r="Q106" i="7"/>
  <c r="N107" i="7"/>
  <c r="O107" i="7"/>
  <c r="P107" i="7"/>
  <c r="Q107" i="7"/>
  <c r="N108" i="7"/>
  <c r="O108" i="7"/>
  <c r="P108" i="7"/>
  <c r="Q108" i="7"/>
  <c r="N109" i="7"/>
  <c r="O109" i="7"/>
  <c r="P109" i="7"/>
  <c r="Q109" i="7"/>
  <c r="N110" i="7"/>
  <c r="O110" i="7"/>
  <c r="P110" i="7"/>
  <c r="Q110" i="7"/>
  <c r="N111" i="7"/>
  <c r="O111" i="7"/>
  <c r="P111" i="7"/>
  <c r="Q111" i="7"/>
  <c r="N112" i="7"/>
  <c r="O112" i="7"/>
  <c r="P112" i="7"/>
  <c r="Q112" i="7"/>
  <c r="B13" i="6"/>
  <c r="B11" i="6"/>
  <c r="B10" i="6"/>
  <c r="B9" i="6"/>
  <c r="B8" i="6"/>
  <c r="B7" i="6"/>
  <c r="B6" i="6"/>
  <c r="B9" i="3"/>
  <c r="B8" i="3"/>
  <c r="B7" i="3"/>
  <c r="B6" i="3"/>
  <c r="B5" i="3"/>
  <c r="B4" i="3"/>
  <c r="B3" i="3"/>
  <c r="B2" i="3"/>
  <c r="C12" i="2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Q192" i="7" l="1"/>
  <c r="P192" i="7"/>
  <c r="O192" i="7"/>
  <c r="N192" i="7"/>
  <c r="M192" i="7"/>
  <c r="N180" i="7"/>
  <c r="O180" i="7"/>
  <c r="P180" i="7"/>
  <c r="Q180" i="7"/>
  <c r="N181" i="7"/>
  <c r="O181" i="7"/>
  <c r="P181" i="7"/>
  <c r="Q181" i="7"/>
  <c r="N182" i="7"/>
  <c r="O182" i="7"/>
  <c r="P182" i="7"/>
  <c r="Q182" i="7"/>
  <c r="N183" i="7"/>
  <c r="O183" i="7"/>
  <c r="P183" i="7"/>
  <c r="Q183" i="7"/>
  <c r="N184" i="7"/>
  <c r="O184" i="7"/>
  <c r="P184" i="7"/>
  <c r="Q184" i="7"/>
  <c r="N185" i="7"/>
  <c r="O185" i="7"/>
  <c r="P185" i="7"/>
  <c r="Q185" i="7"/>
  <c r="N186" i="7"/>
  <c r="O186" i="7"/>
  <c r="P186" i="7"/>
  <c r="Q186" i="7"/>
  <c r="N187" i="7"/>
  <c r="O187" i="7"/>
  <c r="P187" i="7"/>
  <c r="Q187" i="7"/>
  <c r="N188" i="7"/>
  <c r="O188" i="7"/>
  <c r="P188" i="7"/>
  <c r="Q188" i="7"/>
  <c r="N189" i="7"/>
  <c r="O189" i="7"/>
  <c r="P189" i="7"/>
  <c r="Q189" i="7"/>
  <c r="Q179" i="7"/>
  <c r="P179" i="7"/>
  <c r="O179" i="7"/>
  <c r="N179" i="7"/>
  <c r="M179" i="7"/>
  <c r="M176" i="7"/>
  <c r="N176" i="7"/>
  <c r="O176" i="7"/>
  <c r="P176" i="7"/>
  <c r="Q176" i="7"/>
  <c r="Q175" i="7"/>
  <c r="P175" i="7"/>
  <c r="O175" i="7"/>
  <c r="N175" i="7"/>
  <c r="M175" i="7"/>
  <c r="N169" i="7"/>
  <c r="O169" i="7"/>
  <c r="P169" i="7"/>
  <c r="Q169" i="7"/>
  <c r="N170" i="7"/>
  <c r="O170" i="7"/>
  <c r="P170" i="7"/>
  <c r="Q170" i="7"/>
  <c r="Q168" i="7"/>
  <c r="P168" i="7"/>
  <c r="O168" i="7"/>
  <c r="N168" i="7"/>
  <c r="M168" i="7"/>
  <c r="N139" i="7"/>
  <c r="O139" i="7"/>
  <c r="P139" i="7"/>
  <c r="Q139" i="7"/>
  <c r="N140" i="7"/>
  <c r="O140" i="7"/>
  <c r="P140" i="7"/>
  <c r="Q140" i="7"/>
  <c r="N141" i="7"/>
  <c r="O141" i="7"/>
  <c r="P141" i="7"/>
  <c r="Q141" i="7"/>
  <c r="N142" i="7"/>
  <c r="O142" i="7"/>
  <c r="P142" i="7"/>
  <c r="Q142" i="7"/>
  <c r="N143" i="7"/>
  <c r="O143" i="7"/>
  <c r="P143" i="7"/>
  <c r="Q143" i="7"/>
  <c r="N144" i="7"/>
  <c r="O144" i="7"/>
  <c r="P144" i="7"/>
  <c r="Q144" i="7"/>
  <c r="N145" i="7"/>
  <c r="O145" i="7"/>
  <c r="P145" i="7"/>
  <c r="Q145" i="7"/>
  <c r="N146" i="7"/>
  <c r="O146" i="7"/>
  <c r="P146" i="7"/>
  <c r="Q146" i="7"/>
  <c r="N147" i="7"/>
  <c r="O147" i="7"/>
  <c r="P147" i="7"/>
  <c r="Q147" i="7"/>
  <c r="N148" i="7"/>
  <c r="O148" i="7"/>
  <c r="P148" i="7"/>
  <c r="Q148" i="7"/>
  <c r="N149" i="7"/>
  <c r="O149" i="7"/>
  <c r="P149" i="7"/>
  <c r="Q149" i="7"/>
  <c r="N150" i="7"/>
  <c r="O150" i="7"/>
  <c r="P150" i="7"/>
  <c r="Q150" i="7"/>
  <c r="N151" i="7"/>
  <c r="O151" i="7"/>
  <c r="P151" i="7"/>
  <c r="Q151" i="7"/>
  <c r="N152" i="7"/>
  <c r="O152" i="7"/>
  <c r="P152" i="7"/>
  <c r="Q152" i="7"/>
  <c r="N153" i="7"/>
  <c r="O153" i="7"/>
  <c r="P153" i="7"/>
  <c r="Q153" i="7"/>
  <c r="N154" i="7"/>
  <c r="O154" i="7"/>
  <c r="P154" i="7"/>
  <c r="Q154" i="7"/>
  <c r="N155" i="7"/>
  <c r="O155" i="7"/>
  <c r="P155" i="7"/>
  <c r="Q155" i="7"/>
  <c r="N156" i="7"/>
  <c r="O156" i="7"/>
  <c r="P156" i="7"/>
  <c r="Q156" i="7"/>
  <c r="N157" i="7"/>
  <c r="O157" i="7"/>
  <c r="P157" i="7"/>
  <c r="Q157" i="7"/>
  <c r="N158" i="7"/>
  <c r="O158" i="7"/>
  <c r="P158" i="7"/>
  <c r="Q158" i="7"/>
  <c r="N159" i="7"/>
  <c r="O159" i="7"/>
  <c r="P159" i="7"/>
  <c r="Q159" i="7"/>
  <c r="N160" i="7"/>
  <c r="O160" i="7"/>
  <c r="P160" i="7"/>
  <c r="Q160" i="7"/>
  <c r="N161" i="7"/>
  <c r="O161" i="7"/>
  <c r="P161" i="7"/>
  <c r="Q161" i="7"/>
  <c r="N162" i="7"/>
  <c r="O162" i="7"/>
  <c r="P162" i="7"/>
  <c r="Q162" i="7"/>
  <c r="N163" i="7"/>
  <c r="O163" i="7"/>
  <c r="P163" i="7"/>
  <c r="Q163" i="7"/>
  <c r="N164" i="7"/>
  <c r="O164" i="7"/>
  <c r="P164" i="7"/>
  <c r="Q164" i="7"/>
  <c r="Q138" i="7"/>
  <c r="P138" i="7"/>
  <c r="O138" i="7"/>
  <c r="N138" i="7"/>
  <c r="M138" i="7"/>
  <c r="M131" i="7"/>
  <c r="N131" i="7"/>
  <c r="O131" i="7"/>
  <c r="P131" i="7"/>
  <c r="Q131" i="7"/>
  <c r="M132" i="7"/>
  <c r="N132" i="7"/>
  <c r="O132" i="7"/>
  <c r="P132" i="7"/>
  <c r="Q132" i="7"/>
  <c r="M133" i="7"/>
  <c r="N133" i="7"/>
  <c r="O133" i="7"/>
  <c r="P133" i="7"/>
  <c r="Q133" i="7"/>
  <c r="M134" i="7"/>
  <c r="N134" i="7"/>
  <c r="O134" i="7"/>
  <c r="P134" i="7"/>
  <c r="Q134" i="7"/>
  <c r="Q130" i="7"/>
  <c r="P130" i="7"/>
  <c r="O130" i="7"/>
  <c r="N130" i="7"/>
  <c r="M130" i="7"/>
  <c r="N116" i="7"/>
  <c r="O116" i="7"/>
  <c r="P116" i="7"/>
  <c r="Q116" i="7"/>
  <c r="N117" i="7"/>
  <c r="O117" i="7"/>
  <c r="P117" i="7"/>
  <c r="Q117" i="7"/>
  <c r="N118" i="7"/>
  <c r="O118" i="7"/>
  <c r="P118" i="7"/>
  <c r="Q118" i="7"/>
  <c r="N119" i="7"/>
  <c r="O119" i="7"/>
  <c r="P119" i="7"/>
  <c r="Q119" i="7"/>
  <c r="N120" i="7"/>
  <c r="O120" i="7"/>
  <c r="P120" i="7"/>
  <c r="Q120" i="7"/>
  <c r="N121" i="7"/>
  <c r="O121" i="7"/>
  <c r="P121" i="7"/>
  <c r="Q121" i="7"/>
  <c r="N122" i="7"/>
  <c r="O122" i="7"/>
  <c r="P122" i="7"/>
  <c r="Q122" i="7"/>
  <c r="N123" i="7"/>
  <c r="O123" i="7"/>
  <c r="P123" i="7"/>
  <c r="Q123" i="7"/>
  <c r="N124" i="7"/>
  <c r="O124" i="7"/>
  <c r="P124" i="7"/>
  <c r="Q124" i="7"/>
  <c r="N125" i="7"/>
  <c r="O125" i="7"/>
  <c r="P125" i="7"/>
  <c r="Q125" i="7"/>
  <c r="N126" i="7"/>
  <c r="O126" i="7"/>
  <c r="P126" i="7"/>
  <c r="Q126" i="7"/>
  <c r="M127" i="7"/>
  <c r="Q115" i="7"/>
  <c r="P115" i="7"/>
  <c r="O115" i="7"/>
  <c r="N115" i="7"/>
  <c r="M115" i="7"/>
  <c r="Q98" i="7"/>
  <c r="P98" i="7"/>
  <c r="O98" i="7"/>
  <c r="N98" i="7"/>
  <c r="M98" i="7"/>
  <c r="N62" i="7"/>
  <c r="O62" i="7"/>
  <c r="P62" i="7"/>
  <c r="Q62" i="7"/>
  <c r="N63" i="7"/>
  <c r="O63" i="7"/>
  <c r="P63" i="7"/>
  <c r="Q63" i="7"/>
  <c r="N64" i="7"/>
  <c r="O64" i="7"/>
  <c r="P64" i="7"/>
  <c r="Q64" i="7"/>
  <c r="N65" i="7"/>
  <c r="O65" i="7"/>
  <c r="P65" i="7"/>
  <c r="Q65" i="7"/>
  <c r="N66" i="7"/>
  <c r="O66" i="7"/>
  <c r="P66" i="7"/>
  <c r="Q66" i="7"/>
  <c r="N67" i="7"/>
  <c r="O67" i="7"/>
  <c r="P67" i="7"/>
  <c r="Q67" i="7"/>
  <c r="N68" i="7"/>
  <c r="O68" i="7"/>
  <c r="P68" i="7"/>
  <c r="Q68" i="7"/>
  <c r="N69" i="7"/>
  <c r="O69" i="7"/>
  <c r="P69" i="7"/>
  <c r="Q69" i="7"/>
  <c r="N70" i="7"/>
  <c r="O70" i="7"/>
  <c r="P70" i="7"/>
  <c r="Q70" i="7"/>
  <c r="N71" i="7"/>
  <c r="O71" i="7"/>
  <c r="P71" i="7"/>
  <c r="Q71" i="7"/>
  <c r="N72" i="7"/>
  <c r="O72" i="7"/>
  <c r="P72" i="7"/>
  <c r="Q72" i="7"/>
  <c r="N73" i="7"/>
  <c r="O73" i="7"/>
  <c r="P73" i="7"/>
  <c r="Q73" i="7"/>
  <c r="N74" i="7"/>
  <c r="O74" i="7"/>
  <c r="P74" i="7"/>
  <c r="Q74" i="7"/>
  <c r="N75" i="7"/>
  <c r="O75" i="7"/>
  <c r="P75" i="7"/>
  <c r="Q75" i="7"/>
  <c r="N76" i="7"/>
  <c r="O76" i="7"/>
  <c r="P76" i="7"/>
  <c r="Q76" i="7"/>
  <c r="N77" i="7"/>
  <c r="O77" i="7"/>
  <c r="P77" i="7"/>
  <c r="Q77" i="7"/>
  <c r="N78" i="7"/>
  <c r="O78" i="7"/>
  <c r="P78" i="7"/>
  <c r="Q78" i="7"/>
  <c r="N79" i="7"/>
  <c r="O79" i="7"/>
  <c r="P79" i="7"/>
  <c r="Q79" i="7"/>
  <c r="N80" i="7"/>
  <c r="O80" i="7"/>
  <c r="P80" i="7"/>
  <c r="Q80" i="7"/>
  <c r="N81" i="7"/>
  <c r="O81" i="7"/>
  <c r="P81" i="7"/>
  <c r="Q81" i="7"/>
  <c r="N82" i="7"/>
  <c r="O82" i="7"/>
  <c r="P82" i="7"/>
  <c r="Q82" i="7"/>
  <c r="N83" i="7"/>
  <c r="O83" i="7"/>
  <c r="P83" i="7"/>
  <c r="Q83" i="7"/>
  <c r="N84" i="7"/>
  <c r="O84" i="7"/>
  <c r="P84" i="7"/>
  <c r="Q84" i="7"/>
  <c r="N85" i="7"/>
  <c r="O85" i="7"/>
  <c r="P85" i="7"/>
  <c r="Q85" i="7"/>
  <c r="N86" i="7"/>
  <c r="O86" i="7"/>
  <c r="P86" i="7"/>
  <c r="Q86" i="7"/>
  <c r="N87" i="7"/>
  <c r="O87" i="7"/>
  <c r="P87" i="7"/>
  <c r="Q87" i="7"/>
  <c r="N88" i="7"/>
  <c r="O88" i="7"/>
  <c r="P88" i="7"/>
  <c r="Q88" i="7"/>
  <c r="N89" i="7"/>
  <c r="O89" i="7"/>
  <c r="P89" i="7"/>
  <c r="Q89" i="7"/>
  <c r="N90" i="7"/>
  <c r="O90" i="7"/>
  <c r="P90" i="7"/>
  <c r="Q90" i="7"/>
  <c r="N91" i="7"/>
  <c r="O91" i="7"/>
  <c r="P91" i="7"/>
  <c r="Q91" i="7"/>
  <c r="N92" i="7"/>
  <c r="O92" i="7"/>
  <c r="P92" i="7"/>
  <c r="Q92" i="7"/>
  <c r="N93" i="7"/>
  <c r="O93" i="7"/>
  <c r="P93" i="7"/>
  <c r="Q93" i="7"/>
  <c r="Q61" i="7"/>
  <c r="P61" i="7"/>
  <c r="O61" i="7"/>
  <c r="N61" i="7"/>
  <c r="M61" i="7"/>
  <c r="N26" i="7"/>
  <c r="O26" i="7"/>
  <c r="P26" i="7"/>
  <c r="Q26" i="7"/>
  <c r="N27" i="7"/>
  <c r="O27" i="7"/>
  <c r="P27" i="7"/>
  <c r="Q27" i="7"/>
  <c r="N28" i="7"/>
  <c r="O28" i="7"/>
  <c r="P28" i="7"/>
  <c r="Q28" i="7"/>
  <c r="N29" i="7"/>
  <c r="O29" i="7"/>
  <c r="P29" i="7"/>
  <c r="Q29" i="7"/>
  <c r="N30" i="7"/>
  <c r="O30" i="7"/>
  <c r="P30" i="7"/>
  <c r="Q30" i="7"/>
  <c r="N31" i="7"/>
  <c r="O31" i="7"/>
  <c r="P31" i="7"/>
  <c r="Q31" i="7"/>
  <c r="N32" i="7"/>
  <c r="O32" i="7"/>
  <c r="P32" i="7"/>
  <c r="Q32" i="7"/>
  <c r="N33" i="7"/>
  <c r="O33" i="7"/>
  <c r="P33" i="7"/>
  <c r="Q33" i="7"/>
  <c r="N34" i="7"/>
  <c r="O34" i="7"/>
  <c r="P34" i="7"/>
  <c r="Q34" i="7"/>
  <c r="N35" i="7"/>
  <c r="O35" i="7"/>
  <c r="P35" i="7"/>
  <c r="Q35" i="7"/>
  <c r="N36" i="7"/>
  <c r="O36" i="7"/>
  <c r="P36" i="7"/>
  <c r="Q36" i="7"/>
  <c r="N37" i="7"/>
  <c r="O37" i="7"/>
  <c r="P37" i="7"/>
  <c r="Q37" i="7"/>
  <c r="N38" i="7"/>
  <c r="O38" i="7"/>
  <c r="P38" i="7"/>
  <c r="Q38" i="7"/>
  <c r="N39" i="7"/>
  <c r="O39" i="7"/>
  <c r="P39" i="7"/>
  <c r="Q39" i="7"/>
  <c r="N40" i="7"/>
  <c r="O40" i="7"/>
  <c r="P40" i="7"/>
  <c r="Q40" i="7"/>
  <c r="N41" i="7"/>
  <c r="O41" i="7"/>
  <c r="P41" i="7"/>
  <c r="Q41" i="7"/>
  <c r="N42" i="7"/>
  <c r="O42" i="7"/>
  <c r="P42" i="7"/>
  <c r="Q42" i="7"/>
  <c r="N43" i="7"/>
  <c r="O43" i="7"/>
  <c r="P43" i="7"/>
  <c r="Q43" i="7"/>
  <c r="N44" i="7"/>
  <c r="O44" i="7"/>
  <c r="P44" i="7"/>
  <c r="Q44" i="7"/>
  <c r="N45" i="7"/>
  <c r="O45" i="7"/>
  <c r="P45" i="7"/>
  <c r="Q45" i="7"/>
  <c r="N46" i="7"/>
  <c r="O46" i="7"/>
  <c r="P46" i="7"/>
  <c r="Q46" i="7"/>
  <c r="N47" i="7"/>
  <c r="O47" i="7"/>
  <c r="P47" i="7"/>
  <c r="Q47" i="7"/>
  <c r="N48" i="7"/>
  <c r="O48" i="7"/>
  <c r="P48" i="7"/>
  <c r="Q48" i="7"/>
  <c r="N49" i="7"/>
  <c r="O49" i="7"/>
  <c r="P49" i="7"/>
  <c r="Q49" i="7"/>
  <c r="N50" i="7"/>
  <c r="O50" i="7"/>
  <c r="P50" i="7"/>
  <c r="Q50" i="7"/>
  <c r="N51" i="7"/>
  <c r="O51" i="7"/>
  <c r="P51" i="7"/>
  <c r="Q51" i="7"/>
  <c r="N52" i="7"/>
  <c r="O52" i="7"/>
  <c r="P52" i="7"/>
  <c r="Q52" i="7"/>
  <c r="N53" i="7"/>
  <c r="O53" i="7"/>
  <c r="P53" i="7"/>
  <c r="Q53" i="7"/>
  <c r="N54" i="7"/>
  <c r="O54" i="7"/>
  <c r="P54" i="7"/>
  <c r="Q54" i="7"/>
  <c r="N55" i="7"/>
  <c r="O55" i="7"/>
  <c r="P55" i="7"/>
  <c r="Q55" i="7"/>
  <c r="N56" i="7"/>
  <c r="O56" i="7"/>
  <c r="P56" i="7"/>
  <c r="Q56" i="7"/>
  <c r="N57" i="7"/>
  <c r="O57" i="7"/>
  <c r="P57" i="7"/>
  <c r="Q57" i="7"/>
  <c r="Q25" i="7"/>
  <c r="P25" i="7"/>
  <c r="O25" i="7"/>
  <c r="N25" i="7"/>
  <c r="M25" i="7"/>
  <c r="N6" i="7"/>
  <c r="O6" i="7"/>
  <c r="P6" i="7"/>
  <c r="Q6" i="7"/>
  <c r="N7" i="7"/>
  <c r="O7" i="7"/>
  <c r="P7" i="7"/>
  <c r="Q7" i="7"/>
  <c r="N8" i="7"/>
  <c r="O8" i="7"/>
  <c r="P8" i="7"/>
  <c r="Q8" i="7"/>
  <c r="N9" i="7"/>
  <c r="O9" i="7"/>
  <c r="P9" i="7"/>
  <c r="Q9" i="7"/>
  <c r="N10" i="7"/>
  <c r="O10" i="7"/>
  <c r="P10" i="7"/>
  <c r="Q10" i="7"/>
  <c r="N11" i="7"/>
  <c r="O11" i="7"/>
  <c r="P11" i="7"/>
  <c r="Q11" i="7"/>
  <c r="N12" i="7"/>
  <c r="O12" i="7"/>
  <c r="P12" i="7"/>
  <c r="Q12" i="7"/>
  <c r="N13" i="7"/>
  <c r="O13" i="7"/>
  <c r="P13" i="7"/>
  <c r="Q13" i="7"/>
  <c r="N14" i="7"/>
  <c r="O14" i="7"/>
  <c r="P14" i="7"/>
  <c r="Q14" i="7"/>
  <c r="N15" i="7"/>
  <c r="O15" i="7"/>
  <c r="P15" i="7"/>
  <c r="Q15" i="7"/>
  <c r="N16" i="7"/>
  <c r="O16" i="7"/>
  <c r="P16" i="7"/>
  <c r="Q16" i="7"/>
  <c r="N17" i="7"/>
  <c r="O17" i="7"/>
  <c r="P17" i="7"/>
  <c r="Q17" i="7"/>
  <c r="N18" i="7"/>
  <c r="O18" i="7"/>
  <c r="P18" i="7"/>
  <c r="Q18" i="7"/>
  <c r="N19" i="7"/>
  <c r="O19" i="7"/>
  <c r="P19" i="7"/>
  <c r="Q19" i="7"/>
  <c r="N20" i="7"/>
  <c r="O20" i="7"/>
  <c r="P20" i="7"/>
  <c r="Q20" i="7"/>
  <c r="N21" i="7"/>
  <c r="O21" i="7"/>
  <c r="P21" i="7"/>
  <c r="Q21" i="7"/>
  <c r="L192" i="7"/>
  <c r="J192" i="7"/>
  <c r="J176" i="7"/>
  <c r="L131" i="7"/>
  <c r="L132" i="7"/>
  <c r="L133" i="7"/>
  <c r="L134" i="7"/>
  <c r="J131" i="7"/>
  <c r="J132" i="7"/>
  <c r="J133" i="7"/>
  <c r="J134" i="7"/>
  <c r="J116" i="7"/>
  <c r="J117" i="7"/>
  <c r="J118" i="7"/>
  <c r="J119" i="7"/>
  <c r="J120" i="7"/>
  <c r="J121" i="7"/>
  <c r="J122" i="7"/>
  <c r="J123" i="7"/>
  <c r="J124" i="7"/>
  <c r="J125" i="7"/>
  <c r="J126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H92" i="7" l="1"/>
  <c r="I193" i="7"/>
  <c r="I126" i="7"/>
  <c r="I125" i="7"/>
  <c r="I124" i="7"/>
  <c r="I123" i="7"/>
  <c r="I122" i="7"/>
  <c r="I121" i="7"/>
  <c r="I119" i="7"/>
  <c r="I118" i="7"/>
  <c r="I117" i="7"/>
  <c r="I116" i="7"/>
  <c r="I115" i="7"/>
  <c r="I112" i="7"/>
  <c r="I110" i="7"/>
  <c r="I109" i="7"/>
  <c r="I108" i="7"/>
  <c r="I105" i="7"/>
  <c r="I104" i="7"/>
  <c r="I103" i="7"/>
  <c r="I102" i="7"/>
  <c r="I101" i="7"/>
  <c r="I100" i="7"/>
  <c r="I99" i="7"/>
  <c r="S119" i="7"/>
  <c r="R119" i="7"/>
  <c r="K119" i="7"/>
  <c r="H119" i="7"/>
  <c r="G119" i="7"/>
  <c r="E119" i="7"/>
  <c r="D119" i="7"/>
  <c r="T144" i="7"/>
  <c r="H34" i="7"/>
  <c r="S125" i="7" l="1"/>
  <c r="R125" i="7"/>
  <c r="K125" i="7"/>
  <c r="G125" i="7"/>
  <c r="E125" i="7"/>
  <c r="H125" i="7" s="1"/>
  <c r="D125" i="7"/>
  <c r="S103" i="7" l="1"/>
  <c r="R103" i="7"/>
  <c r="K103" i="7"/>
  <c r="G103" i="7"/>
  <c r="E103" i="7"/>
  <c r="D103" i="7"/>
  <c r="H159" i="7"/>
  <c r="S104" i="7"/>
  <c r="R104" i="7"/>
  <c r="K104" i="7"/>
  <c r="G104" i="7"/>
  <c r="E104" i="7"/>
  <c r="D104" i="7"/>
  <c r="T143" i="7" l="1"/>
  <c r="S121" i="7"/>
  <c r="R121" i="7"/>
  <c r="K121" i="7"/>
  <c r="G121" i="7"/>
  <c r="F121" i="7"/>
  <c r="E121" i="7"/>
  <c r="D121" i="7"/>
  <c r="S100" i="7"/>
  <c r="R100" i="7"/>
  <c r="K100" i="7"/>
  <c r="G100" i="7"/>
  <c r="F100" i="7"/>
  <c r="E100" i="7"/>
  <c r="D100" i="7"/>
  <c r="H65" i="7"/>
  <c r="S120" i="7"/>
  <c r="R120" i="7"/>
  <c r="K120" i="7"/>
  <c r="G120" i="7"/>
  <c r="F120" i="7"/>
  <c r="E120" i="7"/>
  <c r="H120" i="7" s="1"/>
  <c r="D120" i="7"/>
  <c r="H80" i="7"/>
  <c r="K102" i="7" l="1"/>
  <c r="G102" i="7"/>
  <c r="E102" i="7"/>
  <c r="D102" i="7"/>
  <c r="H67" i="7"/>
  <c r="U31" i="7"/>
  <c r="H31" i="7"/>
  <c r="T83" i="7" l="1"/>
  <c r="H83" i="7"/>
  <c r="H192" i="7"/>
  <c r="H131" i="7"/>
  <c r="S112" i="7"/>
  <c r="R112" i="7"/>
  <c r="K112" i="7"/>
  <c r="G112" i="7"/>
  <c r="E112" i="7"/>
  <c r="D112" i="7"/>
  <c r="S99" i="7"/>
  <c r="R99" i="7"/>
  <c r="K99" i="7"/>
  <c r="G99" i="7"/>
  <c r="E99" i="7"/>
  <c r="D99" i="7"/>
  <c r="H153" i="7"/>
  <c r="S118" i="7" l="1"/>
  <c r="R118" i="7"/>
  <c r="K118" i="7"/>
  <c r="G118" i="7"/>
  <c r="E118" i="7"/>
  <c r="D118" i="7"/>
  <c r="H183" i="7"/>
  <c r="H185" i="7"/>
  <c r="H186" i="7"/>
  <c r="H139" i="7"/>
  <c r="H49" i="7"/>
  <c r="H50" i="7"/>
  <c r="H51" i="7"/>
  <c r="S116" i="7"/>
  <c r="R116" i="7"/>
  <c r="K116" i="7"/>
  <c r="G116" i="7"/>
  <c r="E116" i="7"/>
  <c r="D116" i="7"/>
  <c r="S101" i="7"/>
  <c r="R101" i="7"/>
  <c r="K101" i="7"/>
  <c r="H99" i="7"/>
  <c r="H102" i="7"/>
  <c r="H103" i="7"/>
  <c r="H104" i="7"/>
  <c r="G101" i="7"/>
  <c r="E101" i="7"/>
  <c r="D101" i="7"/>
  <c r="U9" i="7"/>
  <c r="H9" i="7"/>
  <c r="H101" i="7" l="1"/>
  <c r="G122" i="7" l="1"/>
  <c r="F122" i="7"/>
  <c r="E122" i="7"/>
  <c r="D122" i="7"/>
  <c r="S108" i="7" l="1"/>
  <c r="R108" i="7"/>
  <c r="K108" i="7"/>
  <c r="G108" i="7"/>
  <c r="E108" i="7"/>
  <c r="D108" i="7"/>
  <c r="D124" i="7"/>
  <c r="S123" i="7" l="1"/>
  <c r="R123" i="7"/>
  <c r="K123" i="7"/>
  <c r="G123" i="7"/>
  <c r="E123" i="7"/>
  <c r="D123" i="7"/>
  <c r="S110" i="7" l="1"/>
  <c r="R110" i="7"/>
  <c r="K110" i="7"/>
  <c r="G110" i="7"/>
  <c r="E110" i="7"/>
  <c r="D110" i="7"/>
  <c r="S124" i="7"/>
  <c r="R124" i="7"/>
  <c r="K124" i="7"/>
  <c r="G124" i="7"/>
  <c r="E124" i="7"/>
  <c r="T91" i="7"/>
  <c r="S105" i="7" l="1"/>
  <c r="R105" i="7"/>
  <c r="K105" i="7"/>
  <c r="G105" i="7"/>
  <c r="E105" i="7"/>
  <c r="D105" i="7"/>
  <c r="S109" i="7"/>
  <c r="R109" i="7"/>
  <c r="K109" i="7"/>
  <c r="G109" i="7"/>
  <c r="E109" i="7"/>
  <c r="D109" i="7"/>
  <c r="S115" i="7" l="1"/>
  <c r="R115" i="7"/>
  <c r="G115" i="7"/>
  <c r="E115" i="7"/>
  <c r="D115" i="7"/>
  <c r="R126" i="7" l="1"/>
  <c r="S126" i="7"/>
  <c r="K126" i="7"/>
  <c r="G126" i="7"/>
  <c r="E126" i="7"/>
  <c r="D126" i="7"/>
  <c r="R107" i="7" l="1"/>
  <c r="S107" i="7"/>
  <c r="S106" i="7"/>
  <c r="R106" i="7"/>
  <c r="S117" i="7"/>
  <c r="R117" i="7"/>
  <c r="K117" i="7"/>
  <c r="G117" i="7"/>
  <c r="E117" i="7"/>
  <c r="D117" i="7"/>
  <c r="S98" i="7"/>
  <c r="R98" i="7"/>
  <c r="H15" i="7" l="1"/>
  <c r="H16" i="7"/>
  <c r="S122" i="7" l="1"/>
  <c r="R122" i="7"/>
  <c r="K122" i="7"/>
  <c r="H75" i="7" l="1"/>
  <c r="H164" i="7" l="1"/>
  <c r="H108" i="7" l="1"/>
  <c r="H180" i="7"/>
  <c r="H181" i="7"/>
  <c r="H182" i="7"/>
  <c r="H187" i="7"/>
  <c r="H188" i="7"/>
  <c r="H189" i="7"/>
  <c r="H179" i="7"/>
  <c r="H176" i="7"/>
  <c r="H175" i="7"/>
  <c r="H169" i="7"/>
  <c r="H170" i="7"/>
  <c r="H168" i="7"/>
  <c r="H140" i="7"/>
  <c r="H141" i="7"/>
  <c r="H142" i="7"/>
  <c r="H143" i="7"/>
  <c r="H145" i="7"/>
  <c r="H147" i="7"/>
  <c r="H148" i="7"/>
  <c r="H149" i="7"/>
  <c r="H150" i="7"/>
  <c r="H151" i="7"/>
  <c r="H152" i="7"/>
  <c r="H154" i="7"/>
  <c r="H155" i="7"/>
  <c r="H156" i="7"/>
  <c r="H157" i="7"/>
  <c r="H158" i="7"/>
  <c r="H146" i="7"/>
  <c r="H160" i="7"/>
  <c r="H161" i="7"/>
  <c r="H162" i="7"/>
  <c r="H163" i="7"/>
  <c r="H138" i="7"/>
  <c r="H132" i="7"/>
  <c r="H133" i="7"/>
  <c r="H134" i="7"/>
  <c r="H130" i="7"/>
  <c r="H116" i="7"/>
  <c r="H117" i="7"/>
  <c r="H122" i="7"/>
  <c r="H123" i="7"/>
  <c r="H124" i="7"/>
  <c r="H126" i="7"/>
  <c r="H115" i="7"/>
  <c r="H100" i="7"/>
  <c r="H105" i="7"/>
  <c r="H106" i="7"/>
  <c r="H107" i="7"/>
  <c r="H109" i="7"/>
  <c r="H110" i="7"/>
  <c r="H111" i="7"/>
  <c r="H112" i="7"/>
  <c r="H98" i="7"/>
  <c r="H62" i="7"/>
  <c r="H63" i="7"/>
  <c r="H64" i="7"/>
  <c r="H66" i="7"/>
  <c r="H81" i="7"/>
  <c r="H68" i="7"/>
  <c r="H69" i="7"/>
  <c r="H70" i="7"/>
  <c r="H72" i="7"/>
  <c r="H73" i="7"/>
  <c r="H74" i="7"/>
  <c r="H61" i="7"/>
  <c r="H26" i="7"/>
  <c r="H27" i="7"/>
  <c r="H28" i="7"/>
  <c r="H29" i="7"/>
  <c r="H30" i="7"/>
  <c r="H32" i="7"/>
  <c r="H33" i="7"/>
  <c r="H35" i="7"/>
  <c r="H36" i="7"/>
  <c r="H37" i="7"/>
  <c r="H38" i="7"/>
  <c r="H39" i="7"/>
  <c r="H40" i="7"/>
  <c r="H42" i="7"/>
  <c r="H43" i="7"/>
  <c r="H44" i="7"/>
  <c r="H45" i="7"/>
  <c r="H46" i="7"/>
  <c r="H47" i="7"/>
  <c r="H48" i="7"/>
  <c r="H52" i="7"/>
  <c r="H53" i="7"/>
  <c r="H54" i="7"/>
  <c r="H55" i="7"/>
  <c r="H56" i="7"/>
  <c r="H57" i="7"/>
  <c r="H25" i="7"/>
  <c r="H6" i="7"/>
  <c r="H7" i="7"/>
  <c r="H8" i="7"/>
  <c r="H11" i="7"/>
  <c r="H12" i="7"/>
  <c r="H13" i="7"/>
  <c r="H14" i="7"/>
  <c r="H17" i="7"/>
  <c r="H18" i="7"/>
  <c r="H19" i="7"/>
  <c r="H20" i="7"/>
  <c r="H10" i="7"/>
  <c r="H21" i="7"/>
  <c r="H5" i="7"/>
  <c r="H76" i="7"/>
  <c r="H78" i="7"/>
  <c r="H79" i="7"/>
  <c r="H184" i="7"/>
  <c r="H82" i="7"/>
  <c r="H84" i="7"/>
  <c r="H85" i="7"/>
  <c r="H86" i="7"/>
  <c r="H87" i="7"/>
  <c r="H88" i="7"/>
  <c r="H89" i="7"/>
  <c r="H90" i="7"/>
  <c r="H71" i="7"/>
  <c r="H91" i="7"/>
  <c r="H77" i="7"/>
  <c r="H93" i="7"/>
  <c r="T193" i="7" l="1"/>
  <c r="K193" i="7"/>
  <c r="J179" i="7"/>
  <c r="T171" i="7"/>
  <c r="K171" i="7"/>
  <c r="I171" i="7"/>
  <c r="K165" i="7"/>
  <c r="I165" i="7"/>
  <c r="T165" i="7"/>
  <c r="T135" i="7"/>
  <c r="K135" i="7"/>
  <c r="I135" i="7"/>
  <c r="T127" i="7"/>
  <c r="K127" i="7"/>
  <c r="H118" i="7"/>
  <c r="M112" i="7"/>
  <c r="M111" i="7"/>
  <c r="M110" i="7"/>
  <c r="M108" i="7"/>
  <c r="M107" i="7"/>
  <c r="M106" i="7"/>
  <c r="M105" i="7"/>
  <c r="T94" i="7"/>
  <c r="K94" i="7"/>
  <c r="I94" i="7"/>
  <c r="T58" i="7"/>
  <c r="K58" i="7"/>
  <c r="I58" i="7"/>
  <c r="T22" i="7"/>
  <c r="K22" i="7"/>
  <c r="I22" i="7"/>
  <c r="Q5" i="7"/>
  <c r="P5" i="7"/>
  <c r="O5" i="7"/>
  <c r="N5" i="7"/>
  <c r="M5" i="7"/>
  <c r="J175" i="7" l="1"/>
  <c r="J130" i="7"/>
  <c r="J168" i="7"/>
  <c r="L61" i="7"/>
  <c r="J61" i="7"/>
  <c r="M165" i="7"/>
  <c r="J138" i="7"/>
  <c r="I127" i="7"/>
  <c r="J98" i="7" s="1"/>
  <c r="M193" i="7"/>
  <c r="H121" i="7"/>
  <c r="M135" i="7"/>
  <c r="J5" i="7"/>
  <c r="L130" i="7"/>
  <c r="L175" i="7"/>
  <c r="L179" i="7"/>
  <c r="L168" i="7"/>
  <c r="L5" i="7"/>
  <c r="T194" i="7"/>
  <c r="L138" i="7"/>
  <c r="L25" i="7"/>
  <c r="M94" i="7"/>
  <c r="L98" i="7"/>
  <c r="L115" i="7"/>
  <c r="M58" i="7"/>
  <c r="K194" i="7"/>
  <c r="L58" i="7" s="1"/>
  <c r="J25" i="7"/>
  <c r="M109" i="7"/>
  <c r="M100" i="7"/>
  <c r="I194" i="7" l="1"/>
  <c r="J171" i="7" s="1"/>
  <c r="J115" i="7"/>
  <c r="L94" i="7"/>
  <c r="L171" i="7"/>
  <c r="L193" i="7"/>
  <c r="L165" i="7"/>
  <c r="L135" i="7"/>
  <c r="L22" i="7"/>
  <c r="L127" i="7"/>
  <c r="J193" i="7" l="1"/>
  <c r="J165" i="7"/>
  <c r="J127" i="7"/>
  <c r="J58" i="7"/>
  <c r="J94" i="7"/>
  <c r="J22" i="7"/>
  <c r="J135" i="7"/>
</calcChain>
</file>

<file path=xl/sharedStrings.xml><?xml version="1.0" encoding="utf-8"?>
<sst xmlns="http://schemas.openxmlformats.org/spreadsheetml/2006/main" count="399" uniqueCount="267">
  <si>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</si>
  <si>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</si>
  <si>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</si>
  <si>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</si>
  <si>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</si>
  <si>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</si>
  <si>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</si>
  <si>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</si>
  <si>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</si>
  <si>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</si>
  <si>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</si>
  <si>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</si>
  <si>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</si>
  <si>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</si>
  <si>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</si>
  <si>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</si>
  <si>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</si>
  <si>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</si>
  <si>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</si>
  <si>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</si>
  <si>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</si>
  <si>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</si>
  <si>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</si>
  <si>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</si>
  <si>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</si>
  <si>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</si>
  <si>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</si>
  <si>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</si>
  <si>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</si>
  <si>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</si>
  <si>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</si>
  <si>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</si>
  <si>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</si>
  <si>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</si>
  <si>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</si>
  <si>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</si>
  <si>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</si>
  <si>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</si>
  <si>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</si>
  <si>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</si>
  <si>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</si>
  <si>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</si>
  <si>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</si>
  <si>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</si>
  <si>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</si>
  <si>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</si>
  <si>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</si>
  <si>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</si>
  <si>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</si>
  <si>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</si>
  <si>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</si>
  <si>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</si>
  <si>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</si>
  <si>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</si>
  <si>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</si>
  <si>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</si>
  <si>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</si>
  <si>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</si>
  <si>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</si>
  <si>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</si>
  <si>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</si>
  <si>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</si>
  <si>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</si>
  <si>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</si>
  <si>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</si>
  <si>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</si>
  <si>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</si>
  <si>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</si>
  <si>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</si>
  <si>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</si>
  <si>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</si>
  <si>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</si>
  <si>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</si>
  <si>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</si>
  <si>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</si>
  <si>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</si>
  <si>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</si>
  <si>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</si>
  <si>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</si>
  <si>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</si>
  <si>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</si>
  <si>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</si>
  <si>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</si>
  <si>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</si>
  <si>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</si>
  <si>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</si>
  <si>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</si>
  <si>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</si>
  <si>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</si>
  <si>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</si>
  <si>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</si>
  <si>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</si>
  <si>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</si>
  <si>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</si>
  <si>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</si>
  <si>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</si>
  <si>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</si>
  <si>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</si>
  <si>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</si>
  <si>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</si>
  <si>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</si>
  <si>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</si>
  <si>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</si>
  <si>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</si>
  <si>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</si>
  <si>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</si>
  <si>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</si>
  <si>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</si>
  <si>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</si>
  <si>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</si>
  <si>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</si>
  <si>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</si>
  <si>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</si>
  <si>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</si>
  <si>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</si>
  <si>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</si>
  <si>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</si>
  <si>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</si>
  <si>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</si>
  <si>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</si>
  <si>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</si>
  <si>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</si>
  <si>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</si>
  <si>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</si>
  <si>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</si>
  <si>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</si>
  <si>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</si>
  <si>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</si>
  <si>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</si>
  <si>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</si>
  <si>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</si>
  <si>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</si>
  <si>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</si>
  <si>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</si>
  <si>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</si>
  <si>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</si>
  <si>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</si>
  <si>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</si>
  <si>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</si>
  <si>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</si>
  <si>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</si>
  <si>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</si>
  <si>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</si>
  <si>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</si>
  <si>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</si>
  <si>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</si>
  <si>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</si>
  <si>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</si>
  <si>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</si>
  <si>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</si>
  <si>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</si>
  <si>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</si>
  <si>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</si>
  <si>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</si>
  <si>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</si>
  <si>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</si>
  <si>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</si>
  <si>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</si>
  <si>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</si>
  <si>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</si>
  <si>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</si>
  <si>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</si>
  <si>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</si>
  <si>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</si>
  <si>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</si>
  <si>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</si>
  <si>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</si>
  <si>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</si>
  <si>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</si>
  <si>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</si>
  <si>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</si>
  <si>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</si>
  <si>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</si>
  <si>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</si>
  <si>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</si>
  <si>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</si>
  <si>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</si>
  <si>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</si>
  <si>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</si>
  <si>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</si>
  <si>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</si>
  <si>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</si>
  <si>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</si>
  <si>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</si>
  <si>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</si>
  <si>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</si>
  <si>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</si>
  <si>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</si>
  <si>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</si>
  <si>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</si>
  <si>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</si>
  <si>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</si>
  <si>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</si>
  <si>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</si>
  <si>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</si>
  <si>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</si>
  <si>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</si>
  <si>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</si>
  <si>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</si>
  <si>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</si>
  <si>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</si>
  <si>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</si>
  <si>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</si>
  <si>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</si>
  <si>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</si>
  <si>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</si>
  <si>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</si>
  <si>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</si>
  <si>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</si>
  <si>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</si>
  <si>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</si>
  <si>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</si>
  <si>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ARM Fixed Income Fund</t>
  </si>
  <si>
    <t>UNREALIZED CAPITAL GAIN/LOSS (N)</t>
  </si>
  <si>
    <t>MONTHLY UPDATE ON REGISTERED MUTUAL FUNDS AS AT 30TH JULY, 2024</t>
  </si>
  <si>
    <t>Cowry Equity Fund</t>
  </si>
  <si>
    <t>AIICO Eurobond Fund</t>
  </si>
  <si>
    <t>CardinalStone Dollar Fund</t>
  </si>
  <si>
    <t>Comercio Partners Dollar Fund</t>
  </si>
  <si>
    <t>Comercio Partners Asset Management Limited</t>
  </si>
  <si>
    <t>Cowry Eurobond Fund</t>
  </si>
  <si>
    <t>EDC Dollar Fund</t>
  </si>
  <si>
    <t>NET ASSET VALUE (N) PREVIOUS - JUNE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</si>
  <si>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</si>
  <si>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</si>
  <si>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</si>
  <si>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</si>
  <si>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</si>
  <si>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Alpha Morgan Balanced Fund</t>
  </si>
  <si>
    <t>Alpha Morgan Capital Managers Limited</t>
  </si>
  <si>
    <t>Cowry Balanced Fund</t>
  </si>
  <si>
    <t>GTI Balanced Fund</t>
  </si>
  <si>
    <t>GTI Asset Management &amp; Trust Limited</t>
  </si>
  <si>
    <t>The Nigeria Football Fund</t>
  </si>
  <si>
    <t>FSDH Halal Fund</t>
  </si>
  <si>
    <t>Marble Halal Commodities Fund</t>
  </si>
  <si>
    <t xml:space="preserve">Marble Capital Limited </t>
  </si>
  <si>
    <t>Marble Halal Fixed Income Fund</t>
  </si>
  <si>
    <t>Coral Money Market Fund</t>
  </si>
  <si>
    <t>Growth and Development Asset Mgt. Ltd.</t>
  </si>
  <si>
    <t>Guaranty Trust Fixed Income Fund</t>
  </si>
  <si>
    <t>Utica Custodian Assured Fixed Income Fund</t>
  </si>
  <si>
    <t>Utica Capital Limited</t>
  </si>
  <si>
    <t>Nigeria Bond Fund</t>
  </si>
  <si>
    <t>Comercio Partners Fixed Income Fund</t>
  </si>
  <si>
    <t>Cowry Fixed Income Fund</t>
  </si>
  <si>
    <t>Norrenberger Turbo Fixed Income Fund</t>
  </si>
  <si>
    <t>Norrenberger Investment &amp; Capital Mgt. Ltd.</t>
  </si>
  <si>
    <t>Housing Solution Fund</t>
  </si>
  <si>
    <t>FUNDCO Capital Managers Limited</t>
  </si>
  <si>
    <t>BALANCED</t>
  </si>
  <si>
    <t>Lotus Waqf (Endowment) Fund</t>
  </si>
  <si>
    <t>22,531,271.77</t>
  </si>
  <si>
    <t>Comercio Partners Money Market Fund</t>
  </si>
  <si>
    <t>Meristem Fixed Income Fund</t>
  </si>
  <si>
    <t>Lead Dollar Fixed Income Fund</t>
  </si>
  <si>
    <t>Lead Asset Management Limited</t>
  </si>
  <si>
    <t>Meristem Dollar Fund</t>
  </si>
  <si>
    <t>RMBN Dollar Fixed Income Fund</t>
  </si>
  <si>
    <t>CardinalStone Equity Fund</t>
  </si>
  <si>
    <t>Chapel Hill Denham Money Market Fund</t>
  </si>
  <si>
    <t>FBN Bond Fund</t>
  </si>
  <si>
    <t>2,335,090,566.50</t>
  </si>
  <si>
    <r>
      <t>US$/NG</t>
    </r>
    <r>
      <rPr>
        <strike/>
        <sz val="8"/>
        <color rgb="FFFFFFFF"/>
        <rFont val="Times New Roman"/>
        <family val="1"/>
      </rPr>
      <t>N</t>
    </r>
    <r>
      <rPr>
        <sz val="8"/>
        <color rgb="FFFFFFFF"/>
        <rFont val="Times New Roman"/>
        <family val="1"/>
      </rPr>
      <t xml:space="preserve"> I&amp;E as at 31st July, 2024 =N1,610.917</t>
    </r>
  </si>
  <si>
    <t>July 2024</t>
  </si>
  <si>
    <t>June 2024</t>
  </si>
  <si>
    <t>The chart above shows that the Dollar Fund (Eurobonds and Fixed Income) has the highest share of the Aggregate Net Asset Value (NAV) at 49.02%, followed by Money Market Fund with 36.98%, Bond/Fixed Income Fund at 6.89%, Real Estate Investment Trust at 3.07%.  Next is Balanced Fund at 1.51%, Shari'ah Compliant Fund at 1.55%, Equity Fund at 0.82% and Ethical Fund at 0.16%.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</si>
</sst>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</numFmts>
  <fonts count="4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Century Gothic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Segoe UI Black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sz val="8"/>
      <color indexed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9"/>
      <name val="Century Gothic"/>
      <family val="2"/>
    </font>
    <font>
      <sz val="8"/>
      <color theme="0"/>
      <name val="Times New Roman"/>
      <family val="1"/>
    </font>
    <font>
      <sz val="8"/>
      <color rgb="FFFFFFFF"/>
      <name val="Times New Roman"/>
      <family val="1"/>
    </font>
    <font>
      <strike/>
      <sz val="8"/>
      <color rgb="FFFFFFFF"/>
      <name val="Times New Roman"/>
      <family val="1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65">
    <xf numFmtId="0" fontId="0" fillId="0" borderId="0"/>
    <xf numFmtId="164" fontId="30" fillId="0" borderId="0" applyFont="0" applyFill="0" applyBorder="0" applyAlignment="0" applyProtection="0"/>
    <xf numFmtId="44" fontId="3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165" fontId="23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3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5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5" fillId="11" borderId="0" applyNumberFormat="0" applyBorder="0" applyAlignment="0" applyProtection="0"/>
    <xf numFmtId="17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49" fontId="20" fillId="0" borderId="0"/>
    <xf numFmtId="49" fontId="20" fillId="0" borderId="0"/>
    <xf numFmtId="49" fontId="20" fillId="0" borderId="0"/>
    <xf numFmtId="49" fontId="20" fillId="0" borderId="0"/>
    <xf numFmtId="0" fontId="20" fillId="0" borderId="0"/>
    <xf numFmtId="37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/>
  </cellStyleXfs>
  <cellXfs count="16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171" fontId="3" fillId="0" borderId="0" xfId="201" applyNumberFormat="1" applyFont="1"/>
    <xf numFmtId="0" fontId="7" fillId="0" borderId="2" xfId="0" applyFont="1" applyBorder="1" applyAlignment="1">
      <alignment horizontal="right"/>
    </xf>
    <xf numFmtId="164" fontId="8" fillId="2" borderId="2" xfId="1" applyFont="1" applyFill="1" applyBorder="1" applyAlignment="1">
      <alignment horizontal="right" vertical="top" wrapText="1"/>
    </xf>
    <xf numFmtId="164" fontId="8" fillId="2" borderId="2" xfId="1" applyFont="1" applyFill="1" applyBorder="1"/>
    <xf numFmtId="4" fontId="8" fillId="2" borderId="2" xfId="0" applyNumberFormat="1" applyFont="1" applyFill="1" applyBorder="1"/>
    <xf numFmtId="4" fontId="8" fillId="2" borderId="2" xfId="0" applyNumberFormat="1" applyFont="1" applyFill="1" applyBorder="1" applyAlignment="1">
      <alignment horizontal="right"/>
    </xf>
    <xf numFmtId="172" fontId="9" fillId="2" borderId="2" xfId="0" applyNumberFormat="1" applyFont="1" applyFill="1" applyBorder="1"/>
    <xf numFmtId="164" fontId="10" fillId="2" borderId="2" xfId="1" applyFont="1" applyFill="1" applyBorder="1"/>
    <xf numFmtId="164" fontId="10" fillId="2" borderId="2" xfId="1" applyFont="1" applyFill="1" applyBorder="1" applyAlignment="1">
      <alignment horizontal="right" vertical="top" wrapText="1"/>
    </xf>
    <xf numFmtId="43" fontId="3" fillId="0" borderId="0" xfId="201" applyFont="1"/>
    <xf numFmtId="0" fontId="6" fillId="0" borderId="0" xfId="0" applyFont="1" applyAlignment="1">
      <alignment horizontal="right"/>
    </xf>
    <xf numFmtId="4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4" fontId="11" fillId="2" borderId="0" xfId="0" applyNumberFormat="1" applyFont="1" applyFill="1"/>
    <xf numFmtId="4" fontId="10" fillId="2" borderId="0" xfId="0" applyNumberFormat="1" applyFont="1" applyFill="1"/>
    <xf numFmtId="0" fontId="14" fillId="0" borderId="0" xfId="0" applyFont="1"/>
    <xf numFmtId="0" fontId="15" fillId="4" borderId="0" xfId="0" applyFont="1" applyFill="1"/>
    <xf numFmtId="0" fontId="15" fillId="0" borderId="0" xfId="0" applyFont="1"/>
    <xf numFmtId="0" fontId="15" fillId="2" borderId="0" xfId="0" applyFont="1" applyFill="1"/>
    <xf numFmtId="0" fontId="21" fillId="2" borderId="0" xfId="0" applyFont="1" applyFill="1"/>
    <xf numFmtId="164" fontId="15" fillId="2" borderId="0" xfId="1" applyFont="1" applyFill="1" applyBorder="1" applyAlignment="1"/>
    <xf numFmtId="172" fontId="19" fillId="2" borderId="0" xfId="0" applyNumberFormat="1" applyFont="1" applyFill="1"/>
    <xf numFmtId="175" fontId="19" fillId="2" borderId="0" xfId="0" applyNumberFormat="1" applyFont="1" applyFill="1"/>
    <xf numFmtId="16" fontId="7" fillId="2" borderId="2" xfId="0" quotePrefix="1" applyNumberFormat="1" applyFont="1" applyFill="1" applyBorder="1" applyAlignment="1">
      <alignment horizontal="right"/>
    </xf>
    <xf numFmtId="0" fontId="31" fillId="0" borderId="0" xfId="0" applyFont="1"/>
    <xf numFmtId="4" fontId="22" fillId="2" borderId="0" xfId="0" applyNumberFormat="1" applyFont="1" applyFill="1"/>
    <xf numFmtId="172" fontId="34" fillId="2" borderId="4" xfId="0" applyNumberFormat="1" applyFont="1" applyFill="1" applyBorder="1" applyAlignment="1">
      <alignment horizontal="right"/>
    </xf>
    <xf numFmtId="164" fontId="34" fillId="2" borderId="4" xfId="1" applyFont="1" applyFill="1" applyBorder="1" applyAlignment="1"/>
    <xf numFmtId="172" fontId="34" fillId="2" borderId="4" xfId="0" applyNumberFormat="1" applyFont="1" applyFill="1" applyBorder="1"/>
    <xf numFmtId="43" fontId="35" fillId="0" borderId="4" xfId="0" applyNumberFormat="1" applyFont="1" applyBorder="1"/>
    <xf numFmtId="164" fontId="32" fillId="2" borderId="4" xfId="1" applyFont="1" applyFill="1" applyBorder="1"/>
    <xf numFmtId="172" fontId="32" fillId="2" borderId="4" xfId="0" applyNumberFormat="1" applyFont="1" applyFill="1" applyBorder="1" applyAlignment="1">
      <alignment horizontal="right"/>
    </xf>
    <xf numFmtId="172" fontId="18" fillId="6" borderId="2" xfId="0" applyNumberFormat="1" applyFont="1" applyFill="1" applyBorder="1"/>
    <xf numFmtId="10" fontId="18" fillId="6" borderId="2" xfId="0" applyNumberFormat="1" applyFont="1" applyFill="1" applyBorder="1"/>
    <xf numFmtId="10" fontId="18" fillId="6" borderId="2" xfId="0" applyNumberFormat="1" applyFont="1" applyFill="1" applyBorder="1" applyAlignment="1">
      <alignment horizontal="right" vertical="center"/>
    </xf>
    <xf numFmtId="172" fontId="18" fillId="6" borderId="2" xfId="0" applyNumberFormat="1" applyFont="1" applyFill="1" applyBorder="1" applyAlignment="1">
      <alignment horizontal="right" vertical="center"/>
    </xf>
    <xf numFmtId="164" fontId="18" fillId="6" borderId="2" xfId="1" applyFont="1" applyFill="1" applyBorder="1"/>
    <xf numFmtId="173" fontId="32" fillId="2" borderId="2" xfId="0" applyNumberFormat="1" applyFont="1" applyFill="1" applyBorder="1" applyAlignment="1">
      <alignment horizontal="center" wrapText="1"/>
    </xf>
    <xf numFmtId="49" fontId="32" fillId="2" borderId="2" xfId="0" applyNumberFormat="1" applyFont="1" applyFill="1" applyBorder="1" applyAlignment="1">
      <alignment wrapText="1"/>
    </xf>
    <xf numFmtId="4" fontId="32" fillId="2" borderId="2" xfId="0" applyNumberFormat="1" applyFont="1" applyFill="1" applyBorder="1"/>
    <xf numFmtId="164" fontId="32" fillId="2" borderId="2" xfId="1" applyFont="1" applyFill="1" applyBorder="1" applyAlignment="1"/>
    <xf numFmtId="172" fontId="32" fillId="2" borderId="2" xfId="0" applyNumberFormat="1" applyFont="1" applyFill="1" applyBorder="1" applyAlignment="1">
      <alignment horizontal="left"/>
    </xf>
    <xf numFmtId="10" fontId="32" fillId="2" borderId="2" xfId="0" applyNumberFormat="1" applyFont="1" applyFill="1" applyBorder="1" applyAlignment="1">
      <alignment horizontal="center"/>
    </xf>
    <xf numFmtId="10" fontId="33" fillId="7" borderId="2" xfId="0" applyNumberFormat="1" applyFont="1" applyFill="1" applyBorder="1" applyAlignment="1">
      <alignment horizontal="center" vertical="center"/>
    </xf>
    <xf numFmtId="10" fontId="32" fillId="7" borderId="2" xfId="0" applyNumberFormat="1" applyFont="1" applyFill="1" applyBorder="1" applyAlignment="1">
      <alignment horizontal="center" vertical="center"/>
    </xf>
    <xf numFmtId="172" fontId="32" fillId="7" borderId="2" xfId="0" applyNumberFormat="1" applyFont="1" applyFill="1" applyBorder="1" applyAlignment="1">
      <alignment horizontal="right" vertical="center"/>
    </xf>
    <xf numFmtId="172" fontId="32" fillId="2" borderId="2" xfId="0" applyNumberFormat="1" applyFont="1" applyFill="1" applyBorder="1"/>
    <xf numFmtId="164" fontId="32" fillId="2" borderId="2" xfId="1" applyFont="1" applyFill="1" applyBorder="1"/>
    <xf numFmtId="49" fontId="32" fillId="2" borderId="2" xfId="0" applyNumberFormat="1" applyFont="1" applyFill="1" applyBorder="1"/>
    <xf numFmtId="49" fontId="32" fillId="2" borderId="2" xfId="0" applyNumberFormat="1" applyFont="1" applyFill="1" applyBorder="1" applyAlignment="1">
      <alignment vertical="center" wrapText="1"/>
    </xf>
    <xf numFmtId="4" fontId="32" fillId="2" borderId="2" xfId="0" applyNumberFormat="1" applyFont="1" applyFill="1" applyBorder="1" applyAlignment="1">
      <alignment wrapText="1"/>
    </xf>
    <xf numFmtId="0" fontId="32" fillId="2" borderId="2" xfId="0" applyFont="1" applyFill="1" applyBorder="1" applyAlignment="1">
      <alignment wrapText="1"/>
    </xf>
    <xf numFmtId="172" fontId="32" fillId="2" borderId="2" xfId="0" applyNumberFormat="1" applyFont="1" applyFill="1" applyBorder="1" applyAlignment="1">
      <alignment horizontal="right"/>
    </xf>
    <xf numFmtId="172" fontId="33" fillId="2" borderId="2" xfId="0" applyNumberFormat="1" applyFont="1" applyFill="1" applyBorder="1" applyAlignment="1">
      <alignment horizontal="left"/>
    </xf>
    <xf numFmtId="10" fontId="33" fillId="2" borderId="2" xfId="0" applyNumberFormat="1" applyFont="1" applyFill="1" applyBorder="1" applyAlignment="1">
      <alignment horizontal="center"/>
    </xf>
    <xf numFmtId="172" fontId="33" fillId="7" borderId="2" xfId="0" applyNumberFormat="1" applyFont="1" applyFill="1" applyBorder="1" applyAlignment="1">
      <alignment horizontal="right" vertical="center"/>
    </xf>
    <xf numFmtId="172" fontId="33" fillId="2" borderId="2" xfId="0" applyNumberFormat="1" applyFont="1" applyFill="1" applyBorder="1"/>
    <xf numFmtId="164" fontId="33" fillId="2" borderId="2" xfId="1" applyFont="1" applyFill="1" applyBorder="1"/>
    <xf numFmtId="172" fontId="32" fillId="7" borderId="2" xfId="0" applyNumberFormat="1" applyFont="1" applyFill="1" applyBorder="1" applyAlignment="1">
      <alignment horizontal="center" vertical="center"/>
    </xf>
    <xf numFmtId="43" fontId="32" fillId="2" borderId="2" xfId="0" applyNumberFormat="1" applyFont="1" applyFill="1" applyBorder="1"/>
    <xf numFmtId="43" fontId="32" fillId="2" borderId="2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vertical="top" wrapText="1"/>
    </xf>
    <xf numFmtId="172" fontId="33" fillId="7" borderId="2" xfId="0" applyNumberFormat="1" applyFont="1" applyFill="1" applyBorder="1" applyAlignment="1">
      <alignment horizontal="center" vertical="center"/>
    </xf>
    <xf numFmtId="0" fontId="32" fillId="2" borderId="2" xfId="1" applyNumberFormat="1" applyFont="1" applyFill="1" applyBorder="1"/>
    <xf numFmtId="0" fontId="32" fillId="2" borderId="2" xfId="0" applyFont="1" applyFill="1" applyBorder="1"/>
    <xf numFmtId="173" fontId="32" fillId="2" borderId="2" xfId="0" applyNumberFormat="1" applyFont="1" applyFill="1" applyBorder="1" applyAlignment="1">
      <alignment horizontal="right" wrapText="1"/>
    </xf>
    <xf numFmtId="164" fontId="33" fillId="2" borderId="2" xfId="1" applyFont="1" applyFill="1" applyBorder="1" applyAlignment="1"/>
    <xf numFmtId="164" fontId="32" fillId="2" borderId="2" xfId="1" applyFont="1" applyFill="1" applyBorder="1" applyAlignment="1">
      <alignment horizontal="right"/>
    </xf>
    <xf numFmtId="49" fontId="32" fillId="2" borderId="2" xfId="0" applyNumberFormat="1" applyFont="1" applyFill="1" applyBorder="1" applyAlignment="1">
      <alignment horizontal="right"/>
    </xf>
    <xf numFmtId="3" fontId="32" fillId="2" borderId="2" xfId="0" applyNumberFormat="1" applyFont="1" applyFill="1" applyBorder="1"/>
    <xf numFmtId="164" fontId="33" fillId="2" borderId="2" xfId="1" applyFont="1" applyFill="1" applyBorder="1" applyAlignment="1">
      <alignment wrapText="1"/>
    </xf>
    <xf numFmtId="10" fontId="33" fillId="7" borderId="2" xfId="0" applyNumberFormat="1" applyFont="1" applyFill="1" applyBorder="1" applyAlignment="1">
      <alignment horizontal="right" vertical="center"/>
    </xf>
    <xf numFmtId="172" fontId="32" fillId="2" borderId="2" xfId="0" applyNumberFormat="1" applyFont="1" applyFill="1" applyBorder="1" applyAlignment="1">
      <alignment horizontal="right" wrapText="1"/>
    </xf>
    <xf numFmtId="164" fontId="32" fillId="2" borderId="2" xfId="1" applyFont="1" applyFill="1" applyBorder="1" applyAlignment="1">
      <alignment horizontal="left"/>
    </xf>
    <xf numFmtId="49" fontId="17" fillId="6" borderId="2" xfId="0" applyNumberFormat="1" applyFont="1" applyFill="1" applyBorder="1" applyAlignment="1">
      <alignment horizontal="center" vertical="top" wrapText="1"/>
    </xf>
    <xf numFmtId="164" fontId="17" fillId="6" borderId="2" xfId="1" applyFont="1" applyFill="1" applyBorder="1" applyAlignment="1">
      <alignment horizontal="center" vertical="top" wrapText="1"/>
    </xf>
    <xf numFmtId="4" fontId="32" fillId="0" borderId="2" xfId="0" applyNumberFormat="1" applyFont="1" applyBorder="1"/>
    <xf numFmtId="0" fontId="32" fillId="0" borderId="2" xfId="0" applyFont="1" applyBorder="1"/>
    <xf numFmtId="4" fontId="32" fillId="0" borderId="2" xfId="0" applyNumberFormat="1" applyFont="1" applyBorder="1" applyAlignment="1">
      <alignment horizontal="right"/>
    </xf>
    <xf numFmtId="172" fontId="32" fillId="29" borderId="2" xfId="0" applyNumberFormat="1" applyFont="1" applyFill="1" applyBorder="1" applyAlignment="1">
      <alignment horizontal="left"/>
    </xf>
    <xf numFmtId="172" fontId="32" fillId="0" borderId="2" xfId="0" applyNumberFormat="1" applyFont="1" applyFill="1" applyBorder="1"/>
    <xf numFmtId="3" fontId="32" fillId="0" borderId="2" xfId="0" applyNumberFormat="1" applyFont="1" applyBorder="1"/>
    <xf numFmtId="43" fontId="32" fillId="0" borderId="2" xfId="0" applyNumberFormat="1" applyFont="1" applyBorder="1"/>
    <xf numFmtId="43" fontId="32" fillId="0" borderId="2" xfId="2" applyNumberFormat="1" applyFont="1" applyBorder="1" applyAlignment="1"/>
    <xf numFmtId="43" fontId="32" fillId="0" borderId="2" xfId="0" applyNumberFormat="1" applyFont="1" applyBorder="1" applyAlignment="1">
      <alignment vertical="center"/>
    </xf>
    <xf numFmtId="172" fontId="32" fillId="29" borderId="2" xfId="0" applyNumberFormat="1" applyFont="1" applyFill="1" applyBorder="1"/>
    <xf numFmtId="164" fontId="32" fillId="2" borderId="2" xfId="1" applyFont="1" applyFill="1" applyBorder="1" applyAlignment="1">
      <alignment wrapText="1"/>
    </xf>
    <xf numFmtId="172" fontId="32" fillId="0" borderId="2" xfId="0" applyNumberFormat="1" applyFont="1" applyFill="1" applyBorder="1" applyAlignment="1">
      <alignment horizontal="right"/>
    </xf>
    <xf numFmtId="4" fontId="32" fillId="0" borderId="2" xfId="0" applyNumberFormat="1" applyFont="1" applyFill="1" applyBorder="1" applyAlignment="1">
      <alignment horizontal="right"/>
    </xf>
    <xf numFmtId="4" fontId="32" fillId="2" borderId="2" xfId="0" applyNumberFormat="1" applyFont="1" applyFill="1" applyBorder="1" applyAlignment="1">
      <alignment horizontal="right"/>
    </xf>
    <xf numFmtId="0" fontId="32" fillId="0" borderId="2" xfId="1" applyNumberFormat="1" applyFont="1" applyBorder="1"/>
    <xf numFmtId="0" fontId="32" fillId="2" borderId="2" xfId="1" applyNumberFormat="1" applyFont="1" applyFill="1" applyBorder="1" applyAlignment="1">
      <alignment horizontal="right"/>
    </xf>
    <xf numFmtId="4" fontId="32" fillId="0" borderId="2" xfId="0" applyNumberFormat="1" applyFont="1" applyFill="1" applyBorder="1"/>
    <xf numFmtId="164" fontId="32" fillId="0" borderId="2" xfId="1" applyFont="1" applyFill="1" applyBorder="1" applyAlignment="1"/>
    <xf numFmtId="4" fontId="32" fillId="0" borderId="2" xfId="0" applyNumberFormat="1" applyFont="1" applyBorder="1" applyAlignment="1">
      <alignment vertical="center"/>
    </xf>
    <xf numFmtId="164" fontId="32" fillId="0" borderId="2" xfId="1" applyFont="1" applyBorder="1"/>
    <xf numFmtId="4" fontId="32" fillId="2" borderId="2" xfId="1" applyNumberFormat="1" applyFont="1" applyFill="1" applyBorder="1"/>
    <xf numFmtId="4" fontId="32" fillId="0" borderId="2" xfId="1" applyNumberFormat="1" applyFont="1" applyBorder="1"/>
    <xf numFmtId="43" fontId="32" fillId="2" borderId="2" xfId="1" applyNumberFormat="1" applyFont="1" applyFill="1" applyBorder="1"/>
    <xf numFmtId="43" fontId="32" fillId="0" borderId="2" xfId="2" applyNumberFormat="1" applyFont="1" applyBorder="1" applyAlignment="1">
      <alignment horizontal="right"/>
    </xf>
    <xf numFmtId="174" fontId="32" fillId="2" borderId="2" xfId="1" applyNumberFormat="1" applyFont="1" applyFill="1" applyBorder="1" applyAlignment="1">
      <alignment horizontal="center" wrapText="1"/>
    </xf>
    <xf numFmtId="164" fontId="32" fillId="2" borderId="2" xfId="1" applyFont="1" applyFill="1" applyBorder="1" applyAlignment="1">
      <alignment horizontal="left" vertical="top" wrapText="1"/>
    </xf>
    <xf numFmtId="43" fontId="32" fillId="2" borderId="2" xfId="2" applyNumberFormat="1" applyFont="1" applyFill="1" applyBorder="1" applyAlignment="1" applyProtection="1"/>
    <xf numFmtId="4" fontId="32" fillId="2" borderId="2" xfId="464" applyNumberFormat="1" applyFont="1" applyFill="1" applyBorder="1" applyAlignment="1">
      <alignment wrapText="1"/>
    </xf>
    <xf numFmtId="0" fontId="32" fillId="2" borderId="2" xfId="464" applyFont="1" applyFill="1" applyBorder="1" applyAlignment="1">
      <alignment wrapText="1"/>
    </xf>
    <xf numFmtId="172" fontId="34" fillId="2" borderId="4" xfId="0" applyNumberFormat="1" applyFont="1" applyFill="1" applyBorder="1" applyAlignment="1">
      <alignment horizontal="left"/>
    </xf>
    <xf numFmtId="4" fontId="35" fillId="0" borderId="4" xfId="0" applyNumberFormat="1" applyFont="1" applyBorder="1"/>
    <xf numFmtId="4" fontId="36" fillId="0" borderId="4" xfId="0" applyNumberFormat="1" applyFont="1" applyBorder="1"/>
    <xf numFmtId="172" fontId="35" fillId="29" borderId="4" xfId="0" applyNumberFormat="1" applyFont="1" applyFill="1" applyBorder="1" applyAlignment="1">
      <alignment horizontal="left"/>
    </xf>
    <xf numFmtId="43" fontId="35" fillId="0" borderId="4" xfId="2" applyNumberFormat="1" applyFont="1" applyBorder="1" applyAlignment="1"/>
    <xf numFmtId="172" fontId="35" fillId="29" borderId="4" xfId="0" applyNumberFormat="1" applyFont="1" applyFill="1" applyBorder="1"/>
    <xf numFmtId="3" fontId="35" fillId="0" borderId="4" xfId="0" applyNumberFormat="1" applyFont="1" applyBorder="1"/>
    <xf numFmtId="4" fontId="35" fillId="0" borderId="4" xfId="0" applyNumberFormat="1" applyFont="1" applyBorder="1" applyAlignment="1">
      <alignment horizontal="right"/>
    </xf>
    <xf numFmtId="43" fontId="34" fillId="2" borderId="4" xfId="0" applyNumberFormat="1" applyFont="1" applyFill="1" applyBorder="1" applyAlignment="1">
      <alignment horizontal="center"/>
    </xf>
    <xf numFmtId="43" fontId="35" fillId="0" borderId="4" xfId="0" applyNumberFormat="1" applyFont="1" applyBorder="1" applyAlignment="1">
      <alignment vertical="center"/>
    </xf>
    <xf numFmtId="4" fontId="35" fillId="0" borderId="4" xfId="0" applyNumberFormat="1" applyFont="1" applyFill="1" applyBorder="1"/>
    <xf numFmtId="164" fontId="32" fillId="2" borderId="4" xfId="1" applyFont="1" applyFill="1" applyBorder="1" applyAlignment="1">
      <alignment horizontal="right" vertical="top" wrapText="1"/>
    </xf>
    <xf numFmtId="164" fontId="32" fillId="0" borderId="2" xfId="1" applyFont="1" applyBorder="1" applyAlignment="1">
      <alignment horizontal="right"/>
    </xf>
    <xf numFmtId="164" fontId="32" fillId="0" borderId="2" xfId="1" applyFont="1" applyFill="1" applyBorder="1"/>
    <xf numFmtId="164" fontId="32" fillId="0" borderId="2" xfId="1" applyFont="1" applyBorder="1" applyAlignment="1">
      <alignment vertical="center"/>
    </xf>
    <xf numFmtId="164" fontId="32" fillId="0" borderId="2" xfId="1" applyFont="1" applyFill="1" applyBorder="1" applyAlignment="1">
      <alignment horizontal="right"/>
    </xf>
    <xf numFmtId="164" fontId="32" fillId="0" borderId="2" xfId="1" applyFont="1" applyBorder="1" applyAlignment="1"/>
    <xf numFmtId="164" fontId="32" fillId="0" borderId="2" xfId="1" applyFont="1" applyBorder="1" applyAlignment="1">
      <alignment horizontal="right" vertical="center"/>
    </xf>
    <xf numFmtId="0" fontId="38" fillId="9" borderId="0" xfId="0" applyFont="1" applyFill="1" applyAlignment="1">
      <alignment horizontal="right" vertical="center"/>
    </xf>
    <xf numFmtId="0" fontId="39" fillId="9" borderId="0" xfId="0" applyFont="1" applyFill="1" applyAlignment="1">
      <alignment horizontal="left"/>
    </xf>
    <xf numFmtId="49" fontId="33" fillId="2" borderId="2" xfId="0" applyNumberFormat="1" applyFont="1" applyFill="1" applyBorder="1" applyAlignment="1">
      <alignment horizontal="right"/>
    </xf>
    <xf numFmtId="49" fontId="18" fillId="6" borderId="2" xfId="0" applyNumberFormat="1" applyFont="1" applyFill="1" applyBorder="1" applyAlignment="1">
      <alignment horizontal="right"/>
    </xf>
    <xf numFmtId="173" fontId="32" fillId="2" borderId="2" xfId="0" applyNumberFormat="1" applyFont="1" applyFill="1" applyBorder="1" applyAlignment="1">
      <alignment horizontal="center" wrapText="1"/>
    </xf>
    <xf numFmtId="49" fontId="18" fillId="2" borderId="2" xfId="0" applyNumberFormat="1" applyFont="1" applyFill="1" applyBorder="1" applyAlignment="1">
      <alignment horizontal="center" vertical="top" wrapText="1"/>
    </xf>
    <xf numFmtId="0" fontId="37" fillId="2" borderId="2" xfId="0" applyFont="1" applyFill="1" applyBorder="1" applyAlignment="1">
      <alignment horizontal="center" wrapText="1"/>
    </xf>
    <xf numFmtId="173" fontId="33" fillId="2" borderId="2" xfId="0" applyNumberFormat="1" applyFont="1" applyFill="1" applyBorder="1" applyAlignment="1">
      <alignment horizontal="center" wrapText="1"/>
    </xf>
    <xf numFmtId="49" fontId="37" fillId="2" borderId="2" xfId="0" applyNumberFormat="1" applyFont="1" applyFill="1" applyBorder="1" applyAlignment="1">
      <alignment horizontal="center" vertical="top" wrapText="1"/>
    </xf>
    <xf numFmtId="49" fontId="33" fillId="2" borderId="2" xfId="0" applyNumberFormat="1" applyFont="1" applyFill="1" applyBorder="1" applyAlignment="1">
      <alignment horizontal="center" wrapText="1"/>
    </xf>
    <xf numFmtId="172" fontId="37" fillId="2" borderId="2" xfId="0" applyNumberFormat="1" applyFont="1" applyFill="1" applyBorder="1" applyAlignment="1">
      <alignment horizontal="center" wrapText="1"/>
    </xf>
    <xf numFmtId="49" fontId="16" fillId="5" borderId="2" xfId="0" applyNumberFormat="1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49" fontId="17" fillId="2" borderId="2" xfId="0" applyNumberFormat="1" applyFont="1" applyFill="1" applyBorder="1" applyAlignment="1">
      <alignment horizontal="center" vertical="top" wrapText="1"/>
    </xf>
    <xf numFmtId="173" fontId="33" fillId="2" borderId="2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center" wrapText="1"/>
    </xf>
    <xf numFmtId="0" fontId="1" fillId="0" borderId="0" xfId="0" applyFont="1"/>
    <xf numFmtId="0" fontId="0" fillId="0" borderId="0" xfId="0" applyFont="1"/>
    <xf numFmtId="0" fontId="41" fillId="0" borderId="0" xfId="0" applyFont="1" applyAlignment="1">
      <alignment horizontal="right"/>
    </xf>
    <xf numFmtId="16" fontId="42" fillId="2" borderId="0" xfId="0" applyNumberFormat="1" applyFont="1" applyFill="1"/>
    <xf numFmtId="164" fontId="43" fillId="2" borderId="0" xfId="1" applyFont="1" applyFill="1" applyBorder="1"/>
    <xf numFmtId="164" fontId="1" fillId="0" borderId="0" xfId="1" applyFont="1" applyBorder="1"/>
    <xf numFmtId="4" fontId="12" fillId="2" borderId="0" xfId="0" applyNumberFormat="1" applyFont="1" applyFill="1"/>
    <xf numFmtId="172" fontId="36" fillId="2" borderId="0" xfId="0" applyNumberFormat="1" applyFont="1" applyFill="1"/>
    <xf numFmtId="4" fontId="43" fillId="2" borderId="0" xfId="0" applyNumberFormat="1" applyFont="1" applyFill="1" applyAlignment="1">
      <alignment horizontal="right"/>
    </xf>
    <xf numFmtId="0" fontId="42" fillId="0" borderId="0" xfId="0" applyFont="1" applyAlignment="1">
      <alignment horizontal="right"/>
    </xf>
    <xf numFmtId="4" fontId="43" fillId="2" borderId="0" xfId="0" applyNumberFormat="1" applyFont="1" applyFill="1"/>
    <xf numFmtId="164" fontId="12" fillId="2" borderId="0" xfId="1" applyFont="1" applyFill="1" applyBorder="1" applyAlignment="1">
      <alignment horizontal="right" vertical="top" wrapText="1"/>
    </xf>
    <xf numFmtId="164" fontId="43" fillId="2" borderId="0" xfId="1" applyFont="1" applyFill="1" applyBorder="1" applyAlignment="1">
      <alignment horizontal="right" vertical="top" wrapText="1"/>
    </xf>
    <xf numFmtId="0" fontId="44" fillId="0" borderId="2" xfId="0" applyFont="1" applyBorder="1" applyAlignment="1">
      <alignment horizontal="right"/>
    </xf>
    <xf numFmtId="43" fontId="1" fillId="0" borderId="0" xfId="201" applyFont="1"/>
    <xf numFmtId="4" fontId="43" fillId="2" borderId="2" xfId="0" applyNumberFormat="1" applyFont="1" applyFill="1" applyBorder="1"/>
    <xf numFmtId="4" fontId="43" fillId="2" borderId="2" xfId="0" applyNumberFormat="1" applyFont="1" applyFill="1" applyBorder="1" applyAlignment="1">
      <alignment horizontal="right"/>
    </xf>
    <xf numFmtId="172" fontId="36" fillId="2" borderId="2" xfId="0" applyNumberFormat="1" applyFont="1" applyFill="1" applyBorder="1"/>
    <xf numFmtId="0" fontId="12" fillId="0" borderId="0" xfId="0" applyFont="1" applyAlignment="1">
      <alignment horizontal="right"/>
    </xf>
    <xf numFmtId="4" fontId="12" fillId="2" borderId="0" xfId="0" applyNumberFormat="1" applyFont="1" applyFill="1" applyBorder="1" applyAlignment="1">
      <alignment horizontal="right"/>
    </xf>
    <xf numFmtId="16" fontId="7" fillId="2" borderId="0" xfId="0" quotePrefix="1" applyNumberFormat="1" applyFont="1" applyFill="1" applyAlignment="1">
      <alignment horizontal="right" wrapText="1"/>
    </xf>
    <xf numFmtId="43" fontId="45" fillId="0" borderId="0" xfId="201" applyFont="1" applyBorder="1"/>
  </cellXfs>
  <cellStyles count="465">
    <cellStyle name="20% - Accent1 2" xfId="3"/>
    <cellStyle name="20% - Accent1 2 2" xfId="4"/>
    <cellStyle name="20% - Accent1 2 3" xfId="5"/>
    <cellStyle name="20% - Accent1 3" xfId="6"/>
    <cellStyle name="20% - Accent1 3 2" xfId="7"/>
    <cellStyle name="20% - Accent1 3 3" xfId="8"/>
    <cellStyle name="20% - Accent1 4" xfId="9"/>
    <cellStyle name="20% - Accent1 4 2" xfId="10"/>
    <cellStyle name="20% - Accent1 5" xfId="11"/>
    <cellStyle name="20% - Accent1 6" xfId="12"/>
    <cellStyle name="20% - Accent2 2" xfId="13"/>
    <cellStyle name="20% - Accent2 2 2" xfId="14"/>
    <cellStyle name="20% - Accent2 2 3" xfId="15"/>
    <cellStyle name="20% - Accent2 3" xfId="16"/>
    <cellStyle name="20% - Accent2 3 2" xfId="17"/>
    <cellStyle name="20% - Accent2 3 3" xfId="18"/>
    <cellStyle name="20% - Accent2 4" xfId="19"/>
    <cellStyle name="20% - Accent2 4 2" xfId="20"/>
    <cellStyle name="20% - Accent2 5" xfId="21"/>
    <cellStyle name="20% - Accent2 6" xfId="22"/>
    <cellStyle name="20% - Accent3 2" xfId="23"/>
    <cellStyle name="20% - Accent3 2 2" xfId="24"/>
    <cellStyle name="20% - Accent3 2 3" xfId="25"/>
    <cellStyle name="20% - Accent3 3" xfId="26"/>
    <cellStyle name="20% - Accent3 3 2" xfId="27"/>
    <cellStyle name="20% - Accent3 3 3" xfId="28"/>
    <cellStyle name="20% - Accent3 4" xfId="29"/>
    <cellStyle name="20% - Accent3 4 2" xfId="30"/>
    <cellStyle name="20% - Accent3 5" xfId="31"/>
    <cellStyle name="20% - Accent3 6" xfId="32"/>
    <cellStyle name="20% - Accent4 2" xfId="33"/>
    <cellStyle name="20% - Accent4 2 2" xfId="34"/>
    <cellStyle name="20% - Accent4 2 3" xfId="35"/>
    <cellStyle name="20% - Accent4 3" xfId="36"/>
    <cellStyle name="20% - Accent4 3 2" xfId="37"/>
    <cellStyle name="20% - Accent4 3 3" xfId="38"/>
    <cellStyle name="20% - Accent4 4" xfId="39"/>
    <cellStyle name="20% - Accent4 4 2" xfId="40"/>
    <cellStyle name="20% - Accent4 5" xfId="41"/>
    <cellStyle name="20% - Accent4 6" xfId="42"/>
    <cellStyle name="20% - Accent5 2" xfId="43"/>
    <cellStyle name="20% - Accent5 2 2" xfId="44"/>
    <cellStyle name="20% - Accent5 2 3" xfId="45"/>
    <cellStyle name="20% - Accent5 3" xfId="46"/>
    <cellStyle name="20% - Accent5 3 2" xfId="47"/>
    <cellStyle name="20% - Accent5 3 3" xfId="48"/>
    <cellStyle name="20% - Accent5 4" xfId="49"/>
    <cellStyle name="20% - Accent5 4 2" xfId="50"/>
    <cellStyle name="20% - Accent5 5" xfId="51"/>
    <cellStyle name="20% - Accent5 6" xfId="52"/>
    <cellStyle name="20% - Accent6 2" xfId="53"/>
    <cellStyle name="20% - Accent6 2 2" xfId="54"/>
    <cellStyle name="20% - Accent6 2 3" xfId="55"/>
    <cellStyle name="20% - Accent6 3" xfId="56"/>
    <cellStyle name="20% - Accent6 3 2" xfId="57"/>
    <cellStyle name="20% - Accent6 3 3" xfId="58"/>
    <cellStyle name="20% - Accent6 4" xfId="59"/>
    <cellStyle name="20% - Accent6 4 2" xfId="60"/>
    <cellStyle name="20% - Accent6 5" xfId="61"/>
    <cellStyle name="20% - Accent6 6" xfId="62"/>
    <cellStyle name="40% - Accent1 2" xfId="63"/>
    <cellStyle name="40% - Accent1 2 2" xfId="64"/>
    <cellStyle name="40% - Accent1 2 3" xfId="65"/>
    <cellStyle name="40% - Accent1 3" xfId="66"/>
    <cellStyle name="40% - Accent1 3 2" xfId="67"/>
    <cellStyle name="40% - Accent1 3 3" xfId="68"/>
    <cellStyle name="40% - Accent1 4" xfId="69"/>
    <cellStyle name="40% - Accent1 4 2" xfId="70"/>
    <cellStyle name="40% - Accent1 5" xfId="71"/>
    <cellStyle name="40% - Accent1 6" xfId="72"/>
    <cellStyle name="40% - Accent2 2" xfId="73"/>
    <cellStyle name="40% - Accent2 2 2" xfId="74"/>
    <cellStyle name="40% - Accent2 2 3" xfId="75"/>
    <cellStyle name="40% - Accent2 3" xfId="76"/>
    <cellStyle name="40% - Accent2 3 2" xfId="77"/>
    <cellStyle name="40% - Accent2 3 3" xfId="78"/>
    <cellStyle name="40% - Accent2 4" xfId="79"/>
    <cellStyle name="40% - Accent2 4 2" xfId="80"/>
    <cellStyle name="40% - Accent2 5" xfId="81"/>
    <cellStyle name="40% - Accent2 6" xfId="82"/>
    <cellStyle name="40% - Accent3 2" xfId="83"/>
    <cellStyle name="40% - Accent3 2 2" xfId="84"/>
    <cellStyle name="40% - Accent3 2 3" xfId="85"/>
    <cellStyle name="40% - Accent3 3" xfId="86"/>
    <cellStyle name="40% - Accent3 3 2" xfId="87"/>
    <cellStyle name="40% - Accent3 3 3" xfId="88"/>
    <cellStyle name="40% - Accent3 4" xfId="89"/>
    <cellStyle name="40% - Accent3 4 2" xfId="90"/>
    <cellStyle name="40% - Accent3 5" xfId="91"/>
    <cellStyle name="40% - Accent3 6" xfId="92"/>
    <cellStyle name="40% - Accent4 2" xfId="93"/>
    <cellStyle name="40% - Accent4 2 2" xfId="94"/>
    <cellStyle name="40% - Accent4 2 3" xfId="95"/>
    <cellStyle name="40% - Accent4 3" xfId="96"/>
    <cellStyle name="40% - Accent4 3 2" xfId="97"/>
    <cellStyle name="40% - Accent4 3 3" xfId="98"/>
    <cellStyle name="40% - Accent4 4" xfId="99"/>
    <cellStyle name="40% - Accent4 4 2" xfId="100"/>
    <cellStyle name="40% - Accent4 5" xfId="101"/>
    <cellStyle name="40% - Accent4 6" xfId="102"/>
    <cellStyle name="40% - Accent5 2" xfId="103"/>
    <cellStyle name="40% - Accent5 2 2" xfId="104"/>
    <cellStyle name="40% - Accent5 2 3" xfId="105"/>
    <cellStyle name="40% - Accent5 3" xfId="106"/>
    <cellStyle name="40% - Accent5 3 2" xfId="107"/>
    <cellStyle name="40% - Accent5 3 3" xfId="108"/>
    <cellStyle name="40% - Accent5 4" xfId="109"/>
    <cellStyle name="40% - Accent5 4 2" xfId="110"/>
    <cellStyle name="40% - Accent5 5" xfId="111"/>
    <cellStyle name="40% - Accent5 6" xfId="112"/>
    <cellStyle name="40% - Accent6 2" xfId="113"/>
    <cellStyle name="40% - Accent6 2 2" xfId="114"/>
    <cellStyle name="40% - Accent6 2 3" xfId="115"/>
    <cellStyle name="40% - Accent6 3" xfId="116"/>
    <cellStyle name="40% - Accent6 3 2" xfId="117"/>
    <cellStyle name="40% - Accent6 3 3" xfId="118"/>
    <cellStyle name="40% - Accent6 4" xfId="119"/>
    <cellStyle name="40% - Accent6 4 2" xfId="120"/>
    <cellStyle name="40% - Accent6 5" xfId="121"/>
    <cellStyle name="40% - Accent6 6" xfId="122"/>
    <cellStyle name="60% - Accent1 2" xfId="123"/>
    <cellStyle name="60% - Accent1 2 2" xfId="124"/>
    <cellStyle name="60% - Accent1 2 3" xfId="125"/>
    <cellStyle name="60% - Accent1 3" xfId="126"/>
    <cellStyle name="60% - Accent1 3 2" xfId="127"/>
    <cellStyle name="60% - Accent1 3 3" xfId="128"/>
    <cellStyle name="60% - Accent1 4" xfId="129"/>
    <cellStyle name="60% - Accent1 4 2" xfId="130"/>
    <cellStyle name="60% - Accent1 5" xfId="131"/>
    <cellStyle name="60% - Accent1 6" xfId="132"/>
    <cellStyle name="60% - Accent2 2" xfId="133"/>
    <cellStyle name="60% - Accent2 2 2" xfId="134"/>
    <cellStyle name="60% - Accent2 2 3" xfId="135"/>
    <cellStyle name="60% - Accent2 3" xfId="136"/>
    <cellStyle name="60% - Accent2 3 2" xfId="137"/>
    <cellStyle name="60% - Accent2 3 3" xfId="138"/>
    <cellStyle name="60% - Accent2 4" xfId="139"/>
    <cellStyle name="60% - Accent2 4 2" xfId="140"/>
    <cellStyle name="60% - Accent2 5" xfId="141"/>
    <cellStyle name="60% - Accent2 6" xfId="142"/>
    <cellStyle name="60% - Accent3 2" xfId="143"/>
    <cellStyle name="60% - Accent3 2 2" xfId="144"/>
    <cellStyle name="60% - Accent3 2 3" xfId="145"/>
    <cellStyle name="60% - Accent3 3" xfId="146"/>
    <cellStyle name="60% - Accent3 3 2" xfId="147"/>
    <cellStyle name="60% - Accent3 3 3" xfId="148"/>
    <cellStyle name="60% - Accent3 4" xfId="149"/>
    <cellStyle name="60% - Accent3 4 2" xfId="150"/>
    <cellStyle name="60% - Accent3 5" xfId="151"/>
    <cellStyle name="60% - Accent3 6" xfId="152"/>
    <cellStyle name="60% - Accent4 2" xfId="153"/>
    <cellStyle name="60% - Accent4 2 2" xfId="154"/>
    <cellStyle name="60% - Accent4 2 3" xfId="155"/>
    <cellStyle name="60% - Accent4 3" xfId="156"/>
    <cellStyle name="60% - Accent4 3 2" xfId="157"/>
    <cellStyle name="60% - Accent4 3 3" xfId="158"/>
    <cellStyle name="60% - Accent4 4" xfId="159"/>
    <cellStyle name="60% - Accent4 4 2" xfId="160"/>
    <cellStyle name="60% - Accent4 5" xfId="161"/>
    <cellStyle name="60% - Accent4 6" xfId="162"/>
    <cellStyle name="60% - Accent5 2" xfId="163"/>
    <cellStyle name="60% - Accent5 2 2" xfId="164"/>
    <cellStyle name="60% - Accent5 2 3" xfId="165"/>
    <cellStyle name="60% - Accent5 3" xfId="166"/>
    <cellStyle name="60% - Accent5 3 2" xfId="167"/>
    <cellStyle name="60% - Accent5 3 3" xfId="168"/>
    <cellStyle name="60% - Accent5 4" xfId="169"/>
    <cellStyle name="60% - Accent5 4 2" xfId="170"/>
    <cellStyle name="60% - Accent5 5" xfId="171"/>
    <cellStyle name="60% - Accent5 6" xfId="172"/>
    <cellStyle name="60% - Accent6 2" xfId="173"/>
    <cellStyle name="60% - Accent6 2 2" xfId="174"/>
    <cellStyle name="60% - Accent6 2 3" xfId="175"/>
    <cellStyle name="60% - Accent6 3" xfId="176"/>
    <cellStyle name="60% - Accent6 3 2" xfId="177"/>
    <cellStyle name="60% - Accent6 3 3" xfId="178"/>
    <cellStyle name="60% - Accent6 4" xfId="179"/>
    <cellStyle name="60% - Accent6 4 2" xfId="180"/>
    <cellStyle name="60% - Accent6 5" xfId="181"/>
    <cellStyle name="60% - Accent6 6" xfId="182"/>
    <cellStyle name="Comma" xfId="1" builtinId="3"/>
    <cellStyle name="Comma 10" xfId="183"/>
    <cellStyle name="Comma 10 13" xfId="184"/>
    <cellStyle name="Comma 11" xfId="185"/>
    <cellStyle name="Comma 12" xfId="186"/>
    <cellStyle name="Comma 12 2" xfId="187"/>
    <cellStyle name="Comma 12 3" xfId="188"/>
    <cellStyle name="Comma 13" xfId="189"/>
    <cellStyle name="Comma 13 2" xfId="190"/>
    <cellStyle name="Comma 13 3" xfId="191"/>
    <cellStyle name="Comma 14" xfId="192"/>
    <cellStyle name="Comma 15" xfId="193"/>
    <cellStyle name="Comma 15 2" xfId="194"/>
    <cellStyle name="Comma 15 3" xfId="195"/>
    <cellStyle name="Comma 16" xfId="196"/>
    <cellStyle name="Comma 16 2" xfId="197"/>
    <cellStyle name="Comma 16 3" xfId="198"/>
    <cellStyle name="Comma 17" xfId="199"/>
    <cellStyle name="Comma 18" xfId="200"/>
    <cellStyle name="Comma 2" xfId="201"/>
    <cellStyle name="Comma 2 10" xfId="202"/>
    <cellStyle name="Comma 2 10 2" xfId="203"/>
    <cellStyle name="Comma 2 11" xfId="204"/>
    <cellStyle name="Comma 2 11 2" xfId="205"/>
    <cellStyle name="Comma 2 12" xfId="206"/>
    <cellStyle name="Comma 2 13" xfId="207"/>
    <cellStyle name="Comma 2 2" xfId="208"/>
    <cellStyle name="Comma 2 2 2" xfId="209"/>
    <cellStyle name="Comma 2 2 2 2" xfId="210"/>
    <cellStyle name="Comma 2 2 2 2 2" xfId="211"/>
    <cellStyle name="Comma 2 2 2 2 3" xfId="212"/>
    <cellStyle name="Comma 2 2 2 3" xfId="213"/>
    <cellStyle name="Comma 2 3" xfId="214"/>
    <cellStyle name="Comma 2 3 2" xfId="215"/>
    <cellStyle name="Comma 2 4" xfId="216"/>
    <cellStyle name="Comma 2 4 2" xfId="217"/>
    <cellStyle name="Comma 2 5" xfId="218"/>
    <cellStyle name="Comma 2 5 2" xfId="219"/>
    <cellStyle name="Comma 2 6" xfId="220"/>
    <cellStyle name="Comma 2 6 2" xfId="221"/>
    <cellStyle name="Comma 2 7" xfId="222"/>
    <cellStyle name="Comma 2 7 2" xfId="223"/>
    <cellStyle name="Comma 2 8" xfId="224"/>
    <cellStyle name="Comma 2 8 2" xfId="225"/>
    <cellStyle name="Comma 2 9" xfId="226"/>
    <cellStyle name="Comma 2 9 2" xfId="227"/>
    <cellStyle name="Comma 3" xfId="228"/>
    <cellStyle name="Comma 3 2" xfId="229"/>
    <cellStyle name="Comma 3 2 2" xfId="230"/>
    <cellStyle name="Comma 3 3" xfId="231"/>
    <cellStyle name="Comma 3 4" xfId="232"/>
    <cellStyle name="Comma 3 4 3" xfId="233"/>
    <cellStyle name="Comma 3 4 4" xfId="234"/>
    <cellStyle name="Comma 4" xfId="235"/>
    <cellStyle name="Comma 4 2" xfId="236"/>
    <cellStyle name="Comma 4 3" xfId="237"/>
    <cellStyle name="Comma 5" xfId="238"/>
    <cellStyle name="Comma 6" xfId="239"/>
    <cellStyle name="Comma 7" xfId="240"/>
    <cellStyle name="Comma 8" xfId="241"/>
    <cellStyle name="Comma 8 2" xfId="242"/>
    <cellStyle name="Comma 9" xfId="243"/>
    <cellStyle name="Currency" xfId="2" builtinId="4"/>
    <cellStyle name="Neutral 2" xfId="244"/>
    <cellStyle name="Normal" xfId="0" builtinId="0"/>
    <cellStyle name="Normal - Style1" xfId="245"/>
    <cellStyle name="Normal 10" xfId="246"/>
    <cellStyle name="Normal 10 2" xfId="247"/>
    <cellStyle name="Normal 10 3" xfId="248"/>
    <cellStyle name="Normal 11" xfId="249"/>
    <cellStyle name="Normal 11 2" xfId="250"/>
    <cellStyle name="Normal 11 3" xfId="251"/>
    <cellStyle name="Normal 12" xfId="252"/>
    <cellStyle name="Normal 12 2" xfId="253"/>
    <cellStyle name="Normal 12 2 2" xfId="254"/>
    <cellStyle name="Normal 12 2 3" xfId="255"/>
    <cellStyle name="Normal 12 3" xfId="256"/>
    <cellStyle name="Normal 12 4" xfId="257"/>
    <cellStyle name="Normal 13" xfId="258"/>
    <cellStyle name="Normal 13 2" xfId="259"/>
    <cellStyle name="Normal 13 3" xfId="260"/>
    <cellStyle name="Normal 14" xfId="261"/>
    <cellStyle name="Normal 14 2" xfId="262"/>
    <cellStyle name="Normal 15" xfId="263"/>
    <cellStyle name="Normal 15 2" xfId="264"/>
    <cellStyle name="Normal 15 3" xfId="265"/>
    <cellStyle name="Normal 16" xfId="266"/>
    <cellStyle name="Normal 16 2" xfId="267"/>
    <cellStyle name="Normal 16 3" xfId="268"/>
    <cellStyle name="Normal 17" xfId="269"/>
    <cellStyle name="Normal 17 2" xfId="270"/>
    <cellStyle name="Normal 17 3" xfId="271"/>
    <cellStyle name="Normal 18" xfId="272"/>
    <cellStyle name="Normal 18 2" xfId="273"/>
    <cellStyle name="Normal 18 3" xfId="274"/>
    <cellStyle name="Normal 19" xfId="275"/>
    <cellStyle name="Normal 19 2" xfId="276"/>
    <cellStyle name="Normal 19 3" xfId="277"/>
    <cellStyle name="Normal 2" xfId="278"/>
    <cellStyle name="Normal 2 2" xfId="279"/>
    <cellStyle name="Normal 2 2 2" xfId="280"/>
    <cellStyle name="Normal 2 3" xfId="281"/>
    <cellStyle name="Normal 2 4" xfId="282"/>
    <cellStyle name="Normal 2 5" xfId="283"/>
    <cellStyle name="Normal 2 6" xfId="284"/>
    <cellStyle name="Normal 20" xfId="285"/>
    <cellStyle name="Normal 20 2" xfId="286"/>
    <cellStyle name="Normal 20 3" xfId="287"/>
    <cellStyle name="Normal 21" xfId="288"/>
    <cellStyle name="Normal 21 2" xfId="289"/>
    <cellStyle name="Normal 21 3" xfId="290"/>
    <cellStyle name="Normal 22" xfId="291"/>
    <cellStyle name="Normal 22 2" xfId="292"/>
    <cellStyle name="Normal 22 3" xfId="293"/>
    <cellStyle name="Normal 23" xfId="294"/>
    <cellStyle name="Normal 23 2" xfId="295"/>
    <cellStyle name="Normal 23 3" xfId="296"/>
    <cellStyle name="Normal 24" xfId="297"/>
    <cellStyle name="Normal 24 2" xfId="298"/>
    <cellStyle name="Normal 24 3" xfId="299"/>
    <cellStyle name="Normal 25" xfId="300"/>
    <cellStyle name="Normal 25 2" xfId="301"/>
    <cellStyle name="Normal 25 3" xfId="302"/>
    <cellStyle name="Normal 26" xfId="303"/>
    <cellStyle name="Normal 26 2" xfId="304"/>
    <cellStyle name="Normal 26 3" xfId="305"/>
    <cellStyle name="Normal 27" xfId="306"/>
    <cellStyle name="Normal 27 2" xfId="307"/>
    <cellStyle name="Normal 27 2 2" xfId="308"/>
    <cellStyle name="Normal 27 3" xfId="309"/>
    <cellStyle name="Normal 28" xfId="310"/>
    <cellStyle name="Normal 28 2" xfId="311"/>
    <cellStyle name="Normal 29" xfId="312"/>
    <cellStyle name="Normal 29 2" xfId="313"/>
    <cellStyle name="Normal 3" xfId="314"/>
    <cellStyle name="Normal 3 2" xfId="315"/>
    <cellStyle name="Normal 3 2 2" xfId="316"/>
    <cellStyle name="Normal 3 2 3" xfId="317"/>
    <cellStyle name="Normal 3 3" xfId="318"/>
    <cellStyle name="Normal 3 4" xfId="319"/>
    <cellStyle name="Normal 30" xfId="320"/>
    <cellStyle name="Normal 30 2" xfId="321"/>
    <cellStyle name="Normal 31" xfId="322"/>
    <cellStyle name="Normal 31 2" xfId="323"/>
    <cellStyle name="Normal 32" xfId="324"/>
    <cellStyle name="Normal 32 2" xfId="325"/>
    <cellStyle name="Normal 33" xfId="326"/>
    <cellStyle name="Normal 33 2" xfId="327"/>
    <cellStyle name="Normal 34" xfId="328"/>
    <cellStyle name="Normal 34 2" xfId="329"/>
    <cellStyle name="Normal 35" xfId="330"/>
    <cellStyle name="Normal 35 2" xfId="331"/>
    <cellStyle name="Normal 36" xfId="332"/>
    <cellStyle name="Normal 36 2" xfId="333"/>
    <cellStyle name="Normal 37" xfId="334"/>
    <cellStyle name="Normal 37 2" xfId="335"/>
    <cellStyle name="Normal 38" xfId="336"/>
    <cellStyle name="Normal 38 2" xfId="337"/>
    <cellStyle name="Normal 39" xfId="338"/>
    <cellStyle name="Normal 39 2" xfId="339"/>
    <cellStyle name="Normal 4" xfId="340"/>
    <cellStyle name="Normal 4 2" xfId="341"/>
    <cellStyle name="Normal 40" xfId="342"/>
    <cellStyle name="Normal 40 2" xfId="343"/>
    <cellStyle name="Normal 41" xfId="344"/>
    <cellStyle name="Normal 41 2" xfId="345"/>
    <cellStyle name="Normal 42" xfId="346"/>
    <cellStyle name="Normal 42 2" xfId="347"/>
    <cellStyle name="Normal 43" xfId="348"/>
    <cellStyle name="Normal 43 2" xfId="349"/>
    <cellStyle name="Normal 44" xfId="350"/>
    <cellStyle name="Normal 44 2" xfId="351"/>
    <cellStyle name="Normal 45" xfId="352"/>
    <cellStyle name="Normal 45 2" xfId="353"/>
    <cellStyle name="Normal 46" xfId="354"/>
    <cellStyle name="Normal 46 2" xfId="355"/>
    <cellStyle name="Normal 47" xfId="356"/>
    <cellStyle name="Normal 47 2" xfId="357"/>
    <cellStyle name="Normal 48" xfId="358"/>
    <cellStyle name="Normal 48 2" xfId="359"/>
    <cellStyle name="Normal 49" xfId="360"/>
    <cellStyle name="Normal 49 2" xfId="361"/>
    <cellStyle name="Normal 5" xfId="362"/>
    <cellStyle name="Normal 50" xfId="363"/>
    <cellStyle name="Normal 50 2" xfId="364"/>
    <cellStyle name="Normal 51" xfId="365"/>
    <cellStyle name="Normal 51 2" xfId="366"/>
    <cellStyle name="Normal 52" xfId="367"/>
    <cellStyle name="Normal 52 2" xfId="368"/>
    <cellStyle name="Normal 53" xfId="369"/>
    <cellStyle name="Normal 53 2" xfId="370"/>
    <cellStyle name="Normal 54" xfId="371"/>
    <cellStyle name="Normal 54 2" xfId="372"/>
    <cellStyle name="Normal 55" xfId="373"/>
    <cellStyle name="Normal 55 2" xfId="374"/>
    <cellStyle name="Normal 56" xfId="375"/>
    <cellStyle name="Normal 56 2" xfId="376"/>
    <cellStyle name="Normal 57" xfId="377"/>
    <cellStyle name="Normal 57 2" xfId="378"/>
    <cellStyle name="Normal 58" xfId="379"/>
    <cellStyle name="Normal 58 2" xfId="380"/>
    <cellStyle name="Normal 59" xfId="381"/>
    <cellStyle name="Normal 59 2" xfId="382"/>
    <cellStyle name="Normal 6" xfId="383"/>
    <cellStyle name="Normal 6 2" xfId="384"/>
    <cellStyle name="Normal 6 3" xfId="385"/>
    <cellStyle name="Normal 60" xfId="386"/>
    <cellStyle name="Normal 60 2" xfId="387"/>
    <cellStyle name="Normal 61" xfId="388"/>
    <cellStyle name="Normal 61 2" xfId="389"/>
    <cellStyle name="Normal 62" xfId="390"/>
    <cellStyle name="Normal 62 2" xfId="391"/>
    <cellStyle name="Normal 63" xfId="392"/>
    <cellStyle name="Normal 63 2" xfId="393"/>
    <cellStyle name="Normal 64" xfId="394"/>
    <cellStyle name="Normal 64 2" xfId="395"/>
    <cellStyle name="Normal 65" xfId="396"/>
    <cellStyle name="Normal 65 2" xfId="397"/>
    <cellStyle name="Normal 66" xfId="398"/>
    <cellStyle name="Normal 66 2" xfId="399"/>
    <cellStyle name="Normal 67" xfId="400"/>
    <cellStyle name="Normal 67 2" xfId="401"/>
    <cellStyle name="Normal 68" xfId="402"/>
    <cellStyle name="Normal 68 2" xfId="403"/>
    <cellStyle name="Normal 69" xfId="404"/>
    <cellStyle name="Normal 69 2" xfId="405"/>
    <cellStyle name="Normal 7" xfId="406"/>
    <cellStyle name="Normal 7 2" xfId="407"/>
    <cellStyle name="Normal 7 3" xfId="408"/>
    <cellStyle name="Normal 70" xfId="409"/>
    <cellStyle name="Normal 71" xfId="410"/>
    <cellStyle name="Normal 72" xfId="411"/>
    <cellStyle name="Normal 73" xfId="412"/>
    <cellStyle name="Normal 74" xfId="413"/>
    <cellStyle name="Normal 75" xfId="464"/>
    <cellStyle name="Normal 8" xfId="414"/>
    <cellStyle name="Normal 8 2" xfId="415"/>
    <cellStyle name="Normal 8 3" xfId="416"/>
    <cellStyle name="Normal 9" xfId="417"/>
    <cellStyle name="Normal 9 2" xfId="418"/>
    <cellStyle name="Normal 9 3" xfId="419"/>
    <cellStyle name="Note 10" xfId="420"/>
    <cellStyle name="Note 10 2" xfId="421"/>
    <cellStyle name="Note 10 3" xfId="422"/>
    <cellStyle name="Note 11" xfId="423"/>
    <cellStyle name="Note 11 2" xfId="424"/>
    <cellStyle name="Note 11 3" xfId="425"/>
    <cellStyle name="Note 12" xfId="426"/>
    <cellStyle name="Note 12 2" xfId="427"/>
    <cellStyle name="Note 12 3" xfId="428"/>
    <cellStyle name="Note 13" xfId="429"/>
    <cellStyle name="Note 13 2" xfId="430"/>
    <cellStyle name="Note 14" xfId="431"/>
    <cellStyle name="Note 14 2" xfId="432"/>
    <cellStyle name="Note 2" xfId="433"/>
    <cellStyle name="Note 2 2" xfId="434"/>
    <cellStyle name="Note 2 3" xfId="435"/>
    <cellStyle name="Note 3" xfId="436"/>
    <cellStyle name="Note 3 2" xfId="437"/>
    <cellStyle name="Note 3 3" xfId="438"/>
    <cellStyle name="Note 4" xfId="439"/>
    <cellStyle name="Note 4 2" xfId="440"/>
    <cellStyle name="Note 4 3" xfId="441"/>
    <cellStyle name="Note 5" xfId="442"/>
    <cellStyle name="Note 5 2" xfId="443"/>
    <cellStyle name="Note 5 3" xfId="444"/>
    <cellStyle name="Note 6" xfId="445"/>
    <cellStyle name="Note 6 2" xfId="446"/>
    <cellStyle name="Note 6 3" xfId="447"/>
    <cellStyle name="Note 7" xfId="448"/>
    <cellStyle name="Note 7 2" xfId="449"/>
    <cellStyle name="Note 7 3" xfId="450"/>
    <cellStyle name="Note 8" xfId="451"/>
    <cellStyle name="Note 8 2" xfId="452"/>
    <cellStyle name="Note 8 3" xfId="453"/>
    <cellStyle name="Note 9" xfId="454"/>
    <cellStyle name="Note 9 2" xfId="455"/>
    <cellStyle name="Note 9 3" xfId="456"/>
    <cellStyle name="Percent 2" xfId="457"/>
    <cellStyle name="Percent 2 2" xfId="458"/>
    <cellStyle name="Percent 2 2 2" xfId="459"/>
    <cellStyle name="Percent 3" xfId="460"/>
    <cellStyle name="Percent 4" xfId="461"/>
    <cellStyle name="Title 2" xfId="462"/>
    <cellStyle name="Title 3" xfId="463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June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27.745310432420002</c:v>
                </c:pt>
                <c:pt idx="1">
                  <c:v>1009.6129393269802</c:v>
                </c:pt>
                <c:pt idx="2">
                  <c:v>246.55149026459</c:v>
                </c:pt>
                <c:pt idx="3">
                  <c:v>1409.3785152316091</c:v>
                </c:pt>
                <c:pt idx="4">
                  <c:v>96.780336038469997</c:v>
                </c:pt>
                <c:pt idx="5">
                  <c:v>48.750450955880005</c:v>
                </c:pt>
                <c:pt idx="6">
                  <c:v>4.9049213739599997</c:v>
                </c:pt>
                <c:pt idx="7">
                  <c:v>51.241026579075928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C-4CE6-8340-267A4224C0F3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July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26.570099191139999</c:v>
                </c:pt>
                <c:pt idx="1">
                  <c:v>1191.3584606015797</c:v>
                </c:pt>
                <c:pt idx="2">
                  <c:v>222.01574734914996</c:v>
                </c:pt>
                <c:pt idx="3">
                  <c:v>1579.0380214774918</c:v>
                </c:pt>
                <c:pt idx="4">
                  <c:v>98.739677765599993</c:v>
                </c:pt>
                <c:pt idx="5">
                  <c:v>48.663828318699998</c:v>
                </c:pt>
                <c:pt idx="6">
                  <c:v>5.1437180626699996</c:v>
                </c:pt>
                <c:pt idx="7">
                  <c:v>49.887626737940003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C-4CE6-8340-267A4224C0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July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E4-4C0C-A12A-7945BB6BD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E4-4C0C-A12A-7945BB6BD8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E4-4C0C-A12A-7945BB6BD80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BE4-4C0C-A12A-7945BB6BD80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BE4-4C0C-A12A-7945BB6BD80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BE4-4C0C-A12A-7945BB6BD8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BE4-4C0C-A12A-7945BB6BD802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BE4-4C0C-A12A-7945BB6BD802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E4-4C0C-A12A-7945BB6BD802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E4-4C0C-A12A-7945BB6BD802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E4-4C0C-A12A-7945BB6BD802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E4-4C0C-A12A-7945BB6BD802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E4-4C0C-A12A-7945BB6BD802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E4-4C0C-A12A-7945BB6BD802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E4-4C0C-A12A-7945BB6BD802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E4-4C0C-A12A-7945BB6BD802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5143718062.6700001</c:v>
                </c:pt>
                <c:pt idx="1">
                  <c:v>26570099191.139999</c:v>
                </c:pt>
                <c:pt idx="2" formatCode="#,##0.00">
                  <c:v>48663828318.699997</c:v>
                </c:pt>
                <c:pt idx="3" formatCode="#,##0.00">
                  <c:v>49887626737.940002</c:v>
                </c:pt>
                <c:pt idx="4" formatCode="#,##0.00">
                  <c:v>98739677765.599991</c:v>
                </c:pt>
                <c:pt idx="5" formatCode="#,##0.00">
                  <c:v>222015747349.14996</c:v>
                </c:pt>
                <c:pt idx="6" formatCode="#,##0.00">
                  <c:v>1191358460601.5798</c:v>
                </c:pt>
                <c:pt idx="7" formatCode="&quot; &quot;* #,##0.00&quot; &quot;;&quot;-&quot;* #,##0.00&quot; &quot;;&quot; &quot;* &quot;-&quot;??&quot; &quot;">
                  <c:v>1579038021477.4919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E4-4C0C-A12A-7945BB6BD80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48911</c:v>
                </c:pt>
                <c:pt idx="1">
                  <c:v>301693</c:v>
                </c:pt>
                <c:pt idx="2">
                  <c:v>44966</c:v>
                </c:pt>
                <c:pt idx="3">
                  <c:v>16569</c:v>
                </c:pt>
                <c:pt idx="4">
                  <c:v>217007</c:v>
                </c:pt>
                <c:pt idx="5">
                  <c:v>68914</c:v>
                </c:pt>
                <c:pt idx="6">
                  <c:v>11067</c:v>
                </c:pt>
                <c:pt idx="7">
                  <c:v>27393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FB8-9E12-D082586372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266700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%20on%20Registered%20Mutual%20Funds%20as%20at%20JUN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24"/>
      <sheetName val="NAV Comparison"/>
      <sheetName val="Market Share"/>
      <sheetName val="Unitholders"/>
    </sheetNames>
    <sheetDataSet>
      <sheetData sheetId="0">
        <row r="22">
          <cell r="I22">
            <v>27745310432.420002</v>
          </cell>
        </row>
        <row r="58">
          <cell r="I58">
            <v>1009612939326.9801</v>
          </cell>
        </row>
        <row r="93">
          <cell r="I93">
            <v>246551490264.59</v>
          </cell>
        </row>
        <row r="125">
          <cell r="I125">
            <v>1409378515231.6091</v>
          </cell>
        </row>
        <row r="133">
          <cell r="I133">
            <v>96780336038.470001</v>
          </cell>
        </row>
        <row r="163">
          <cell r="I163">
            <v>48750450955.880005</v>
          </cell>
        </row>
        <row r="169">
          <cell r="I169">
            <v>4904921373.96</v>
          </cell>
        </row>
        <row r="191">
          <cell r="I191">
            <v>51241026579.075928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6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24" customWidth="1"/>
    <col min="2" max="2" width="53.6640625" style="24" customWidth="1"/>
    <col min="3" max="3" width="47.6640625" style="24" customWidth="1"/>
    <col min="4" max="4" width="21.5546875" style="24" customWidth="1"/>
    <col min="5" max="6" width="19.33203125" style="24" customWidth="1"/>
    <col min="7" max="7" width="19.6640625" style="24" customWidth="1"/>
    <col min="8" max="8" width="20" style="24" customWidth="1"/>
    <col min="9" max="9" width="22" style="24" customWidth="1"/>
    <col min="10" max="10" width="9" style="24"/>
    <col min="11" max="11" width="24.5546875" style="24" customWidth="1"/>
    <col min="12" max="12" width="9" style="24"/>
    <col min="13" max="13" width="11.5546875" style="24" customWidth="1"/>
    <col min="14" max="14" width="12.109375" style="24" customWidth="1"/>
    <col min="15" max="15" width="12.5546875" style="24" customWidth="1"/>
    <col min="16" max="16" width="12.33203125" style="24" customWidth="1"/>
    <col min="17" max="17" width="12.6640625" style="24" customWidth="1"/>
    <col min="18" max="19" width="14.44140625" style="24" customWidth="1"/>
    <col min="20" max="20" width="15.5546875" style="24" customWidth="1"/>
    <col min="21" max="22" width="20.109375" style="24" customWidth="1"/>
    <col min="23" max="16384" width="9" style="24"/>
  </cols>
  <sheetData>
    <row r="1" spans="1:23" ht="39.9" customHeight="1">
      <c r="A1" s="141" t="s">
        <v>214</v>
      </c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31"/>
    </row>
    <row r="2" spans="1:23" ht="48" customHeight="1">
      <c r="A2" s="81" t="s">
        <v>0</v>
      </c>
      <c r="B2" s="81" t="s">
        <v>1</v>
      </c>
      <c r="C2" s="81" t="s">
        <v>2</v>
      </c>
      <c r="D2" s="81" t="s">
        <v>3</v>
      </c>
      <c r="E2" s="81" t="s">
        <v>4</v>
      </c>
      <c r="F2" s="81" t="s">
        <v>213</v>
      </c>
      <c r="G2" s="81" t="s">
        <v>5</v>
      </c>
      <c r="H2" s="82" t="s">
        <v>6</v>
      </c>
      <c r="I2" s="81" t="s">
        <v>222</v>
      </c>
      <c r="J2" s="81" t="s">
        <v>7</v>
      </c>
      <c r="K2" s="81" t="s">
        <v>8</v>
      </c>
      <c r="L2" s="81" t="s">
        <v>7</v>
      </c>
      <c r="M2" s="81" t="s">
        <v>9</v>
      </c>
      <c r="N2" s="81" t="s">
        <v>10</v>
      </c>
      <c r="O2" s="81" t="s">
        <v>11</v>
      </c>
      <c r="P2" s="81" t="s">
        <v>12</v>
      </c>
      <c r="Q2" s="81" t="s">
        <v>13</v>
      </c>
      <c r="R2" s="81" t="s">
        <v>14</v>
      </c>
      <c r="S2" s="81" t="s">
        <v>15</v>
      </c>
      <c r="T2" s="81" t="s">
        <v>16</v>
      </c>
      <c r="U2" s="81" t="s">
        <v>17</v>
      </c>
      <c r="V2" s="81" t="s">
        <v>18</v>
      </c>
    </row>
    <row r="3" spans="1:23" ht="6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</row>
    <row r="4" spans="1:23" ht="17.100000000000001" customHeight="1">
      <c r="A4" s="135" t="s">
        <v>19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</row>
    <row r="5" spans="1:23" ht="15" customHeight="1">
      <c r="A5" s="44">
        <v>1</v>
      </c>
      <c r="B5" s="45" t="s">
        <v>20</v>
      </c>
      <c r="C5" s="45" t="s">
        <v>21</v>
      </c>
      <c r="D5" s="46">
        <v>1072366776.58</v>
      </c>
      <c r="E5" s="46">
        <v>4510139.3899999997</v>
      </c>
      <c r="F5" s="46">
        <v>305624242.88</v>
      </c>
      <c r="G5" s="46">
        <v>2148309.3199999998</v>
      </c>
      <c r="H5" s="47">
        <f t="shared" ref="H5:H21" si="0">(E5+F5)-G5</f>
        <v>307986072.94999999</v>
      </c>
      <c r="I5" s="112">
        <v>1115051352.26</v>
      </c>
      <c r="J5" s="49">
        <f t="shared" ref="J5:J21" si="1">(I5/$I$22)</f>
        <v>3.8883991898389307E-2</v>
      </c>
      <c r="K5" s="48">
        <v>1078663004.8599999</v>
      </c>
      <c r="L5" s="49">
        <f>(K5/$K$22)</f>
        <v>4.0596875348500323E-2</v>
      </c>
      <c r="M5" s="49">
        <f t="shared" ref="M5:M22" si="2">((K5-I5)/I5)</f>
        <v>-3.2633786171594466E-2</v>
      </c>
      <c r="N5" s="50">
        <f t="shared" ref="N5" si="3">(G5/K5)</f>
        <v>1.9916408649602569E-3</v>
      </c>
      <c r="O5" s="51">
        <f t="shared" ref="O5" si="4">H5/K5</f>
        <v>0.28552575879801645</v>
      </c>
      <c r="P5" s="52">
        <f t="shared" ref="P5" si="5">K5/V5</f>
        <v>330.25498257108109</v>
      </c>
      <c r="Q5" s="52">
        <f t="shared" ref="Q5" si="6">H5/V5</f>
        <v>94.296304495433631</v>
      </c>
      <c r="R5" s="54">
        <v>330.255</v>
      </c>
      <c r="S5" s="54">
        <v>332.7201</v>
      </c>
      <c r="T5" s="54">
        <v>1743</v>
      </c>
      <c r="U5" s="54">
        <v>3293435.95</v>
      </c>
      <c r="V5" s="54">
        <v>3266152.1</v>
      </c>
    </row>
    <row r="6" spans="1:23">
      <c r="A6" s="44">
        <v>2</v>
      </c>
      <c r="B6" s="45" t="s">
        <v>22</v>
      </c>
      <c r="C6" s="45" t="s">
        <v>23</v>
      </c>
      <c r="D6" s="46">
        <v>540240622.70000005</v>
      </c>
      <c r="E6" s="46">
        <v>1658978.27</v>
      </c>
      <c r="F6" s="46"/>
      <c r="G6" s="46">
        <v>856149.43</v>
      </c>
      <c r="H6" s="47">
        <f t="shared" si="0"/>
        <v>802828.84</v>
      </c>
      <c r="I6" s="112">
        <v>611753486.64999998</v>
      </c>
      <c r="J6" s="49">
        <f t="shared" si="1"/>
        <v>2.133302432259947E-2</v>
      </c>
      <c r="K6" s="48">
        <v>553611241.16999996</v>
      </c>
      <c r="L6" s="49">
        <f t="shared" ref="L6:L21" si="7">(K6/$K$22)</f>
        <v>2.0835874084903897E-2</v>
      </c>
      <c r="M6" s="49">
        <f t="shared" si="2"/>
        <v>-9.5041951944386222E-2</v>
      </c>
      <c r="N6" s="50">
        <f t="shared" ref="N6:N22" si="8">(G6/K6)</f>
        <v>1.54648129649719E-3</v>
      </c>
      <c r="O6" s="51">
        <f t="shared" ref="O6:O22" si="9">H6/K6</f>
        <v>1.4501671575586227E-3</v>
      </c>
      <c r="P6" s="52">
        <f t="shared" ref="P6:P22" si="10">K6/V6</f>
        <v>205.44458402591539</v>
      </c>
      <c r="Q6" s="52">
        <f t="shared" ref="Q6:Q22" si="11">H6/V6</f>
        <v>0.29792898845267535</v>
      </c>
      <c r="R6" s="54">
        <v>217.77</v>
      </c>
      <c r="S6" s="54">
        <v>220.06</v>
      </c>
      <c r="T6" s="54">
        <v>346</v>
      </c>
      <c r="U6" s="54">
        <v>2694265.01</v>
      </c>
      <c r="V6" s="54">
        <v>2694698.64</v>
      </c>
    </row>
    <row r="7" spans="1:23">
      <c r="A7" s="44">
        <v>3</v>
      </c>
      <c r="B7" s="45" t="s">
        <v>24</v>
      </c>
      <c r="C7" s="55" t="s">
        <v>25</v>
      </c>
      <c r="D7" s="53">
        <v>3580876719.3600001</v>
      </c>
      <c r="E7" s="46">
        <v>6192399.4500000002</v>
      </c>
      <c r="F7" s="46">
        <v>151138110.78</v>
      </c>
      <c r="G7" s="46">
        <v>7324402.1500000004</v>
      </c>
      <c r="H7" s="47">
        <f t="shared" si="0"/>
        <v>150006108.07999998</v>
      </c>
      <c r="I7" s="112">
        <v>3927172060</v>
      </c>
      <c r="J7" s="49">
        <f t="shared" si="1"/>
        <v>0.13694806634252155</v>
      </c>
      <c r="K7" s="48">
        <v>3786816963</v>
      </c>
      <c r="L7" s="49">
        <f t="shared" si="7"/>
        <v>0.14252174731296233</v>
      </c>
      <c r="M7" s="49">
        <f t="shared" si="2"/>
        <v>-3.5739482471262032E-2</v>
      </c>
      <c r="N7" s="50">
        <f t="shared" si="8"/>
        <v>1.9341843615798761E-3</v>
      </c>
      <c r="O7" s="51">
        <f t="shared" si="9"/>
        <v>3.9612716839939853E-2</v>
      </c>
      <c r="P7" s="52">
        <f t="shared" si="10"/>
        <v>35.137678602935573</v>
      </c>
      <c r="Q7" s="52">
        <f t="shared" si="11"/>
        <v>1.3918989129109001</v>
      </c>
      <c r="R7" s="54">
        <v>34.962000000000003</v>
      </c>
      <c r="S7" s="54">
        <v>36.016100000000002</v>
      </c>
      <c r="T7" s="54">
        <v>6569</v>
      </c>
      <c r="U7" s="54">
        <v>107436464</v>
      </c>
      <c r="V7" s="54">
        <v>107770835</v>
      </c>
    </row>
    <row r="8" spans="1:23">
      <c r="A8" s="44">
        <v>4</v>
      </c>
      <c r="B8" s="56" t="s">
        <v>26</v>
      </c>
      <c r="C8" s="56" t="s">
        <v>27</v>
      </c>
      <c r="D8" s="83">
        <v>503054173.58999997</v>
      </c>
      <c r="E8" s="46">
        <v>2877548.43</v>
      </c>
      <c r="F8" s="46"/>
      <c r="G8" s="46">
        <v>1020570.15</v>
      </c>
      <c r="H8" s="47">
        <f t="shared" si="0"/>
        <v>1856978.2800000003</v>
      </c>
      <c r="I8" s="113">
        <v>588563308.60000002</v>
      </c>
      <c r="J8" s="49">
        <f t="shared" si="1"/>
        <v>2.0524338073674007E-2</v>
      </c>
      <c r="K8" s="83">
        <v>586176717.40999997</v>
      </c>
      <c r="L8" s="49">
        <f t="shared" si="7"/>
        <v>2.2061517843541399E-2</v>
      </c>
      <c r="M8" s="49">
        <f t="shared" si="2"/>
        <v>-4.0549438864562904E-3</v>
      </c>
      <c r="N8" s="50">
        <f t="shared" si="8"/>
        <v>1.741062242303569E-3</v>
      </c>
      <c r="O8" s="51">
        <f t="shared" si="9"/>
        <v>3.1679495702336825E-3</v>
      </c>
      <c r="P8" s="52">
        <f t="shared" si="10"/>
        <v>200.7691914371299</v>
      </c>
      <c r="Q8" s="52">
        <f t="shared" si="11"/>
        <v>0.63602667372941968</v>
      </c>
      <c r="R8" s="102">
        <v>200.77</v>
      </c>
      <c r="S8" s="102">
        <v>200.77</v>
      </c>
      <c r="T8" s="54">
        <v>1818</v>
      </c>
      <c r="U8" s="54">
        <v>2848800.21</v>
      </c>
      <c r="V8" s="54">
        <v>2919654.72</v>
      </c>
    </row>
    <row r="9" spans="1:23">
      <c r="A9" s="44">
        <v>5</v>
      </c>
      <c r="B9" s="45" t="s">
        <v>259</v>
      </c>
      <c r="C9" s="55" t="s">
        <v>104</v>
      </c>
      <c r="D9" s="83">
        <v>598082394.63999999</v>
      </c>
      <c r="E9" s="46">
        <v>4202094.7300000004</v>
      </c>
      <c r="F9" s="46">
        <v>-22254285.739999998</v>
      </c>
      <c r="G9" s="46">
        <v>1097849.68</v>
      </c>
      <c r="H9" s="47">
        <f>(E9+F9)-G9</f>
        <v>-19150040.689999998</v>
      </c>
      <c r="I9" s="113">
        <v>634679148.47000003</v>
      </c>
      <c r="J9" s="49">
        <f t="shared" si="1"/>
        <v>2.2132486380259248E-2</v>
      </c>
      <c r="K9" s="83">
        <v>591267376.48000002</v>
      </c>
      <c r="L9" s="49">
        <f t="shared" si="7"/>
        <v>2.2253111372544765E-2</v>
      </c>
      <c r="M9" s="49">
        <f t="shared" si="2"/>
        <v>-6.839955605072473E-2</v>
      </c>
      <c r="N9" s="50">
        <f t="shared" si="8"/>
        <v>1.8567736419618534E-3</v>
      </c>
      <c r="O9" s="51">
        <f t="shared" si="9"/>
        <v>-3.2388123295430553E-2</v>
      </c>
      <c r="P9" s="52">
        <f t="shared" si="10"/>
        <v>0.90760988480784188</v>
      </c>
      <c r="Q9" s="52">
        <f t="shared" si="11"/>
        <v>-2.939578085330791E-2</v>
      </c>
      <c r="R9" s="102">
        <v>0.88660000000000005</v>
      </c>
      <c r="S9" s="102">
        <v>0.89459999999999995</v>
      </c>
      <c r="T9" s="54">
        <v>536</v>
      </c>
      <c r="U9" s="54">
        <f>(V9+26768572.28)-558453.72</f>
        <v>677665536.1099999</v>
      </c>
      <c r="V9" s="54">
        <v>651455417.54999995</v>
      </c>
    </row>
    <row r="10" spans="1:23">
      <c r="A10" s="44">
        <v>6</v>
      </c>
      <c r="B10" s="57" t="s">
        <v>215</v>
      </c>
      <c r="C10" s="58" t="s">
        <v>47</v>
      </c>
      <c r="D10" s="53">
        <v>88900279.450000003</v>
      </c>
      <c r="E10" s="53">
        <v>1800107.73</v>
      </c>
      <c r="F10" s="53">
        <v>0</v>
      </c>
      <c r="G10" s="53">
        <v>2573330.1</v>
      </c>
      <c r="H10" s="47">
        <f>(E10+F10)-G10</f>
        <v>-773222.37000000011</v>
      </c>
      <c r="I10" s="114">
        <v>87093425.239999995</v>
      </c>
      <c r="J10" s="49">
        <f t="shared" si="1"/>
        <v>3.0371157656293164E-3</v>
      </c>
      <c r="K10" s="83">
        <v>86622453.079999998</v>
      </c>
      <c r="L10" s="49">
        <f t="shared" si="7"/>
        <v>3.2601478999703887E-3</v>
      </c>
      <c r="M10" s="49">
        <f t="shared" si="2"/>
        <v>-5.4076660632206919E-3</v>
      </c>
      <c r="N10" s="50">
        <f t="shared" si="8"/>
        <v>2.970742582899847E-2</v>
      </c>
      <c r="O10" s="51">
        <f t="shared" si="9"/>
        <v>-8.9263504150118231E-3</v>
      </c>
      <c r="P10" s="52">
        <f t="shared" si="10"/>
        <v>155.82442146739922</v>
      </c>
      <c r="Q10" s="52">
        <f t="shared" si="11"/>
        <v>-1.390943389234496</v>
      </c>
      <c r="R10" s="54">
        <v>155.35220000000001</v>
      </c>
      <c r="S10" s="54">
        <v>155.92850000000001</v>
      </c>
      <c r="T10" s="54">
        <v>94</v>
      </c>
      <c r="U10" s="54">
        <v>557150.86</v>
      </c>
      <c r="V10" s="54">
        <v>555897.80000000005</v>
      </c>
    </row>
    <row r="11" spans="1:23">
      <c r="A11" s="44">
        <v>7</v>
      </c>
      <c r="B11" s="45" t="s">
        <v>28</v>
      </c>
      <c r="C11" s="45" t="s">
        <v>29</v>
      </c>
      <c r="D11" s="85">
        <v>1037205621.61</v>
      </c>
      <c r="E11" s="83">
        <v>3214124.63</v>
      </c>
      <c r="F11" s="83">
        <v>-89421768.620000005</v>
      </c>
      <c r="G11" s="83">
        <v>1991105.99</v>
      </c>
      <c r="H11" s="47">
        <f t="shared" si="0"/>
        <v>-88198749.980000004</v>
      </c>
      <c r="I11" s="33">
        <v>1099539056.27</v>
      </c>
      <c r="J11" s="49">
        <f t="shared" si="1"/>
        <v>3.8343048209672152E-2</v>
      </c>
      <c r="K11" s="59">
        <v>1024410913.05</v>
      </c>
      <c r="L11" s="49">
        <f t="shared" si="7"/>
        <v>3.8555027803268326E-2</v>
      </c>
      <c r="M11" s="49">
        <f t="shared" si="2"/>
        <v>-6.8326943723908753E-2</v>
      </c>
      <c r="N11" s="50">
        <f t="shared" si="8"/>
        <v>1.9436594872577436E-3</v>
      </c>
      <c r="O11" s="51">
        <f t="shared" si="9"/>
        <v>-8.6097042560200801E-2</v>
      </c>
      <c r="P11" s="52">
        <f t="shared" si="10"/>
        <v>288.63963062466541</v>
      </c>
      <c r="Q11" s="52">
        <f t="shared" si="11"/>
        <v>-24.851018562452452</v>
      </c>
      <c r="R11" s="102">
        <v>288.64</v>
      </c>
      <c r="S11" s="102">
        <v>292.55</v>
      </c>
      <c r="T11" s="102">
        <v>1617</v>
      </c>
      <c r="U11" s="124">
        <v>3656549</v>
      </c>
      <c r="V11" s="124">
        <v>3549100</v>
      </c>
    </row>
    <row r="12" spans="1:23">
      <c r="A12" s="44">
        <v>8</v>
      </c>
      <c r="B12" s="45" t="s">
        <v>30</v>
      </c>
      <c r="C12" s="55" t="s">
        <v>31</v>
      </c>
      <c r="D12" s="46">
        <v>360577136.43000001</v>
      </c>
      <c r="E12" s="46">
        <v>7661266.8499999996</v>
      </c>
      <c r="F12" s="46">
        <v>-4652890.95</v>
      </c>
      <c r="G12" s="46">
        <v>1051928.56</v>
      </c>
      <c r="H12" s="47">
        <f t="shared" si="0"/>
        <v>1956447.3399999994</v>
      </c>
      <c r="I12" s="112">
        <v>347824238.56</v>
      </c>
      <c r="J12" s="49">
        <f t="shared" si="1"/>
        <v>1.2129302248563035E-2</v>
      </c>
      <c r="K12" s="48">
        <v>351000802.82999998</v>
      </c>
      <c r="L12" s="49">
        <f t="shared" si="7"/>
        <v>1.3210368553951198E-2</v>
      </c>
      <c r="M12" s="49">
        <f t="shared" si="2"/>
        <v>9.1326708085411948E-3</v>
      </c>
      <c r="N12" s="50">
        <f t="shared" si="8"/>
        <v>2.9969406095902294E-3</v>
      </c>
      <c r="O12" s="51">
        <f t="shared" si="9"/>
        <v>5.5739112965720603E-3</v>
      </c>
      <c r="P12" s="52">
        <f t="shared" si="10"/>
        <v>176.55647396401577</v>
      </c>
      <c r="Q12" s="52">
        <f t="shared" si="11"/>
        <v>0.98411012471095827</v>
      </c>
      <c r="R12" s="54">
        <v>176.56</v>
      </c>
      <c r="S12" s="54">
        <v>179.57</v>
      </c>
      <c r="T12" s="54">
        <v>2468</v>
      </c>
      <c r="U12" s="54">
        <v>1988037</v>
      </c>
      <c r="V12" s="54">
        <v>1988037</v>
      </c>
    </row>
    <row r="13" spans="1:23">
      <c r="A13" s="44">
        <v>9</v>
      </c>
      <c r="B13" s="45" t="s">
        <v>32</v>
      </c>
      <c r="C13" s="45" t="s">
        <v>33</v>
      </c>
      <c r="D13" s="46">
        <v>46975103.229999997</v>
      </c>
      <c r="E13" s="46">
        <v>965571.46</v>
      </c>
      <c r="F13" s="46">
        <v>3933975.98</v>
      </c>
      <c r="G13" s="46">
        <v>1565671.87</v>
      </c>
      <c r="H13" s="47">
        <f t="shared" si="0"/>
        <v>3333875.5699999994</v>
      </c>
      <c r="I13" s="112">
        <v>53318109.719999999</v>
      </c>
      <c r="J13" s="49">
        <f t="shared" si="1"/>
        <v>1.8593053514422292E-3</v>
      </c>
      <c r="K13" s="48">
        <v>51327383.219999999</v>
      </c>
      <c r="L13" s="49">
        <f t="shared" si="7"/>
        <v>1.9317723600036653E-3</v>
      </c>
      <c r="M13" s="49">
        <f t="shared" si="2"/>
        <v>-3.7336779387984652E-2</v>
      </c>
      <c r="N13" s="50">
        <f t="shared" si="8"/>
        <v>3.0503637079825403E-2</v>
      </c>
      <c r="O13" s="51">
        <f t="shared" si="9"/>
        <v>6.4953156791771466E-2</v>
      </c>
      <c r="P13" s="52">
        <f t="shared" si="10"/>
        <v>184.70755510408114</v>
      </c>
      <c r="Q13" s="52">
        <f t="shared" si="11"/>
        <v>11.99733878730015</v>
      </c>
      <c r="R13" s="54">
        <v>187.25</v>
      </c>
      <c r="S13" s="54">
        <v>192.29</v>
      </c>
      <c r="T13" s="54">
        <v>14</v>
      </c>
      <c r="U13" s="54">
        <v>275084.90000000002</v>
      </c>
      <c r="V13" s="54">
        <v>277884.59000000003</v>
      </c>
      <c r="W13" s="25"/>
    </row>
    <row r="14" spans="1:23">
      <c r="A14" s="44">
        <v>10</v>
      </c>
      <c r="B14" s="55" t="s">
        <v>34</v>
      </c>
      <c r="C14" s="55" t="s">
        <v>35</v>
      </c>
      <c r="D14" s="83">
        <v>533373007.72000003</v>
      </c>
      <c r="E14" s="83">
        <v>1715148.27</v>
      </c>
      <c r="F14" s="83">
        <v>1674087.26</v>
      </c>
      <c r="G14" s="83">
        <v>1331280.45</v>
      </c>
      <c r="H14" s="47">
        <f t="shared" si="0"/>
        <v>2057955.0800000003</v>
      </c>
      <c r="I14" s="113">
        <v>532696051.64999998</v>
      </c>
      <c r="J14" s="49">
        <f t="shared" si="1"/>
        <v>1.8576139040305629E-2</v>
      </c>
      <c r="K14" s="83">
        <v>526209181.86000001</v>
      </c>
      <c r="L14" s="49">
        <f t="shared" si="7"/>
        <v>1.9804562191302187E-2</v>
      </c>
      <c r="M14" s="49">
        <f t="shared" si="2"/>
        <v>-1.2177431707832637E-2</v>
      </c>
      <c r="N14" s="50">
        <f t="shared" si="8"/>
        <v>2.529945306720612E-3</v>
      </c>
      <c r="O14" s="51">
        <f t="shared" si="9"/>
        <v>3.9109068236432391E-3</v>
      </c>
      <c r="P14" s="52">
        <f t="shared" si="10"/>
        <v>1.7752864945055404</v>
      </c>
      <c r="Q14" s="52">
        <f t="shared" si="11"/>
        <v>6.9429800652834042E-3</v>
      </c>
      <c r="R14" s="102">
        <v>1.78</v>
      </c>
      <c r="S14" s="54">
        <v>1.8</v>
      </c>
      <c r="T14" s="54">
        <v>453</v>
      </c>
      <c r="U14" s="102">
        <v>301492835.06999999</v>
      </c>
      <c r="V14" s="102">
        <v>296408035.25999999</v>
      </c>
    </row>
    <row r="15" spans="1:23">
      <c r="A15" s="44">
        <v>11</v>
      </c>
      <c r="B15" s="45" t="s">
        <v>36</v>
      </c>
      <c r="C15" s="55" t="s">
        <v>37</v>
      </c>
      <c r="D15" s="46">
        <v>1607730949.79</v>
      </c>
      <c r="E15" s="47">
        <v>9188201.4700000007</v>
      </c>
      <c r="F15" s="84"/>
      <c r="G15" s="47">
        <v>2743080.89</v>
      </c>
      <c r="H15" s="47">
        <f>(E15+F15)-G15</f>
        <v>6445120.5800000001</v>
      </c>
      <c r="I15" s="112">
        <v>1661863786.23</v>
      </c>
      <c r="J15" s="49">
        <f t="shared" si="1"/>
        <v>5.795239642463236E-2</v>
      </c>
      <c r="K15" s="48">
        <v>1603071554.02</v>
      </c>
      <c r="L15" s="49">
        <f t="shared" si="7"/>
        <v>6.0333668402508499E-2</v>
      </c>
      <c r="M15" s="49">
        <f t="shared" si="2"/>
        <v>-3.5377287053936238E-2</v>
      </c>
      <c r="N15" s="50">
        <f t="shared" si="8"/>
        <v>1.7111406431741707E-3</v>
      </c>
      <c r="O15" s="51">
        <f t="shared" si="9"/>
        <v>4.0204821574169047E-3</v>
      </c>
      <c r="P15" s="52">
        <f t="shared" si="10"/>
        <v>3.2855835706904375</v>
      </c>
      <c r="Q15" s="52">
        <f t="shared" si="11"/>
        <v>1.3209630122663027E-2</v>
      </c>
      <c r="R15" s="102">
        <v>3.25</v>
      </c>
      <c r="S15" s="54">
        <v>3.31</v>
      </c>
      <c r="T15" s="54">
        <v>3666</v>
      </c>
      <c r="U15" s="54">
        <v>487907807</v>
      </c>
      <c r="V15" s="54">
        <v>487910753</v>
      </c>
    </row>
    <row r="16" spans="1:23">
      <c r="A16" s="44">
        <v>12</v>
      </c>
      <c r="B16" s="45" t="s">
        <v>38</v>
      </c>
      <c r="C16" s="45" t="s">
        <v>39</v>
      </c>
      <c r="D16" s="83">
        <v>590432106.84000003</v>
      </c>
      <c r="E16" s="83">
        <v>13979378.41</v>
      </c>
      <c r="F16" s="83">
        <v>6889868.9100000001</v>
      </c>
      <c r="G16" s="83">
        <v>992899.68</v>
      </c>
      <c r="H16" s="47">
        <f>(E16+F16)-G16</f>
        <v>19876347.640000001</v>
      </c>
      <c r="I16" s="115">
        <v>596195156.52999997</v>
      </c>
      <c r="J16" s="49">
        <f t="shared" si="1"/>
        <v>2.0790475334956537E-2</v>
      </c>
      <c r="K16" s="86">
        <v>594799573.41999996</v>
      </c>
      <c r="L16" s="49">
        <f t="shared" si="7"/>
        <v>2.2386050166434471E-2</v>
      </c>
      <c r="M16" s="49">
        <f t="shared" si="2"/>
        <v>-2.3408159135720687E-3</v>
      </c>
      <c r="N16" s="50">
        <f t="shared" si="8"/>
        <v>1.6693012644427262E-3</v>
      </c>
      <c r="O16" s="51">
        <f t="shared" si="9"/>
        <v>3.3416882809303751E-2</v>
      </c>
      <c r="P16" s="52">
        <f t="shared" si="10"/>
        <v>19.549585432978692</v>
      </c>
      <c r="Q16" s="52">
        <f t="shared" si="11"/>
        <v>0.6532862053843207</v>
      </c>
      <c r="R16" s="125">
        <v>19.59</v>
      </c>
      <c r="S16" s="125">
        <v>19.79</v>
      </c>
      <c r="T16" s="125">
        <v>344</v>
      </c>
      <c r="U16" s="125">
        <v>30295001.559999999</v>
      </c>
      <c r="V16" s="125">
        <v>30425175.789999999</v>
      </c>
    </row>
    <row r="17" spans="1:23">
      <c r="A17" s="44">
        <v>13</v>
      </c>
      <c r="B17" s="56" t="s">
        <v>40</v>
      </c>
      <c r="C17" s="56" t="s">
        <v>41</v>
      </c>
      <c r="D17" s="46">
        <v>224595807.69</v>
      </c>
      <c r="E17" s="46">
        <v>3448675.76</v>
      </c>
      <c r="F17" s="46">
        <v>92611320.790000007</v>
      </c>
      <c r="G17" s="46">
        <v>530746.73</v>
      </c>
      <c r="H17" s="47">
        <f t="shared" si="0"/>
        <v>95529249.820000008</v>
      </c>
      <c r="I17" s="112">
        <v>358765433.83999997</v>
      </c>
      <c r="J17" s="49">
        <f t="shared" si="1"/>
        <v>1.2510842836594187E-2</v>
      </c>
      <c r="K17" s="48">
        <v>225024094.63999999</v>
      </c>
      <c r="L17" s="49">
        <f t="shared" si="7"/>
        <v>8.4690724344392357E-3</v>
      </c>
      <c r="M17" s="49">
        <f t="shared" si="2"/>
        <v>-0.37278212053072296</v>
      </c>
      <c r="N17" s="50">
        <f t="shared" si="8"/>
        <v>2.3586217771439269E-3</v>
      </c>
      <c r="O17" s="51">
        <f t="shared" si="9"/>
        <v>0.4245289819867088</v>
      </c>
      <c r="P17" s="52">
        <f t="shared" si="10"/>
        <v>2.4646751045940305</v>
      </c>
      <c r="Q17" s="52">
        <f t="shared" si="11"/>
        <v>1.0463260130812888</v>
      </c>
      <c r="R17" s="54">
        <v>3.29</v>
      </c>
      <c r="S17" s="54">
        <v>3.35</v>
      </c>
      <c r="T17" s="54">
        <v>21</v>
      </c>
      <c r="U17" s="54">
        <v>139065659.78</v>
      </c>
      <c r="V17" s="54">
        <v>91299698.780000001</v>
      </c>
    </row>
    <row r="18" spans="1:23">
      <c r="A18" s="44">
        <v>14</v>
      </c>
      <c r="B18" s="45" t="s">
        <v>42</v>
      </c>
      <c r="C18" s="45" t="s">
        <v>43</v>
      </c>
      <c r="D18" s="46">
        <v>1439781348.72</v>
      </c>
      <c r="E18" s="46">
        <v>2063964.27</v>
      </c>
      <c r="F18" s="46">
        <v>-41522188.57</v>
      </c>
      <c r="G18" s="46">
        <v>2543697</v>
      </c>
      <c r="H18" s="47">
        <f t="shared" si="0"/>
        <v>-42001921.299999997</v>
      </c>
      <c r="I18" s="112">
        <v>1283600101.8900001</v>
      </c>
      <c r="J18" s="49">
        <f t="shared" si="1"/>
        <v>4.4761611975539253E-2</v>
      </c>
      <c r="K18" s="48">
        <v>1436023688.3</v>
      </c>
      <c r="L18" s="49">
        <f t="shared" si="7"/>
        <v>5.4046606223391629E-2</v>
      </c>
      <c r="M18" s="49">
        <f t="shared" si="2"/>
        <v>0.11874694165696008</v>
      </c>
      <c r="N18" s="50">
        <f t="shared" si="8"/>
        <v>1.7713475207440977E-3</v>
      </c>
      <c r="O18" s="51">
        <f t="shared" si="9"/>
        <v>-2.9248766327610445E-2</v>
      </c>
      <c r="P18" s="52">
        <f t="shared" si="10"/>
        <v>25.709945577991846</v>
      </c>
      <c r="Q18" s="52">
        <f t="shared" si="11"/>
        <v>-0.75198419050626497</v>
      </c>
      <c r="R18" s="54">
        <v>25.71</v>
      </c>
      <c r="S18" s="54">
        <v>25.77</v>
      </c>
      <c r="T18" s="54">
        <v>8936</v>
      </c>
      <c r="U18" s="54">
        <v>56181096</v>
      </c>
      <c r="V18" s="54">
        <v>55854793</v>
      </c>
    </row>
    <row r="19" spans="1:23">
      <c r="A19" s="44">
        <v>15</v>
      </c>
      <c r="B19" s="55" t="s">
        <v>44</v>
      </c>
      <c r="C19" s="45" t="s">
        <v>45</v>
      </c>
      <c r="D19" s="83">
        <v>623688365.48000002</v>
      </c>
      <c r="E19" s="83">
        <v>24108163.949999999</v>
      </c>
      <c r="F19" s="83">
        <v>-45199252.780000001</v>
      </c>
      <c r="G19" s="83">
        <v>779774.21</v>
      </c>
      <c r="H19" s="47">
        <f t="shared" si="0"/>
        <v>-21870863.040000003</v>
      </c>
      <c r="I19" s="113">
        <v>653373951.45000005</v>
      </c>
      <c r="J19" s="49">
        <f t="shared" si="1"/>
        <v>2.2784410227661391E-2</v>
      </c>
      <c r="K19" s="83">
        <v>631534214.13</v>
      </c>
      <c r="L19" s="49">
        <f t="shared" si="7"/>
        <v>2.3768605814636547E-2</v>
      </c>
      <c r="M19" s="49">
        <f t="shared" si="2"/>
        <v>-3.3426091247641905E-2</v>
      </c>
      <c r="N19" s="50">
        <f t="shared" si="8"/>
        <v>1.2347299521597813E-3</v>
      </c>
      <c r="O19" s="51">
        <f t="shared" si="9"/>
        <v>-3.4631319334185638E-2</v>
      </c>
      <c r="P19" s="52">
        <f t="shared" si="10"/>
        <v>6260.2860555841653</v>
      </c>
      <c r="Q19" s="52">
        <f t="shared" si="11"/>
        <v>-216.80196551428466</v>
      </c>
      <c r="R19" s="102">
        <v>6212.76</v>
      </c>
      <c r="S19" s="102">
        <v>6292.86</v>
      </c>
      <c r="T19" s="54">
        <v>20</v>
      </c>
      <c r="U19" s="102">
        <v>100879.45</v>
      </c>
      <c r="V19" s="102">
        <v>100879.45</v>
      </c>
    </row>
    <row r="20" spans="1:23">
      <c r="A20" s="44">
        <v>16</v>
      </c>
      <c r="B20" s="45" t="s">
        <v>46</v>
      </c>
      <c r="C20" s="45" t="s">
        <v>45</v>
      </c>
      <c r="D20" s="83">
        <v>10117172852.440001</v>
      </c>
      <c r="E20" s="46">
        <v>35725593.700000003</v>
      </c>
      <c r="F20" s="46">
        <v>-195838637.25</v>
      </c>
      <c r="G20" s="46">
        <v>45066031.649999999</v>
      </c>
      <c r="H20" s="47">
        <f t="shared" si="0"/>
        <v>-205179075.20000002</v>
      </c>
      <c r="I20" s="113">
        <v>11981162673.940001</v>
      </c>
      <c r="J20" s="49">
        <f t="shared" si="1"/>
        <v>0.41780625744502725</v>
      </c>
      <c r="K20" s="83">
        <v>10268296046.67</v>
      </c>
      <c r="L20" s="49">
        <f t="shared" si="7"/>
        <v>0.38646058386165305</v>
      </c>
      <c r="M20" s="49">
        <f t="shared" si="2"/>
        <v>-0.14296330614019825</v>
      </c>
      <c r="N20" s="50">
        <f t="shared" si="8"/>
        <v>4.388852000874563E-3</v>
      </c>
      <c r="O20" s="51">
        <f t="shared" si="9"/>
        <v>-1.9981803628123813E-2</v>
      </c>
      <c r="P20" s="52">
        <f t="shared" si="10"/>
        <v>20260.069695688635</v>
      </c>
      <c r="Q20" s="52">
        <f t="shared" si="11"/>
        <v>-404.8327341513525</v>
      </c>
      <c r="R20" s="102">
        <v>20087.43</v>
      </c>
      <c r="S20" s="102">
        <v>20378.39</v>
      </c>
      <c r="T20" s="102">
        <v>17386</v>
      </c>
      <c r="U20" s="102">
        <v>581300.77</v>
      </c>
      <c r="V20" s="102">
        <v>506824.32</v>
      </c>
    </row>
    <row r="21" spans="1:23">
      <c r="A21" s="44">
        <v>17</v>
      </c>
      <c r="B21" s="45" t="s">
        <v>48</v>
      </c>
      <c r="C21" s="45" t="s">
        <v>49</v>
      </c>
      <c r="D21" s="89">
        <v>2277124986</v>
      </c>
      <c r="E21" s="89">
        <v>32984639</v>
      </c>
      <c r="F21" s="89">
        <v>-85613496</v>
      </c>
      <c r="G21" s="90">
        <v>5207965</v>
      </c>
      <c r="H21" s="47">
        <f t="shared" si="0"/>
        <v>-57836822</v>
      </c>
      <c r="I21" s="116">
        <v>3143708719</v>
      </c>
      <c r="J21" s="49">
        <f t="shared" si="1"/>
        <v>0.109627188122533</v>
      </c>
      <c r="K21" s="90">
        <v>3175243983</v>
      </c>
      <c r="L21" s="49">
        <f t="shared" si="7"/>
        <v>0.11950440832598808</v>
      </c>
      <c r="M21" s="49">
        <f t="shared" si="2"/>
        <v>1.0031229614056366E-2</v>
      </c>
      <c r="N21" s="50">
        <f t="shared" si="8"/>
        <v>1.6401778974727689E-3</v>
      </c>
      <c r="O21" s="51">
        <f t="shared" si="9"/>
        <v>-1.8214922163353013E-2</v>
      </c>
      <c r="P21" s="52">
        <f t="shared" si="10"/>
        <v>1.2893286787702229</v>
      </c>
      <c r="Q21" s="52">
        <f t="shared" si="11"/>
        <v>-2.3485021526778393E-2</v>
      </c>
      <c r="R21" s="125">
        <v>1.29</v>
      </c>
      <c r="S21" s="125">
        <v>1.3</v>
      </c>
      <c r="T21" s="125">
        <v>2880</v>
      </c>
      <c r="U21" s="126">
        <v>2399446549</v>
      </c>
      <c r="V21" s="126">
        <v>2462711049</v>
      </c>
    </row>
    <row r="22" spans="1:23">
      <c r="A22" s="132" t="s">
        <v>50</v>
      </c>
      <c r="B22" s="132"/>
      <c r="C22" s="132"/>
      <c r="D22" s="132"/>
      <c r="E22" s="132"/>
      <c r="F22" s="132"/>
      <c r="G22" s="132"/>
      <c r="H22" s="132"/>
      <c r="I22" s="60">
        <f>SUM(I5:I21)</f>
        <v>28676360060.300003</v>
      </c>
      <c r="J22" s="61">
        <f>(I22/$I$194)</f>
        <v>9.6873734795664829E-3</v>
      </c>
      <c r="K22" s="60">
        <f>SUM(K5:K21)</f>
        <v>26570099191.139999</v>
      </c>
      <c r="L22" s="61">
        <f>(K22/$K$194)</f>
        <v>8.2479535280893818E-3</v>
      </c>
      <c r="M22" s="49">
        <f t="shared" si="2"/>
        <v>-7.3449380072331552E-2</v>
      </c>
      <c r="N22" s="50"/>
      <c r="O22" s="51"/>
      <c r="P22" s="52"/>
      <c r="Q22" s="52"/>
      <c r="R22" s="64"/>
      <c r="S22" s="64"/>
      <c r="T22" s="64">
        <f>SUM(T5:T21)</f>
        <v>48911</v>
      </c>
      <c r="U22" s="64"/>
      <c r="V22" s="64"/>
    </row>
    <row r="23" spans="1:23" ht="6" customHeight="1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31"/>
    </row>
    <row r="24" spans="1:23">
      <c r="A24" s="135" t="s">
        <v>51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</row>
    <row r="25" spans="1:23" ht="12.9" customHeight="1">
      <c r="A25" s="44">
        <v>18</v>
      </c>
      <c r="B25" s="45" t="s">
        <v>52</v>
      </c>
      <c r="C25" s="45" t="s">
        <v>21</v>
      </c>
      <c r="D25" s="87">
        <v>1038868777.62</v>
      </c>
      <c r="E25" s="87">
        <v>16479077.08</v>
      </c>
      <c r="F25" s="87"/>
      <c r="G25" s="87">
        <v>2097576.2200000002</v>
      </c>
      <c r="H25" s="47">
        <f t="shared" ref="H25:H57" si="12">(E25+F25)-G25</f>
        <v>14381500.859999999</v>
      </c>
      <c r="I25" s="117">
        <v>962483813.88999999</v>
      </c>
      <c r="J25" s="49">
        <f t="shared" ref="J25:J57" si="13">(I25/$I$58)</f>
        <v>8.9858512238428492E-4</v>
      </c>
      <c r="K25" s="92">
        <v>1024910062.85</v>
      </c>
      <c r="L25" s="49">
        <f t="shared" ref="L25:L57" si="14">(K25/$K$58)</f>
        <v>8.6028688824056263E-4</v>
      </c>
      <c r="M25" s="49">
        <f t="shared" ref="M25:M57" si="15">((K25-I25)/I25)</f>
        <v>6.4859531203643267E-2</v>
      </c>
      <c r="N25" s="50">
        <f t="shared" ref="N25" si="16">(G25/K25)</f>
        <v>2.0465953999585125E-3</v>
      </c>
      <c r="O25" s="51">
        <f t="shared" ref="O25" si="17">H25/K25</f>
        <v>1.4031963760809316E-2</v>
      </c>
      <c r="P25" s="52">
        <f t="shared" ref="P25" si="18">K25/V25</f>
        <v>101.11483340239343</v>
      </c>
      <c r="Q25" s="52">
        <f t="shared" ref="Q25" si="19">H25/V25</f>
        <v>1.418839677982656</v>
      </c>
      <c r="R25" s="54">
        <v>100</v>
      </c>
      <c r="S25" s="54">
        <v>100</v>
      </c>
      <c r="T25" s="54">
        <v>825</v>
      </c>
      <c r="U25" s="125">
        <v>9526250</v>
      </c>
      <c r="V25" s="125">
        <v>10136100</v>
      </c>
    </row>
    <row r="26" spans="1:23" ht="15" customHeight="1">
      <c r="A26" s="44">
        <v>19</v>
      </c>
      <c r="B26" s="45" t="s">
        <v>53</v>
      </c>
      <c r="C26" s="45" t="s">
        <v>54</v>
      </c>
      <c r="D26" s="53">
        <v>6917567491.4099998</v>
      </c>
      <c r="E26" s="53">
        <v>123588333.09</v>
      </c>
      <c r="F26" s="53">
        <v>0</v>
      </c>
      <c r="G26" s="53">
        <v>11088259.949999999</v>
      </c>
      <c r="H26" s="47">
        <f t="shared" si="12"/>
        <v>112500073.14</v>
      </c>
      <c r="I26" s="35">
        <v>6045647074.3199997</v>
      </c>
      <c r="J26" s="49">
        <f t="shared" si="13"/>
        <v>5.6442803897280933E-3</v>
      </c>
      <c r="K26" s="53">
        <v>6907818656.0100002</v>
      </c>
      <c r="L26" s="49">
        <f t="shared" si="14"/>
        <v>5.798270532717649E-3</v>
      </c>
      <c r="M26" s="49">
        <f t="shared" si="15"/>
        <v>0.14261030640578298</v>
      </c>
      <c r="N26" s="50">
        <f t="shared" ref="N26:N57" si="20">(G26/K26)</f>
        <v>1.605175309625839E-3</v>
      </c>
      <c r="O26" s="51">
        <f t="shared" ref="O26:O57" si="21">H26/K26</f>
        <v>1.6285904240135447E-2</v>
      </c>
      <c r="P26" s="52">
        <f t="shared" ref="P26:P57" si="22">K26/V26</f>
        <v>101.82167191971038</v>
      </c>
      <c r="Q26" s="52">
        <f t="shared" ref="Q26:Q57" si="23">H26/V26</f>
        <v>1.6582579984548915</v>
      </c>
      <c r="R26" s="54">
        <v>100</v>
      </c>
      <c r="S26" s="54">
        <v>100</v>
      </c>
      <c r="T26" s="54">
        <v>1555</v>
      </c>
      <c r="U26" s="54">
        <v>58169110.020000003</v>
      </c>
      <c r="V26" s="54">
        <v>67842322.030000001</v>
      </c>
    </row>
    <row r="27" spans="1:23">
      <c r="A27" s="44">
        <v>20</v>
      </c>
      <c r="B27" s="45" t="s">
        <v>55</v>
      </c>
      <c r="C27" s="45" t="s">
        <v>23</v>
      </c>
      <c r="D27" s="53">
        <v>491648437.98000002</v>
      </c>
      <c r="E27" s="53">
        <v>7557331.0899999999</v>
      </c>
      <c r="F27" s="53"/>
      <c r="G27" s="53">
        <v>644272.72</v>
      </c>
      <c r="H27" s="47">
        <f t="shared" si="12"/>
        <v>6913058.3700000001</v>
      </c>
      <c r="I27" s="35">
        <v>438826994.14999998</v>
      </c>
      <c r="J27" s="49">
        <f t="shared" si="13"/>
        <v>4.0969354762455452E-4</v>
      </c>
      <c r="K27" s="53">
        <v>493852644.56999999</v>
      </c>
      <c r="L27" s="49">
        <f t="shared" si="14"/>
        <v>4.1452901112619595E-4</v>
      </c>
      <c r="M27" s="49">
        <f t="shared" si="15"/>
        <v>0.12539258330400507</v>
      </c>
      <c r="N27" s="50">
        <f t="shared" si="20"/>
        <v>1.3045849345627611E-3</v>
      </c>
      <c r="O27" s="51">
        <f t="shared" si="21"/>
        <v>1.3998220817505666E-2</v>
      </c>
      <c r="P27" s="52">
        <f t="shared" si="22"/>
        <v>88.268939451324272</v>
      </c>
      <c r="Q27" s="52">
        <f t="shared" si="23"/>
        <v>1.2356081057666746</v>
      </c>
      <c r="R27" s="54">
        <v>100</v>
      </c>
      <c r="S27" s="54">
        <v>100</v>
      </c>
      <c r="T27" s="54">
        <v>1262</v>
      </c>
      <c r="U27" s="54">
        <v>4953129.3499999996</v>
      </c>
      <c r="V27" s="54">
        <v>5594863.2400000002</v>
      </c>
    </row>
    <row r="28" spans="1:23">
      <c r="A28" s="44">
        <v>21</v>
      </c>
      <c r="B28" s="45" t="s">
        <v>56</v>
      </c>
      <c r="C28" s="55" t="s">
        <v>57</v>
      </c>
      <c r="D28" s="83">
        <v>34926279981.449997</v>
      </c>
      <c r="E28" s="83">
        <v>1654180046.1800001</v>
      </c>
      <c r="F28" s="83">
        <v>0</v>
      </c>
      <c r="G28" s="83">
        <v>162534735.90000001</v>
      </c>
      <c r="H28" s="47">
        <f t="shared" si="12"/>
        <v>1491645310.28</v>
      </c>
      <c r="I28" s="118">
        <v>90140972394</v>
      </c>
      <c r="J28" s="49">
        <f t="shared" si="13"/>
        <v>8.4156570262861746E-2</v>
      </c>
      <c r="K28" s="88">
        <v>98723411367</v>
      </c>
      <c r="L28" s="49">
        <f t="shared" si="14"/>
        <v>8.2866252796114218E-2</v>
      </c>
      <c r="M28" s="49">
        <f t="shared" si="15"/>
        <v>9.5211297871147307E-2</v>
      </c>
      <c r="N28" s="50">
        <f t="shared" si="20"/>
        <v>1.6463646631474694E-3</v>
      </c>
      <c r="O28" s="51">
        <f t="shared" si="21"/>
        <v>1.5109337183810162E-2</v>
      </c>
      <c r="P28" s="52">
        <f t="shared" si="22"/>
        <v>1</v>
      </c>
      <c r="Q28" s="52">
        <f t="shared" si="23"/>
        <v>1.5109337183810162E-2</v>
      </c>
      <c r="R28" s="54">
        <v>1</v>
      </c>
      <c r="S28" s="54">
        <v>1</v>
      </c>
      <c r="T28" s="54">
        <v>59803</v>
      </c>
      <c r="U28" s="102">
        <v>90140972394</v>
      </c>
      <c r="V28" s="102">
        <v>98723411367</v>
      </c>
    </row>
    <row r="29" spans="1:23" ht="15" customHeight="1">
      <c r="A29" s="44">
        <v>22</v>
      </c>
      <c r="B29" s="45" t="s">
        <v>58</v>
      </c>
      <c r="C29" s="45" t="s">
        <v>27</v>
      </c>
      <c r="D29" s="53">
        <v>25965911593.400002</v>
      </c>
      <c r="E29" s="53">
        <v>1094395028.9200001</v>
      </c>
      <c r="F29" s="53">
        <v>0</v>
      </c>
      <c r="G29" s="53">
        <v>97641059.659999996</v>
      </c>
      <c r="H29" s="47">
        <f t="shared" si="12"/>
        <v>996753969.26000011</v>
      </c>
      <c r="I29" s="113">
        <v>57292195267.540001</v>
      </c>
      <c r="J29" s="49">
        <f t="shared" si="13"/>
        <v>5.3488602668626824E-2</v>
      </c>
      <c r="K29" s="83">
        <v>62074365406.519997</v>
      </c>
      <c r="L29" s="49">
        <f t="shared" si="14"/>
        <v>5.2103852416656674E-2</v>
      </c>
      <c r="M29" s="49">
        <f t="shared" si="15"/>
        <v>8.3469835928759159E-2</v>
      </c>
      <c r="N29" s="50">
        <f t="shared" si="20"/>
        <v>1.5729691156817567E-3</v>
      </c>
      <c r="O29" s="51">
        <f t="shared" si="21"/>
        <v>1.6057416982555344E-2</v>
      </c>
      <c r="P29" s="52">
        <f t="shared" si="22"/>
        <v>1.0161265195717173</v>
      </c>
      <c r="Q29" s="52">
        <f t="shared" si="23"/>
        <v>1.6316367231795748E-2</v>
      </c>
      <c r="R29" s="54">
        <v>1</v>
      </c>
      <c r="S29" s="54">
        <v>1</v>
      </c>
      <c r="T29" s="54">
        <v>28215</v>
      </c>
      <c r="U29" s="54">
        <v>55138734276.089996</v>
      </c>
      <c r="V29" s="54">
        <v>61089209080.660004</v>
      </c>
    </row>
    <row r="30" spans="1:23">
      <c r="A30" s="44">
        <v>23</v>
      </c>
      <c r="B30" s="55" t="s">
        <v>260</v>
      </c>
      <c r="C30" s="55" t="s">
        <v>43</v>
      </c>
      <c r="D30" s="53">
        <v>8874556760.3199997</v>
      </c>
      <c r="E30" s="53">
        <v>130777744.08</v>
      </c>
      <c r="F30" s="53">
        <v>0</v>
      </c>
      <c r="G30" s="53">
        <v>13285188.66</v>
      </c>
      <c r="H30" s="47">
        <f t="shared" si="12"/>
        <v>117492555.42</v>
      </c>
      <c r="I30" s="35">
        <v>7691020888.9499998</v>
      </c>
      <c r="J30" s="49">
        <f t="shared" si="13"/>
        <v>7.1804188777215873E-3</v>
      </c>
      <c r="K30" s="53">
        <v>8742921605.1499996</v>
      </c>
      <c r="L30" s="49">
        <f t="shared" si="14"/>
        <v>7.3386154497406568E-3</v>
      </c>
      <c r="M30" s="49">
        <f t="shared" si="15"/>
        <v>0.13676997259379545</v>
      </c>
      <c r="N30" s="50">
        <f t="shared" si="20"/>
        <v>1.5195365187964612E-3</v>
      </c>
      <c r="O30" s="51">
        <f t="shared" si="21"/>
        <v>1.3438591894818233E-2</v>
      </c>
      <c r="P30" s="52">
        <f t="shared" si="22"/>
        <v>100.00000000171568</v>
      </c>
      <c r="Q30" s="52">
        <f t="shared" si="23"/>
        <v>1.3438591895048795</v>
      </c>
      <c r="R30" s="54">
        <v>100</v>
      </c>
      <c r="S30" s="54">
        <v>100</v>
      </c>
      <c r="T30" s="54">
        <v>1951</v>
      </c>
      <c r="U30" s="102">
        <v>76910208.900000006</v>
      </c>
      <c r="V30" s="54">
        <v>87429216.049999997</v>
      </c>
    </row>
    <row r="31" spans="1:23">
      <c r="A31" s="44">
        <v>24</v>
      </c>
      <c r="B31" s="93" t="s">
        <v>253</v>
      </c>
      <c r="C31" s="93" t="s">
        <v>219</v>
      </c>
      <c r="D31" s="53">
        <v>354718838.73000002</v>
      </c>
      <c r="E31" s="53">
        <v>9397411.4900000002</v>
      </c>
      <c r="F31" s="53">
        <v>0</v>
      </c>
      <c r="G31" s="53">
        <v>371192.22</v>
      </c>
      <c r="H31" s="47">
        <f t="shared" si="12"/>
        <v>9026219.2699999996</v>
      </c>
      <c r="I31" s="35">
        <v>261863773.86000001</v>
      </c>
      <c r="J31" s="49">
        <f t="shared" si="13"/>
        <v>2.4447880357694149E-4</v>
      </c>
      <c r="K31" s="53">
        <v>347326796.39999998</v>
      </c>
      <c r="L31" s="49">
        <f t="shared" si="14"/>
        <v>2.9153844781915289E-4</v>
      </c>
      <c r="M31" s="49">
        <f t="shared" si="15"/>
        <v>0.32636443476023141</v>
      </c>
      <c r="N31" s="50">
        <f t="shared" si="20"/>
        <v>1.0687117258079775E-3</v>
      </c>
      <c r="O31" s="51">
        <f t="shared" si="21"/>
        <v>2.5987684692213974E-2</v>
      </c>
      <c r="P31" s="52">
        <f t="shared" si="22"/>
        <v>1.0029270692886152</v>
      </c>
      <c r="Q31" s="52">
        <f t="shared" si="23"/>
        <v>2.6063752445958772E-2</v>
      </c>
      <c r="R31" s="54">
        <v>1</v>
      </c>
      <c r="S31" s="54">
        <v>1</v>
      </c>
      <c r="T31" s="54">
        <v>166</v>
      </c>
      <c r="U31" s="102">
        <f>(V31+20000)-7461893.89</f>
        <v>338871220.03000003</v>
      </c>
      <c r="V31" s="54">
        <v>346313113.92000002</v>
      </c>
    </row>
    <row r="32" spans="1:23">
      <c r="A32" s="44">
        <v>25</v>
      </c>
      <c r="B32" s="45" t="s">
        <v>238</v>
      </c>
      <c r="C32" s="45" t="s">
        <v>59</v>
      </c>
      <c r="D32" s="83">
        <v>26409386859.740002</v>
      </c>
      <c r="E32" s="53">
        <v>493155273.68000001</v>
      </c>
      <c r="F32" s="53">
        <v>0</v>
      </c>
      <c r="G32" s="53">
        <v>42301210.799999997</v>
      </c>
      <c r="H32" s="47">
        <f t="shared" si="12"/>
        <v>450854062.88</v>
      </c>
      <c r="I32" s="35">
        <v>23407783272.93</v>
      </c>
      <c r="J32" s="49">
        <f t="shared" si="13"/>
        <v>2.1853755349962211E-2</v>
      </c>
      <c r="K32" s="53">
        <v>25760374263.259998</v>
      </c>
      <c r="L32" s="49">
        <f t="shared" si="14"/>
        <v>2.1622689656522205E-2</v>
      </c>
      <c r="M32" s="49">
        <f t="shared" si="15"/>
        <v>0.10050464680483687</v>
      </c>
      <c r="N32" s="50">
        <f t="shared" si="20"/>
        <v>1.64210389056074E-3</v>
      </c>
      <c r="O32" s="51">
        <f t="shared" si="21"/>
        <v>1.750184443255616E-2</v>
      </c>
      <c r="P32" s="52">
        <f t="shared" si="22"/>
        <v>100.0000000010093</v>
      </c>
      <c r="Q32" s="52">
        <f t="shared" si="23"/>
        <v>1.7501844432732805</v>
      </c>
      <c r="R32" s="54">
        <v>100</v>
      </c>
      <c r="S32" s="54">
        <v>100</v>
      </c>
      <c r="T32" s="54">
        <v>2726</v>
      </c>
      <c r="U32" s="54">
        <v>234077832.72</v>
      </c>
      <c r="V32" s="54">
        <v>257603742.63</v>
      </c>
    </row>
    <row r="33" spans="1:22">
      <c r="A33" s="44">
        <v>26</v>
      </c>
      <c r="B33" s="45" t="s">
        <v>60</v>
      </c>
      <c r="C33" s="45" t="s">
        <v>61</v>
      </c>
      <c r="D33" s="53">
        <v>4207821238.8400002</v>
      </c>
      <c r="E33" s="83">
        <v>154873805.88</v>
      </c>
      <c r="F33" s="83"/>
      <c r="G33" s="53">
        <v>10586948.02</v>
      </c>
      <c r="H33" s="47">
        <f t="shared" si="12"/>
        <v>144286857.85999998</v>
      </c>
      <c r="I33" s="113">
        <v>8079511100</v>
      </c>
      <c r="J33" s="49">
        <f t="shared" si="13"/>
        <v>7.5431174694314714E-3</v>
      </c>
      <c r="K33" s="83">
        <v>9286831000</v>
      </c>
      <c r="L33" s="49">
        <f t="shared" si="14"/>
        <v>7.7951609923604254E-3</v>
      </c>
      <c r="M33" s="49">
        <f t="shared" si="15"/>
        <v>0.14942982131678734</v>
      </c>
      <c r="N33" s="50">
        <f t="shared" si="20"/>
        <v>1.1399957660476431E-3</v>
      </c>
      <c r="O33" s="51">
        <f t="shared" si="21"/>
        <v>1.5536716223219739E-2</v>
      </c>
      <c r="P33" s="52">
        <f t="shared" si="22"/>
        <v>100</v>
      </c>
      <c r="Q33" s="52">
        <f t="shared" si="23"/>
        <v>1.5536716223219738</v>
      </c>
      <c r="R33" s="54">
        <v>100</v>
      </c>
      <c r="S33" s="54">
        <v>100</v>
      </c>
      <c r="T33" s="54">
        <v>6126</v>
      </c>
      <c r="U33" s="54">
        <v>80795111</v>
      </c>
      <c r="V33" s="54">
        <v>92868310</v>
      </c>
    </row>
    <row r="34" spans="1:22">
      <c r="A34" s="44">
        <v>27</v>
      </c>
      <c r="B34" s="45" t="s">
        <v>62</v>
      </c>
      <c r="C34" s="55" t="s">
        <v>63</v>
      </c>
      <c r="D34" s="54">
        <v>39263942.280000001</v>
      </c>
      <c r="E34" s="54">
        <v>275433.01</v>
      </c>
      <c r="F34" s="54"/>
      <c r="G34" s="54">
        <v>41437.480000000003</v>
      </c>
      <c r="H34" s="47">
        <f t="shared" si="12"/>
        <v>233995.53</v>
      </c>
      <c r="I34" s="37">
        <v>39203248.560000002</v>
      </c>
      <c r="J34" s="49">
        <f t="shared" si="13"/>
        <v>3.6600569689346697E-5</v>
      </c>
      <c r="K34" s="54">
        <v>39203248.560000002</v>
      </c>
      <c r="L34" s="49">
        <f t="shared" si="14"/>
        <v>3.2906341673356823E-5</v>
      </c>
      <c r="M34" s="49">
        <f t="shared" si="15"/>
        <v>0</v>
      </c>
      <c r="N34" s="50">
        <f t="shared" si="20"/>
        <v>1.056990977076314E-3</v>
      </c>
      <c r="O34" s="51">
        <f t="shared" si="21"/>
        <v>5.9687790832403404E-3</v>
      </c>
      <c r="P34" s="52">
        <f t="shared" si="22"/>
        <v>101.87107246798604</v>
      </c>
      <c r="Q34" s="52">
        <f t="shared" si="23"/>
        <v>0.608045926534176</v>
      </c>
      <c r="R34" s="54">
        <v>10</v>
      </c>
      <c r="S34" s="54">
        <v>10</v>
      </c>
      <c r="T34" s="54">
        <v>86</v>
      </c>
      <c r="U34" s="54">
        <v>384832</v>
      </c>
      <c r="V34" s="54">
        <v>384832</v>
      </c>
    </row>
    <row r="35" spans="1:22">
      <c r="A35" s="44">
        <v>28</v>
      </c>
      <c r="B35" s="45" t="s">
        <v>64</v>
      </c>
      <c r="C35" s="45" t="s">
        <v>65</v>
      </c>
      <c r="D35" s="83">
        <v>6077120003.3800001</v>
      </c>
      <c r="E35" s="94">
        <v>98581423.519999996</v>
      </c>
      <c r="F35" s="94"/>
      <c r="G35" s="87">
        <v>7682395.3600000003</v>
      </c>
      <c r="H35" s="47">
        <f t="shared" si="12"/>
        <v>90899028.159999996</v>
      </c>
      <c r="I35" s="33">
        <v>5540316339.6800003</v>
      </c>
      <c r="J35" s="49">
        <f t="shared" si="13"/>
        <v>5.1724982428722494E-3</v>
      </c>
      <c r="K35" s="59">
        <v>6374741274.0299997</v>
      </c>
      <c r="L35" s="49">
        <f t="shared" si="14"/>
        <v>5.3508171426516387E-3</v>
      </c>
      <c r="M35" s="49">
        <f t="shared" si="15"/>
        <v>0.15060961923307695</v>
      </c>
      <c r="N35" s="50">
        <f t="shared" si="20"/>
        <v>1.2051305346771077E-3</v>
      </c>
      <c r="O35" s="51">
        <f t="shared" si="21"/>
        <v>1.4259249787958096E-2</v>
      </c>
      <c r="P35" s="52">
        <f t="shared" si="22"/>
        <v>1</v>
      </c>
      <c r="Q35" s="52">
        <f t="shared" si="23"/>
        <v>1.4259249787958096E-2</v>
      </c>
      <c r="R35" s="54">
        <v>1</v>
      </c>
      <c r="S35" s="54">
        <v>1</v>
      </c>
      <c r="T35" s="125">
        <v>2457</v>
      </c>
      <c r="U35" s="102">
        <v>5347480218.25</v>
      </c>
      <c r="V35" s="102">
        <v>6374741274.0299997</v>
      </c>
    </row>
    <row r="36" spans="1:22">
      <c r="A36" s="44">
        <v>29</v>
      </c>
      <c r="B36" s="45" t="s">
        <v>66</v>
      </c>
      <c r="C36" s="45" t="s">
        <v>67</v>
      </c>
      <c r="D36" s="53">
        <v>6475904697.8599997</v>
      </c>
      <c r="E36" s="53">
        <v>276521750.57999998</v>
      </c>
      <c r="F36" s="53">
        <v>0</v>
      </c>
      <c r="G36" s="53">
        <v>23728839.969999999</v>
      </c>
      <c r="H36" s="47">
        <f t="shared" si="12"/>
        <v>252792910.60999998</v>
      </c>
      <c r="I36" s="114">
        <v>15252503019.209999</v>
      </c>
      <c r="J36" s="49">
        <f t="shared" si="13"/>
        <v>1.4239898992992189E-2</v>
      </c>
      <c r="K36" s="83">
        <v>14882510521.67</v>
      </c>
      <c r="L36" s="49">
        <f t="shared" si="14"/>
        <v>1.2492050893024282E-2</v>
      </c>
      <c r="M36" s="49">
        <f t="shared" si="15"/>
        <v>-2.4257821622720301E-2</v>
      </c>
      <c r="N36" s="50">
        <f t="shared" si="20"/>
        <v>1.5944110998913194E-3</v>
      </c>
      <c r="O36" s="51">
        <f t="shared" si="21"/>
        <v>1.698590504887703E-2</v>
      </c>
      <c r="P36" s="52">
        <f t="shared" si="22"/>
        <v>100.00000014560716</v>
      </c>
      <c r="Q36" s="52">
        <f t="shared" si="23"/>
        <v>1.6985905073609724</v>
      </c>
      <c r="R36" s="54">
        <v>100</v>
      </c>
      <c r="S36" s="54">
        <v>100</v>
      </c>
      <c r="T36" s="54">
        <v>5802</v>
      </c>
      <c r="U36" s="54">
        <v>152525030</v>
      </c>
      <c r="V36" s="54">
        <v>148825105</v>
      </c>
    </row>
    <row r="37" spans="1:22">
      <c r="A37" s="44">
        <v>30</v>
      </c>
      <c r="B37" s="45" t="s">
        <v>68</v>
      </c>
      <c r="C37" s="45" t="s">
        <v>67</v>
      </c>
      <c r="D37" s="53">
        <v>317109086.20999998</v>
      </c>
      <c r="E37" s="53">
        <v>6842630.2400000002</v>
      </c>
      <c r="F37" s="53">
        <v>0</v>
      </c>
      <c r="G37" s="53">
        <v>664349.11</v>
      </c>
      <c r="H37" s="47">
        <f t="shared" si="12"/>
        <v>6178281.1299999999</v>
      </c>
      <c r="I37" s="35">
        <v>537353789.39999998</v>
      </c>
      <c r="J37" s="49">
        <f t="shared" si="13"/>
        <v>5.0167921126914963E-4</v>
      </c>
      <c r="K37" s="53">
        <v>431923411.67000002</v>
      </c>
      <c r="L37" s="49">
        <f t="shared" si="14"/>
        <v>3.6254697973261469E-4</v>
      </c>
      <c r="M37" s="49">
        <f t="shared" si="15"/>
        <v>-0.19620291102389306</v>
      </c>
      <c r="N37" s="50">
        <f t="shared" si="20"/>
        <v>1.5381178515685063E-3</v>
      </c>
      <c r="O37" s="51">
        <f t="shared" si="21"/>
        <v>1.4304112634487979E-2</v>
      </c>
      <c r="P37" s="52">
        <f t="shared" si="22"/>
        <v>999822.7121990741</v>
      </c>
      <c r="Q37" s="52">
        <f t="shared" si="23"/>
        <v>14301.576689814814</v>
      </c>
      <c r="R37" s="54">
        <v>1000000</v>
      </c>
      <c r="S37" s="54">
        <v>1000000</v>
      </c>
      <c r="T37" s="54">
        <v>21</v>
      </c>
      <c r="U37" s="54">
        <v>538</v>
      </c>
      <c r="V37" s="54">
        <v>432</v>
      </c>
    </row>
    <row r="38" spans="1:22">
      <c r="A38" s="44">
        <v>31</v>
      </c>
      <c r="B38" s="55" t="s">
        <v>69</v>
      </c>
      <c r="C38" s="55" t="s">
        <v>70</v>
      </c>
      <c r="D38" s="83">
        <v>3766460282.77</v>
      </c>
      <c r="E38" s="83">
        <v>63193799.229999997</v>
      </c>
      <c r="F38" s="83"/>
      <c r="G38" s="85">
        <v>5962843.4900000002</v>
      </c>
      <c r="H38" s="47">
        <f t="shared" si="12"/>
        <v>57230955.739999995</v>
      </c>
      <c r="I38" s="119">
        <v>3439758127</v>
      </c>
      <c r="J38" s="49">
        <f t="shared" si="13"/>
        <v>3.2113947610508979E-3</v>
      </c>
      <c r="K38" s="85">
        <v>3579498843.6700001</v>
      </c>
      <c r="L38" s="49">
        <f t="shared" si="14"/>
        <v>3.0045523342005077E-3</v>
      </c>
      <c r="M38" s="49">
        <f t="shared" si="15"/>
        <v>4.062515779034602E-2</v>
      </c>
      <c r="N38" s="50">
        <f t="shared" si="20"/>
        <v>1.6658319363741984E-3</v>
      </c>
      <c r="O38" s="51">
        <f t="shared" si="21"/>
        <v>1.598853868641624E-2</v>
      </c>
      <c r="P38" s="52">
        <f t="shared" si="22"/>
        <v>0.96234843555129868</v>
      </c>
      <c r="Q38" s="52">
        <f t="shared" si="23"/>
        <v>1.5386545191624086E-2</v>
      </c>
      <c r="R38" s="54">
        <v>1</v>
      </c>
      <c r="S38" s="54">
        <v>1</v>
      </c>
      <c r="T38" s="125">
        <v>563</v>
      </c>
      <c r="U38" s="102">
        <v>3579498843.6700001</v>
      </c>
      <c r="V38" s="102">
        <v>3719545552.77</v>
      </c>
    </row>
    <row r="39" spans="1:22" ht="12.75" customHeight="1">
      <c r="A39" s="44">
        <v>32</v>
      </c>
      <c r="B39" s="45" t="s">
        <v>71</v>
      </c>
      <c r="C39" s="45" t="s">
        <v>72</v>
      </c>
      <c r="D39" s="95">
        <v>555408636.64999998</v>
      </c>
      <c r="E39" s="83">
        <v>11366429.32</v>
      </c>
      <c r="F39" s="95"/>
      <c r="G39" s="95">
        <v>993785.53</v>
      </c>
      <c r="H39" s="47">
        <f t="shared" si="12"/>
        <v>10372643.790000001</v>
      </c>
      <c r="I39" s="33">
        <v>598012523.52999997</v>
      </c>
      <c r="J39" s="49">
        <f t="shared" si="13"/>
        <v>5.5831085041493933E-4</v>
      </c>
      <c r="K39" s="59">
        <v>594477758.42999995</v>
      </c>
      <c r="L39" s="49">
        <f t="shared" si="14"/>
        <v>4.989915110266785E-4</v>
      </c>
      <c r="M39" s="49">
        <f t="shared" si="15"/>
        <v>-5.910854640860541E-3</v>
      </c>
      <c r="N39" s="50">
        <f t="shared" si="20"/>
        <v>1.6716950565561297E-3</v>
      </c>
      <c r="O39" s="51">
        <f t="shared" si="21"/>
        <v>1.7448329467184574E-2</v>
      </c>
      <c r="P39" s="52">
        <f t="shared" si="22"/>
        <v>0.70117834859115424</v>
      </c>
      <c r="Q39" s="52">
        <f t="shared" si="23"/>
        <v>1.2234390841474853E-2</v>
      </c>
      <c r="R39" s="54">
        <v>1</v>
      </c>
      <c r="S39" s="54">
        <v>1</v>
      </c>
      <c r="T39" s="54">
        <v>558</v>
      </c>
      <c r="U39" s="102">
        <v>862281239.09000003</v>
      </c>
      <c r="V39" s="102">
        <v>847826747.11000001</v>
      </c>
    </row>
    <row r="40" spans="1:22">
      <c r="A40" s="44">
        <v>33</v>
      </c>
      <c r="B40" s="45" t="s">
        <v>73</v>
      </c>
      <c r="C40" s="45" t="s">
        <v>74</v>
      </c>
      <c r="D40" s="83">
        <v>278333816145.90997</v>
      </c>
      <c r="E40" s="83">
        <v>4946716945.5299997</v>
      </c>
      <c r="F40" s="83"/>
      <c r="G40" s="83">
        <v>373451694.06</v>
      </c>
      <c r="H40" s="47">
        <f t="shared" si="12"/>
        <v>4573265251.4699993</v>
      </c>
      <c r="I40" s="113">
        <v>234165213317.06</v>
      </c>
      <c r="J40" s="49">
        <f t="shared" si="13"/>
        <v>0.21861913294544053</v>
      </c>
      <c r="K40" s="83">
        <v>273335524598.28</v>
      </c>
      <c r="L40" s="49">
        <f t="shared" si="14"/>
        <v>0.22943180716596284</v>
      </c>
      <c r="M40" s="49">
        <f t="shared" si="15"/>
        <v>0.16727638886388879</v>
      </c>
      <c r="N40" s="50">
        <f t="shared" si="20"/>
        <v>1.3662757323946834E-3</v>
      </c>
      <c r="O40" s="51">
        <f t="shared" si="21"/>
        <v>1.6731324105021865E-2</v>
      </c>
      <c r="P40" s="52">
        <f t="shared" si="22"/>
        <v>100.05955804585399</v>
      </c>
      <c r="Q40" s="52">
        <f t="shared" si="23"/>
        <v>1.6741288954704314</v>
      </c>
      <c r="R40" s="54">
        <v>100</v>
      </c>
      <c r="S40" s="54">
        <v>100</v>
      </c>
      <c r="T40" s="125">
        <v>27807</v>
      </c>
      <c r="U40" s="102">
        <v>2340251025</v>
      </c>
      <c r="V40" s="102">
        <v>2731728282</v>
      </c>
    </row>
    <row r="41" spans="1:22" ht="13.2" customHeight="1">
      <c r="A41" s="44">
        <v>34</v>
      </c>
      <c r="B41" s="45" t="s">
        <v>75</v>
      </c>
      <c r="C41" s="45" t="s">
        <v>76</v>
      </c>
      <c r="D41" s="53">
        <v>794778828.88999999</v>
      </c>
      <c r="E41" s="53">
        <v>11010969.5</v>
      </c>
      <c r="F41" s="53">
        <v>0</v>
      </c>
      <c r="G41" s="53">
        <v>2066058.63</v>
      </c>
      <c r="H41" s="47">
        <v>8944910.8699999992</v>
      </c>
      <c r="I41" s="35">
        <v>631821422.96000004</v>
      </c>
      <c r="J41" s="49">
        <f t="shared" si="13"/>
        <v>5.8987519840038674E-4</v>
      </c>
      <c r="K41" s="53">
        <v>780637017.54999995</v>
      </c>
      <c r="L41" s="49">
        <f t="shared" si="14"/>
        <v>6.5524948482408485E-4</v>
      </c>
      <c r="M41" s="49">
        <f t="shared" si="15"/>
        <v>0.2355342651928744</v>
      </c>
      <c r="N41" s="50">
        <f t="shared" si="20"/>
        <v>2.6466316399960735E-3</v>
      </c>
      <c r="O41" s="51">
        <f t="shared" si="21"/>
        <v>1.1458476435146858E-2</v>
      </c>
      <c r="P41" s="52">
        <f t="shared" si="22"/>
        <v>9.9021452571512487</v>
      </c>
      <c r="Q41" s="52">
        <f t="shared" si="23"/>
        <v>0.11346349808646881</v>
      </c>
      <c r="R41" s="54">
        <v>10</v>
      </c>
      <c r="S41" s="54">
        <v>10</v>
      </c>
      <c r="T41" s="54">
        <v>363</v>
      </c>
      <c r="U41" s="54">
        <v>64046628</v>
      </c>
      <c r="V41" s="54">
        <v>78835141</v>
      </c>
    </row>
    <row r="42" spans="1:22">
      <c r="A42" s="44">
        <v>35</v>
      </c>
      <c r="B42" s="45" t="s">
        <v>77</v>
      </c>
      <c r="C42" s="45" t="s">
        <v>78</v>
      </c>
      <c r="D42" s="53">
        <v>1800215359.2</v>
      </c>
      <c r="E42" s="53">
        <v>48818323.030000001</v>
      </c>
      <c r="F42" s="53"/>
      <c r="G42" s="53">
        <v>6832206.25</v>
      </c>
      <c r="H42" s="47">
        <f t="shared" si="12"/>
        <v>41986116.780000001</v>
      </c>
      <c r="I42" s="35">
        <v>3289621872.5700002</v>
      </c>
      <c r="J42" s="49">
        <f t="shared" si="13"/>
        <v>3.0712259575714474E-3</v>
      </c>
      <c r="K42" s="53">
        <v>3504807270.5599999</v>
      </c>
      <c r="L42" s="49">
        <f t="shared" si="14"/>
        <v>2.9418578760839432E-3</v>
      </c>
      <c r="M42" s="49">
        <f t="shared" si="15"/>
        <v>6.5413414162974082E-2</v>
      </c>
      <c r="N42" s="50">
        <f t="shared" si="20"/>
        <v>1.9493814417100163E-3</v>
      </c>
      <c r="O42" s="51">
        <f t="shared" si="21"/>
        <v>1.1979579343115046E-2</v>
      </c>
      <c r="P42" s="52">
        <f t="shared" si="22"/>
        <v>100.07054634984388</v>
      </c>
      <c r="Q42" s="52">
        <f t="shared" si="23"/>
        <v>1.1988030499068265</v>
      </c>
      <c r="R42" s="54">
        <v>100</v>
      </c>
      <c r="S42" s="54">
        <v>100</v>
      </c>
      <c r="T42" s="54">
        <v>1531</v>
      </c>
      <c r="U42" s="102">
        <v>34016956</v>
      </c>
      <c r="V42" s="102">
        <v>35023365</v>
      </c>
    </row>
    <row r="43" spans="1:22">
      <c r="A43" s="44">
        <v>36</v>
      </c>
      <c r="B43" s="55" t="s">
        <v>79</v>
      </c>
      <c r="C43" s="55" t="s">
        <v>35</v>
      </c>
      <c r="D43" s="83">
        <v>31722214671.610001</v>
      </c>
      <c r="E43" s="83">
        <v>522789876.32999998</v>
      </c>
      <c r="F43" s="83"/>
      <c r="G43" s="83">
        <v>33589140.460000001</v>
      </c>
      <c r="H43" s="47">
        <f t="shared" si="12"/>
        <v>489200735.87</v>
      </c>
      <c r="I43" s="113">
        <v>26528387004.799999</v>
      </c>
      <c r="J43" s="49">
        <f t="shared" si="13"/>
        <v>2.4767184174268379E-2</v>
      </c>
      <c r="K43" s="83">
        <v>31057478038.290001</v>
      </c>
      <c r="L43" s="49">
        <f t="shared" si="14"/>
        <v>2.6068961664659215E-2</v>
      </c>
      <c r="M43" s="49">
        <f t="shared" si="15"/>
        <v>0.1707262123652869</v>
      </c>
      <c r="N43" s="50">
        <f t="shared" si="20"/>
        <v>1.0815153895814972E-3</v>
      </c>
      <c r="O43" s="51">
        <f t="shared" si="21"/>
        <v>1.575146363355313E-2</v>
      </c>
      <c r="P43" s="52">
        <f t="shared" si="22"/>
        <v>100.00000000093375</v>
      </c>
      <c r="Q43" s="52">
        <f t="shared" si="23"/>
        <v>1.5751463633700211</v>
      </c>
      <c r="R43" s="54">
        <v>100</v>
      </c>
      <c r="S43" s="54">
        <v>100</v>
      </c>
      <c r="T43" s="54">
        <v>11846</v>
      </c>
      <c r="U43" s="102">
        <v>265283870.05000001</v>
      </c>
      <c r="V43" s="102">
        <v>310574780.38</v>
      </c>
    </row>
    <row r="44" spans="1:22">
      <c r="A44" s="44">
        <v>37</v>
      </c>
      <c r="B44" s="45" t="s">
        <v>80</v>
      </c>
      <c r="C44" s="45" t="s">
        <v>37</v>
      </c>
      <c r="D44" s="53">
        <v>73213064.700000003</v>
      </c>
      <c r="E44" s="53">
        <v>73213064.700000003</v>
      </c>
      <c r="F44" s="53">
        <v>0</v>
      </c>
      <c r="G44" s="53">
        <v>4870116.0599999996</v>
      </c>
      <c r="H44" s="47">
        <f t="shared" si="12"/>
        <v>68342948.640000001</v>
      </c>
      <c r="I44" s="35">
        <v>3606831856.6399999</v>
      </c>
      <c r="J44" s="49">
        <f t="shared" si="13"/>
        <v>3.3673765714763524E-3</v>
      </c>
      <c r="K44" s="53">
        <v>4176337688.6300001</v>
      </c>
      <c r="L44" s="49">
        <f t="shared" si="14"/>
        <v>3.5055256891541667E-3</v>
      </c>
      <c r="M44" s="49">
        <f t="shared" si="15"/>
        <v>0.15789641841539356</v>
      </c>
      <c r="N44" s="50">
        <f t="shared" si="20"/>
        <v>1.1661212342236591E-3</v>
      </c>
      <c r="O44" s="51">
        <f t="shared" si="21"/>
        <v>1.6364325333667912E-2</v>
      </c>
      <c r="P44" s="52">
        <f t="shared" si="22"/>
        <v>0.98699798042698972</v>
      </c>
      <c r="Q44" s="52">
        <f t="shared" si="23"/>
        <v>1.6151556055380455E-2</v>
      </c>
      <c r="R44" s="54">
        <v>1</v>
      </c>
      <c r="S44" s="54">
        <v>1</v>
      </c>
      <c r="T44" s="54">
        <v>966</v>
      </c>
      <c r="U44" s="54">
        <v>3663179799</v>
      </c>
      <c r="V44" s="54">
        <v>4231353834</v>
      </c>
    </row>
    <row r="45" spans="1:22">
      <c r="A45" s="44">
        <v>38</v>
      </c>
      <c r="B45" s="45" t="s">
        <v>81</v>
      </c>
      <c r="C45" s="45" t="s">
        <v>39</v>
      </c>
      <c r="D45" s="53">
        <v>6962359207.5900002</v>
      </c>
      <c r="E45" s="53">
        <v>123294408.8</v>
      </c>
      <c r="F45" s="53">
        <v>0</v>
      </c>
      <c r="G45" s="53">
        <v>9840894.6160000004</v>
      </c>
      <c r="H45" s="47">
        <f t="shared" si="12"/>
        <v>113453514.184</v>
      </c>
      <c r="I45" s="114">
        <v>5707930762.2299995</v>
      </c>
      <c r="J45" s="49">
        <f t="shared" si="13"/>
        <v>5.3289848499474685E-3</v>
      </c>
      <c r="K45" s="83">
        <v>7089539762.21</v>
      </c>
      <c r="L45" s="49">
        <f t="shared" si="14"/>
        <v>5.950803218898632E-3</v>
      </c>
      <c r="M45" s="49">
        <f t="shared" si="15"/>
        <v>0.2420507636711815</v>
      </c>
      <c r="N45" s="50">
        <f t="shared" si="20"/>
        <v>1.3880865255112595E-3</v>
      </c>
      <c r="O45" s="51">
        <f t="shared" si="21"/>
        <v>1.6002944900422349E-2</v>
      </c>
      <c r="P45" s="52">
        <f t="shared" si="22"/>
        <v>10.04336259808424</v>
      </c>
      <c r="Q45" s="52">
        <f t="shared" si="23"/>
        <v>0.16072337827210476</v>
      </c>
      <c r="R45" s="54">
        <v>10</v>
      </c>
      <c r="S45" s="54">
        <v>10</v>
      </c>
      <c r="T45" s="54">
        <v>2358</v>
      </c>
      <c r="U45" s="54">
        <v>585644279.29999995</v>
      </c>
      <c r="V45" s="54">
        <v>705893040.60000002</v>
      </c>
    </row>
    <row r="46" spans="1:22" ht="14.1" customHeight="1">
      <c r="A46" s="44">
        <v>39</v>
      </c>
      <c r="B46" s="45" t="s">
        <v>82</v>
      </c>
      <c r="C46" s="45" t="s">
        <v>83</v>
      </c>
      <c r="D46" s="53">
        <v>3051757196.8200002</v>
      </c>
      <c r="E46" s="53">
        <v>115030401.89</v>
      </c>
      <c r="F46" s="53"/>
      <c r="G46" s="53">
        <v>13575956.52</v>
      </c>
      <c r="H46" s="47">
        <f t="shared" si="12"/>
        <v>101454445.37</v>
      </c>
      <c r="I46" s="120">
        <v>5993346330</v>
      </c>
      <c r="J46" s="49">
        <f t="shared" si="13"/>
        <v>5.5954518587363533E-3</v>
      </c>
      <c r="K46" s="67">
        <v>6270090312</v>
      </c>
      <c r="L46" s="49">
        <f t="shared" si="14"/>
        <v>5.2629754346428196E-3</v>
      </c>
      <c r="M46" s="49">
        <f t="shared" si="15"/>
        <v>4.6175202760224937E-2</v>
      </c>
      <c r="N46" s="50">
        <f t="shared" si="20"/>
        <v>2.1651931382898398E-3</v>
      </c>
      <c r="O46" s="51">
        <f t="shared" si="21"/>
        <v>1.6180699211912723E-2</v>
      </c>
      <c r="P46" s="52">
        <f t="shared" si="22"/>
        <v>100.0000001913848</v>
      </c>
      <c r="Q46" s="52">
        <f t="shared" si="23"/>
        <v>1.6180699242880123</v>
      </c>
      <c r="R46" s="54">
        <v>100</v>
      </c>
      <c r="S46" s="54">
        <v>100</v>
      </c>
      <c r="T46" s="54">
        <v>2562</v>
      </c>
      <c r="U46" s="102">
        <v>59933463</v>
      </c>
      <c r="V46" s="102">
        <v>62700903</v>
      </c>
    </row>
    <row r="47" spans="1:22">
      <c r="A47" s="44">
        <v>40</v>
      </c>
      <c r="B47" s="45" t="s">
        <v>84</v>
      </c>
      <c r="C47" s="55" t="s">
        <v>85</v>
      </c>
      <c r="D47" s="53">
        <v>184018288.22999999</v>
      </c>
      <c r="E47" s="53">
        <v>2737870.46</v>
      </c>
      <c r="F47" s="53"/>
      <c r="G47" s="53">
        <v>2788652.71</v>
      </c>
      <c r="H47" s="47">
        <f t="shared" si="12"/>
        <v>-50782.25</v>
      </c>
      <c r="I47" s="113">
        <v>159827793</v>
      </c>
      <c r="J47" s="49">
        <f t="shared" si="13"/>
        <v>1.4921692693496976E-4</v>
      </c>
      <c r="K47" s="83">
        <v>174313960.61000001</v>
      </c>
      <c r="L47" s="49">
        <f t="shared" si="14"/>
        <v>1.463152916394111E-4</v>
      </c>
      <c r="M47" s="49">
        <f t="shared" si="15"/>
        <v>9.063609862897884E-2</v>
      </c>
      <c r="N47" s="50">
        <f t="shared" si="20"/>
        <v>1.5997873608294463E-2</v>
      </c>
      <c r="O47" s="51">
        <f t="shared" si="21"/>
        <v>-2.9132635058196673E-4</v>
      </c>
      <c r="P47" s="52">
        <f t="shared" si="22"/>
        <v>1.0040650295062612</v>
      </c>
      <c r="Q47" s="52">
        <f t="shared" si="23"/>
        <v>-2.9251060079303382E-4</v>
      </c>
      <c r="R47" s="54">
        <v>1</v>
      </c>
      <c r="S47" s="54">
        <v>1</v>
      </c>
      <c r="T47" s="54">
        <v>80</v>
      </c>
      <c r="U47" s="54">
        <v>160084772</v>
      </c>
      <c r="V47" s="102">
        <v>173608238</v>
      </c>
    </row>
    <row r="48" spans="1:22" ht="15" customHeight="1">
      <c r="A48" s="44">
        <v>41</v>
      </c>
      <c r="B48" s="55" t="s">
        <v>86</v>
      </c>
      <c r="C48" s="55" t="s">
        <v>41</v>
      </c>
      <c r="D48" s="53">
        <v>853903020.98000002</v>
      </c>
      <c r="E48" s="53">
        <v>34657861.810000002</v>
      </c>
      <c r="F48" s="53">
        <v>0</v>
      </c>
      <c r="G48" s="53">
        <v>1069539.82</v>
      </c>
      <c r="H48" s="47">
        <f t="shared" si="12"/>
        <v>33588321.990000002</v>
      </c>
      <c r="I48" s="35">
        <v>806326252.19000006</v>
      </c>
      <c r="J48" s="49">
        <f t="shared" si="13"/>
        <v>7.5279476241521548E-4</v>
      </c>
      <c r="K48" s="53">
        <v>865281054.62</v>
      </c>
      <c r="L48" s="49">
        <f t="shared" si="14"/>
        <v>7.262978215499253E-4</v>
      </c>
      <c r="M48" s="49">
        <f t="shared" si="15"/>
        <v>7.3115320591233879E-2</v>
      </c>
      <c r="N48" s="50">
        <f t="shared" si="20"/>
        <v>1.2360606005290421E-3</v>
      </c>
      <c r="O48" s="51">
        <f t="shared" si="21"/>
        <v>3.8817817413962417E-2</v>
      </c>
      <c r="P48" s="52">
        <f t="shared" si="22"/>
        <v>12.071106883048138</v>
      </c>
      <c r="Q48" s="52">
        <f t="shared" si="23"/>
        <v>0.46857402297058759</v>
      </c>
      <c r="R48" s="54">
        <v>10</v>
      </c>
      <c r="S48" s="54">
        <v>10</v>
      </c>
      <c r="T48" s="54">
        <v>720</v>
      </c>
      <c r="U48" s="54">
        <v>62750940.600000001</v>
      </c>
      <c r="V48" s="54">
        <v>71681997.599999994</v>
      </c>
    </row>
    <row r="49" spans="1:23" ht="15" customHeight="1">
      <c r="A49" s="44">
        <v>42</v>
      </c>
      <c r="B49" s="54" t="s">
        <v>223</v>
      </c>
      <c r="C49" s="54" t="s">
        <v>224</v>
      </c>
      <c r="D49" s="53">
        <v>323578841.93000001</v>
      </c>
      <c r="E49" s="53">
        <v>10788415.199999999</v>
      </c>
      <c r="F49" s="53">
        <v>0</v>
      </c>
      <c r="G49" s="53">
        <v>609379.62</v>
      </c>
      <c r="H49" s="47">
        <f t="shared" si="12"/>
        <v>10179035.58</v>
      </c>
      <c r="I49" s="35">
        <v>618959953.33000004</v>
      </c>
      <c r="J49" s="49">
        <f t="shared" si="13"/>
        <v>5.7786759360254009E-4</v>
      </c>
      <c r="K49" s="53">
        <v>653078000.86000001</v>
      </c>
      <c r="L49" s="49">
        <f t="shared" si="14"/>
        <v>5.4817926128650349E-4</v>
      </c>
      <c r="M49" s="49">
        <f t="shared" si="15"/>
        <v>5.5121575065470912E-2</v>
      </c>
      <c r="N49" s="50">
        <f t="shared" si="20"/>
        <v>9.3308857318351529E-4</v>
      </c>
      <c r="O49" s="51">
        <f t="shared" si="21"/>
        <v>1.5586247839608479E-2</v>
      </c>
      <c r="P49" s="52">
        <f t="shared" si="22"/>
        <v>1.0000000656276935</v>
      </c>
      <c r="Q49" s="52">
        <f t="shared" si="23"/>
        <v>1.5586248862497975E-2</v>
      </c>
      <c r="R49" s="54">
        <v>1</v>
      </c>
      <c r="S49" s="54">
        <v>1</v>
      </c>
      <c r="T49" s="54">
        <v>52</v>
      </c>
      <c r="U49" s="54">
        <v>618954929</v>
      </c>
      <c r="V49" s="54">
        <v>653077958</v>
      </c>
    </row>
    <row r="50" spans="1:23" ht="15" customHeight="1">
      <c r="A50" s="44">
        <v>43</v>
      </c>
      <c r="B50" s="57" t="s">
        <v>225</v>
      </c>
      <c r="C50" s="58" t="s">
        <v>226</v>
      </c>
      <c r="D50" s="53">
        <v>6282393620.3550854</v>
      </c>
      <c r="E50" s="53">
        <v>109105795.2333</v>
      </c>
      <c r="F50" s="53">
        <v>0</v>
      </c>
      <c r="G50" s="53">
        <v>7507519.0099999998</v>
      </c>
      <c r="H50" s="47">
        <f t="shared" si="12"/>
        <v>101598276.2233</v>
      </c>
      <c r="I50" s="35">
        <v>4949742900.0100002</v>
      </c>
      <c r="J50" s="49">
        <f t="shared" si="13"/>
        <v>4.6211326002460508E-3</v>
      </c>
      <c r="K50" s="53">
        <v>6063960129.5799999</v>
      </c>
      <c r="L50" s="49">
        <f t="shared" si="14"/>
        <v>5.0899543085613256E-3</v>
      </c>
      <c r="M50" s="49">
        <f t="shared" si="15"/>
        <v>0.22510608168512117</v>
      </c>
      <c r="N50" s="50">
        <f t="shared" si="20"/>
        <v>1.2380554702822531E-3</v>
      </c>
      <c r="O50" s="51">
        <f t="shared" si="21"/>
        <v>1.6754443309695187E-2</v>
      </c>
      <c r="P50" s="52">
        <f t="shared" si="22"/>
        <v>205.79910558530122</v>
      </c>
      <c r="Q50" s="52">
        <f t="shared" si="23"/>
        <v>3.448049447714904</v>
      </c>
      <c r="R50" s="54">
        <v>10</v>
      </c>
      <c r="S50" s="54">
        <v>100</v>
      </c>
      <c r="T50" s="54">
        <v>43</v>
      </c>
      <c r="U50" s="54">
        <v>90065430</v>
      </c>
      <c r="V50" s="54">
        <v>29465434.809999999</v>
      </c>
    </row>
    <row r="51" spans="1:23" ht="15" customHeight="1">
      <c r="A51" s="44">
        <v>44</v>
      </c>
      <c r="B51" s="57" t="s">
        <v>227</v>
      </c>
      <c r="C51" s="58" t="s">
        <v>111</v>
      </c>
      <c r="D51" s="53">
        <v>50000000</v>
      </c>
      <c r="E51" s="53">
        <v>1004939.92</v>
      </c>
      <c r="F51" s="53">
        <v>0</v>
      </c>
      <c r="G51" s="53">
        <v>609379.62</v>
      </c>
      <c r="H51" s="47">
        <f t="shared" si="12"/>
        <v>395560.30000000005</v>
      </c>
      <c r="I51" s="35">
        <v>50635480.420000002</v>
      </c>
      <c r="J51" s="49">
        <f t="shared" si="13"/>
        <v>4.7273822908561537E-5</v>
      </c>
      <c r="K51" s="53">
        <v>50753821.780000001</v>
      </c>
      <c r="L51" s="49">
        <f t="shared" si="14"/>
        <v>4.2601637927153946E-5</v>
      </c>
      <c r="M51" s="49">
        <f t="shared" si="15"/>
        <v>2.3371232783496398E-3</v>
      </c>
      <c r="N51" s="50">
        <f t="shared" si="20"/>
        <v>1.2006576029711549E-2</v>
      </c>
      <c r="O51" s="51">
        <f t="shared" si="21"/>
        <v>7.7937047128118758E-3</v>
      </c>
      <c r="P51" s="52">
        <f t="shared" si="22"/>
        <v>1014.6502824813579</v>
      </c>
      <c r="Q51" s="52">
        <f t="shared" si="23"/>
        <v>7.90788468843086</v>
      </c>
      <c r="R51" s="54">
        <v>1</v>
      </c>
      <c r="S51" s="54">
        <v>1</v>
      </c>
      <c r="T51" s="54">
        <v>10</v>
      </c>
      <c r="U51" s="54">
        <v>50010</v>
      </c>
      <c r="V51" s="54">
        <v>50021</v>
      </c>
    </row>
    <row r="52" spans="1:23">
      <c r="A52" s="44">
        <v>45</v>
      </c>
      <c r="B52" s="45" t="s">
        <v>87</v>
      </c>
      <c r="C52" s="45" t="s">
        <v>45</v>
      </c>
      <c r="D52" s="83">
        <v>529333420082.97998</v>
      </c>
      <c r="E52" s="83">
        <v>9455873455.8199997</v>
      </c>
      <c r="F52" s="83"/>
      <c r="G52" s="83">
        <v>840643110.13999999</v>
      </c>
      <c r="H52" s="47">
        <f t="shared" si="12"/>
        <v>8615230345.6800003</v>
      </c>
      <c r="I52" s="113">
        <v>484855919634.71002</v>
      </c>
      <c r="J52" s="49">
        <f t="shared" si="13"/>
        <v>0.45266664186572414</v>
      </c>
      <c r="K52" s="83">
        <v>529896500131.06</v>
      </c>
      <c r="L52" s="49">
        <f t="shared" si="14"/>
        <v>0.44478342804019477</v>
      </c>
      <c r="M52" s="49">
        <f t="shared" si="15"/>
        <v>9.2894772802368811E-2</v>
      </c>
      <c r="N52" s="50">
        <f t="shared" si="20"/>
        <v>1.5864288779640601E-3</v>
      </c>
      <c r="O52" s="51">
        <f t="shared" si="21"/>
        <v>1.6258326566695919E-2</v>
      </c>
      <c r="P52" s="52">
        <f t="shared" si="22"/>
        <v>1</v>
      </c>
      <c r="Q52" s="52">
        <f t="shared" si="23"/>
        <v>1.6258326566695919E-2</v>
      </c>
      <c r="R52" s="54">
        <v>100</v>
      </c>
      <c r="S52" s="54">
        <v>100</v>
      </c>
      <c r="T52" s="102">
        <v>128841</v>
      </c>
      <c r="U52" s="102">
        <v>484855919635.62</v>
      </c>
      <c r="V52" s="102">
        <v>529896500131.06</v>
      </c>
    </row>
    <row r="53" spans="1:23">
      <c r="A53" s="44">
        <v>46</v>
      </c>
      <c r="B53" s="45" t="s">
        <v>88</v>
      </c>
      <c r="C53" s="45" t="s">
        <v>89</v>
      </c>
      <c r="D53" s="87">
        <v>3668868537.4699998</v>
      </c>
      <c r="E53" s="87">
        <v>62212165.340000004</v>
      </c>
      <c r="F53" s="87">
        <v>0</v>
      </c>
      <c r="G53" s="87">
        <v>5376883.9299999997</v>
      </c>
      <c r="H53" s="47">
        <f t="shared" si="12"/>
        <v>56835281.410000004</v>
      </c>
      <c r="I53" s="35">
        <v>3629946736</v>
      </c>
      <c r="J53" s="49">
        <f t="shared" si="13"/>
        <v>3.3889568686188637E-3</v>
      </c>
      <c r="K53" s="53">
        <v>3638701535</v>
      </c>
      <c r="L53" s="49">
        <f t="shared" si="14"/>
        <v>3.0542457667716797E-3</v>
      </c>
      <c r="M53" s="49">
        <f t="shared" si="15"/>
        <v>2.4118257475169739E-3</v>
      </c>
      <c r="N53" s="50">
        <f t="shared" si="20"/>
        <v>1.4776930392011391E-3</v>
      </c>
      <c r="O53" s="51">
        <f t="shared" si="21"/>
        <v>1.5619660162646454E-2</v>
      </c>
      <c r="P53" s="52">
        <f t="shared" si="22"/>
        <v>1.0167776887983806</v>
      </c>
      <c r="Q53" s="52">
        <f t="shared" si="23"/>
        <v>1.5881721959991799E-2</v>
      </c>
      <c r="R53" s="54">
        <v>1</v>
      </c>
      <c r="S53" s="54">
        <v>1</v>
      </c>
      <c r="T53" s="125">
        <v>374</v>
      </c>
      <c r="U53" s="125">
        <v>3629803271</v>
      </c>
      <c r="V53" s="102">
        <v>3578659893</v>
      </c>
    </row>
    <row r="54" spans="1:23">
      <c r="A54" s="44">
        <v>47</v>
      </c>
      <c r="B54" s="45" t="s">
        <v>90</v>
      </c>
      <c r="C54" s="45" t="s">
        <v>49</v>
      </c>
      <c r="D54" s="90">
        <v>15625639230</v>
      </c>
      <c r="E54" s="90">
        <v>896178080</v>
      </c>
      <c r="F54" s="90"/>
      <c r="G54" s="90">
        <v>48507932</v>
      </c>
      <c r="H54" s="47">
        <f t="shared" si="12"/>
        <v>847670148</v>
      </c>
      <c r="I54" s="121">
        <v>39826306893</v>
      </c>
      <c r="J54" s="49">
        <f t="shared" si="13"/>
        <v>3.7182263573785714E-2</v>
      </c>
      <c r="K54" s="91">
        <v>45908879770</v>
      </c>
      <c r="L54" s="49">
        <f t="shared" si="14"/>
        <v>3.8534900525924148E-2</v>
      </c>
      <c r="M54" s="49">
        <f t="shared" si="15"/>
        <v>0.15272751483942118</v>
      </c>
      <c r="N54" s="50">
        <f t="shared" si="20"/>
        <v>1.056613279239682E-3</v>
      </c>
      <c r="O54" s="51">
        <f t="shared" si="21"/>
        <v>1.8464187151739773E-2</v>
      </c>
      <c r="P54" s="52">
        <f t="shared" si="22"/>
        <v>1.0189470231863824</v>
      </c>
      <c r="Q54" s="52">
        <f t="shared" si="23"/>
        <v>1.8814028533821494E-2</v>
      </c>
      <c r="R54" s="54">
        <v>1</v>
      </c>
      <c r="S54" s="54">
        <v>1</v>
      </c>
      <c r="T54" s="125">
        <v>7887</v>
      </c>
      <c r="U54" s="126">
        <v>39765974447.959999</v>
      </c>
      <c r="V54" s="126">
        <v>45055217519</v>
      </c>
    </row>
    <row r="55" spans="1:23">
      <c r="A55" s="44">
        <v>48</v>
      </c>
      <c r="B55" s="68" t="s">
        <v>91</v>
      </c>
      <c r="C55" s="45" t="s">
        <v>92</v>
      </c>
      <c r="D55" s="59">
        <v>724384851.32000005</v>
      </c>
      <c r="E55" s="59">
        <v>20728333.18</v>
      </c>
      <c r="F55" s="59"/>
      <c r="G55" s="59">
        <v>1714365.33</v>
      </c>
      <c r="H55" s="47">
        <f t="shared" si="12"/>
        <v>19013967.850000001</v>
      </c>
      <c r="I55" s="113">
        <v>1329705236.1700001</v>
      </c>
      <c r="J55" s="49">
        <f t="shared" si="13"/>
        <v>1.2414269467552843E-3</v>
      </c>
      <c r="K55" s="83">
        <v>1247980185.0699999</v>
      </c>
      <c r="L55" s="49">
        <f t="shared" si="14"/>
        <v>1.0475270259463544E-3</v>
      </c>
      <c r="M55" s="49">
        <f t="shared" si="15"/>
        <v>-6.1461028261719022E-2</v>
      </c>
      <c r="N55" s="50">
        <f t="shared" si="20"/>
        <v>1.3737119791720413E-3</v>
      </c>
      <c r="O55" s="51">
        <f t="shared" si="21"/>
        <v>1.5235793065843828E-2</v>
      </c>
      <c r="P55" s="52">
        <f t="shared" si="22"/>
        <v>1.0146747461373882</v>
      </c>
      <c r="Q55" s="52">
        <f t="shared" si="23"/>
        <v>1.5459374461286866E-2</v>
      </c>
      <c r="R55" s="54">
        <v>1</v>
      </c>
      <c r="S55" s="54">
        <v>1</v>
      </c>
      <c r="T55" s="125">
        <v>99</v>
      </c>
      <c r="U55" s="102">
        <v>1321909197.5699999</v>
      </c>
      <c r="V55" s="102">
        <v>1229931256.1199999</v>
      </c>
    </row>
    <row r="56" spans="1:23">
      <c r="A56" s="44">
        <v>49</v>
      </c>
      <c r="B56" s="45" t="s">
        <v>93</v>
      </c>
      <c r="C56" s="45" t="s">
        <v>94</v>
      </c>
      <c r="D56" s="83">
        <v>1797446870.53</v>
      </c>
      <c r="E56" s="83">
        <v>29573890.280000001</v>
      </c>
      <c r="F56" s="83"/>
      <c r="G56" s="83">
        <v>2309689.88</v>
      </c>
      <c r="H56" s="47">
        <f t="shared" si="12"/>
        <v>27264200.400000002</v>
      </c>
      <c r="I56" s="113">
        <v>1887584526.76</v>
      </c>
      <c r="J56" s="49">
        <f t="shared" si="13"/>
        <v>1.7622689841755269E-3</v>
      </c>
      <c r="K56" s="83">
        <v>1816878985.45</v>
      </c>
      <c r="L56" s="49">
        <f t="shared" si="14"/>
        <v>1.5250481240822865E-3</v>
      </c>
      <c r="M56" s="49">
        <f t="shared" si="15"/>
        <v>-3.7458211967526855E-2</v>
      </c>
      <c r="N56" s="50">
        <f t="shared" si="20"/>
        <v>1.27124035144693E-3</v>
      </c>
      <c r="O56" s="51">
        <f t="shared" si="21"/>
        <v>1.5006062934481722E-2</v>
      </c>
      <c r="P56" s="52">
        <f t="shared" si="22"/>
        <v>1.0135801866061602</v>
      </c>
      <c r="Q56" s="52">
        <f t="shared" si="23"/>
        <v>1.5209848069355767E-2</v>
      </c>
      <c r="R56" s="54">
        <v>1</v>
      </c>
      <c r="S56" s="54">
        <v>1</v>
      </c>
      <c r="T56" s="54">
        <v>279</v>
      </c>
      <c r="U56" s="102">
        <v>1887584526.76</v>
      </c>
      <c r="V56" s="102">
        <v>1792536011.9100001</v>
      </c>
    </row>
    <row r="57" spans="1:23">
      <c r="A57" s="44">
        <v>50</v>
      </c>
      <c r="B57" s="45" t="s">
        <v>95</v>
      </c>
      <c r="C57" s="45" t="s">
        <v>96</v>
      </c>
      <c r="D57" s="53">
        <v>35029626202.120003</v>
      </c>
      <c r="E57" s="96">
        <v>600722710.62</v>
      </c>
      <c r="F57" s="96"/>
      <c r="G57" s="59">
        <v>40950577.170000002</v>
      </c>
      <c r="H57" s="47">
        <f t="shared" si="12"/>
        <v>559772133.45000005</v>
      </c>
      <c r="I57" s="33">
        <v>33344778101.990002</v>
      </c>
      <c r="J57" s="49">
        <f t="shared" si="13"/>
        <v>3.1131039378785776E-2</v>
      </c>
      <c r="K57" s="59">
        <v>35563551480.239998</v>
      </c>
      <c r="L57" s="49">
        <f t="shared" si="14"/>
        <v>2.9851260268284059E-2</v>
      </c>
      <c r="M57" s="49">
        <f t="shared" si="15"/>
        <v>6.654035517835942E-2</v>
      </c>
      <c r="N57" s="50">
        <f t="shared" si="20"/>
        <v>1.1514760327790427E-3</v>
      </c>
      <c r="O57" s="51">
        <f t="shared" si="21"/>
        <v>1.5740051545780613E-2</v>
      </c>
      <c r="P57" s="52">
        <f t="shared" si="22"/>
        <v>1.0160807480658125</v>
      </c>
      <c r="Q57" s="52">
        <f t="shared" si="23"/>
        <v>1.5993163349231215E-2</v>
      </c>
      <c r="R57" s="54">
        <v>1</v>
      </c>
      <c r="S57" s="54">
        <v>1</v>
      </c>
      <c r="T57" s="54">
        <v>3759</v>
      </c>
      <c r="U57" s="102">
        <v>32188236990.389999</v>
      </c>
      <c r="V57" s="102">
        <v>35000713819.190002</v>
      </c>
    </row>
    <row r="58" spans="1:23" ht="15" customHeight="1">
      <c r="A58" s="132" t="s">
        <v>50</v>
      </c>
      <c r="B58" s="132"/>
      <c r="C58" s="132"/>
      <c r="D58" s="132"/>
      <c r="E58" s="132"/>
      <c r="F58" s="132"/>
      <c r="G58" s="132"/>
      <c r="H58" s="132"/>
      <c r="I58" s="63">
        <f>SUM(I25:I57)</f>
        <v>1071110337700.86</v>
      </c>
      <c r="J58" s="61">
        <f>(I58/$I$194)</f>
        <v>0.36183971247793911</v>
      </c>
      <c r="K58" s="63">
        <f>SUM(K25:K57)</f>
        <v>1191358460601.5798</v>
      </c>
      <c r="L58" s="61">
        <f>(K58/$K$194)</f>
        <v>0.36982433327213843</v>
      </c>
      <c r="M58" s="61">
        <f t="shared" ref="M58" si="24">((K58-I58)/I58)</f>
        <v>0.11226492609419925</v>
      </c>
      <c r="N58" s="50"/>
      <c r="O58" s="50"/>
      <c r="P58" s="69"/>
      <c r="Q58" s="69"/>
      <c r="R58" s="64"/>
      <c r="S58" s="64"/>
      <c r="T58" s="64">
        <f>SUM(T25:T57)</f>
        <v>301693</v>
      </c>
      <c r="U58" s="64"/>
      <c r="V58" s="64"/>
    </row>
    <row r="59" spans="1:23" ht="6.9" customHeight="1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31"/>
    </row>
    <row r="60" spans="1:23">
      <c r="A60" s="135" t="s">
        <v>97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</row>
    <row r="61" spans="1:23">
      <c r="A61" s="44">
        <v>51</v>
      </c>
      <c r="B61" s="45" t="s">
        <v>98</v>
      </c>
      <c r="C61" s="45" t="s">
        <v>23</v>
      </c>
      <c r="D61" s="53">
        <v>451830580.87</v>
      </c>
      <c r="E61" s="53">
        <v>7055151.6299999999</v>
      </c>
      <c r="F61" s="53"/>
      <c r="G61" s="53">
        <v>672345.83</v>
      </c>
      <c r="H61" s="47">
        <f t="shared" ref="H61:H75" si="25">(E61+F61)-G61</f>
        <v>6382805.7999999998</v>
      </c>
      <c r="I61" s="35">
        <v>465802977.52999997</v>
      </c>
      <c r="J61" s="49">
        <f t="shared" ref="J61:J93" si="26">(I61/$I$94)</f>
        <v>1.9539111326613489E-3</v>
      </c>
      <c r="K61" s="53">
        <v>455902367.88</v>
      </c>
      <c r="L61" s="49">
        <f t="shared" ref="L61:L93" si="27">(K61/$K$94)</f>
        <v>2.0534686089767836E-3</v>
      </c>
      <c r="M61" s="49">
        <f t="shared" ref="M61" si="28">((K61-I61)/I61)</f>
        <v>-2.1254929933036612E-2</v>
      </c>
      <c r="N61" s="50">
        <f t="shared" ref="N61" si="29">(G61/K61)</f>
        <v>1.4747583635647424E-3</v>
      </c>
      <c r="O61" s="51">
        <f t="shared" ref="O61" si="30">H61/K61</f>
        <v>1.4000378698800805E-2</v>
      </c>
      <c r="P61" s="52">
        <f t="shared" ref="P61" si="31">K61/V61</f>
        <v>1.2345308390005958</v>
      </c>
      <c r="Q61" s="52">
        <f t="shared" ref="Q61" si="32">H61/V61</f>
        <v>1.7283899261356626E-2</v>
      </c>
      <c r="R61" s="54">
        <v>1.22</v>
      </c>
      <c r="S61" s="54">
        <v>1.22</v>
      </c>
      <c r="T61" s="102">
        <v>353</v>
      </c>
      <c r="U61" s="54">
        <v>369198399.18000001</v>
      </c>
      <c r="V61" s="54">
        <v>369292004.27999997</v>
      </c>
    </row>
    <row r="62" spans="1:23" ht="12.9" customHeight="1">
      <c r="A62" s="44">
        <v>52</v>
      </c>
      <c r="B62" s="45" t="s">
        <v>212</v>
      </c>
      <c r="C62" s="55" t="s">
        <v>25</v>
      </c>
      <c r="D62" s="53">
        <v>1275974643.6900001</v>
      </c>
      <c r="E62" s="53">
        <v>18008046.190000001</v>
      </c>
      <c r="F62" s="53">
        <v>-7021735.3899999997</v>
      </c>
      <c r="G62" s="53">
        <v>1628840.8</v>
      </c>
      <c r="H62" s="47">
        <f t="shared" si="25"/>
        <v>9357470</v>
      </c>
      <c r="I62" s="35">
        <v>1423405682</v>
      </c>
      <c r="J62" s="49">
        <f t="shared" si="26"/>
        <v>5.9707823747736713E-3</v>
      </c>
      <c r="K62" s="53">
        <v>1402111290</v>
      </c>
      <c r="L62" s="49">
        <f t="shared" ref="L62:L93" si="33">(K62/$K$94)</f>
        <v>6.3153686472292849E-3</v>
      </c>
      <c r="M62" s="49">
        <f t="shared" ref="M62:M93" si="34">((K62-I62)/I62)</f>
        <v>-1.4960170715406769E-2</v>
      </c>
      <c r="N62" s="50">
        <f t="shared" ref="N62:N93" si="35">(G62/K62)</f>
        <v>1.1617057872774137E-3</v>
      </c>
      <c r="O62" s="51">
        <f t="shared" ref="O62:O93" si="36">H62/K62</f>
        <v>6.6738425592450653E-3</v>
      </c>
      <c r="P62" s="52">
        <f t="shared" ref="P62:P93" si="37">K62/V62</f>
        <v>1.1663055051340141</v>
      </c>
      <c r="Q62" s="52">
        <f t="shared" ref="Q62:Q93" si="38">H62/V62</f>
        <v>7.7837393172451976E-3</v>
      </c>
      <c r="R62" s="54">
        <v>1.1662999999999999</v>
      </c>
      <c r="S62" s="54">
        <v>1.1662999999999999</v>
      </c>
      <c r="T62" s="54">
        <v>706</v>
      </c>
      <c r="U62" s="102">
        <v>1228774205</v>
      </c>
      <c r="V62" s="102">
        <v>1202181833</v>
      </c>
    </row>
    <row r="63" spans="1:23" ht="15" customHeight="1">
      <c r="A63" s="44">
        <v>53</v>
      </c>
      <c r="B63" s="45" t="s">
        <v>99</v>
      </c>
      <c r="C63" s="45" t="s">
        <v>100</v>
      </c>
      <c r="D63" s="53">
        <v>769350914.75999999</v>
      </c>
      <c r="E63" s="53">
        <v>10577374.43</v>
      </c>
      <c r="F63" s="53">
        <v>0</v>
      </c>
      <c r="G63" s="53">
        <v>1857696.24</v>
      </c>
      <c r="H63" s="47">
        <f t="shared" si="25"/>
        <v>8719678.1899999995</v>
      </c>
      <c r="I63" s="35">
        <v>868348300</v>
      </c>
      <c r="J63" s="49">
        <f t="shared" si="26"/>
        <v>3.6424743770305393E-3</v>
      </c>
      <c r="K63" s="53">
        <v>870743554</v>
      </c>
      <c r="L63" s="49">
        <f t="shared" si="33"/>
        <v>3.9219900587981141E-3</v>
      </c>
      <c r="M63" s="49">
        <f t="shared" si="34"/>
        <v>2.7584023599746782E-3</v>
      </c>
      <c r="N63" s="50">
        <f t="shared" si="35"/>
        <v>2.1334596523467342E-3</v>
      </c>
      <c r="O63" s="51">
        <f t="shared" si="36"/>
        <v>1.0014059994982174E-2</v>
      </c>
      <c r="P63" s="52">
        <f t="shared" si="37"/>
        <v>1.0660907671292974</v>
      </c>
      <c r="Q63" s="52">
        <f t="shared" si="38"/>
        <v>1.0675896902129353E-2</v>
      </c>
      <c r="R63" s="54">
        <v>1.0661</v>
      </c>
      <c r="S63" s="54">
        <v>1.0661</v>
      </c>
      <c r="T63" s="54">
        <v>175</v>
      </c>
      <c r="U63" s="54">
        <v>822655738</v>
      </c>
      <c r="V63" s="54">
        <v>816763057</v>
      </c>
    </row>
    <row r="64" spans="1:23">
      <c r="A64" s="44">
        <v>54</v>
      </c>
      <c r="B64" s="45" t="s">
        <v>101</v>
      </c>
      <c r="C64" s="55" t="s">
        <v>102</v>
      </c>
      <c r="D64" s="96">
        <v>221654433.24000001</v>
      </c>
      <c r="E64" s="59">
        <v>3569210.35</v>
      </c>
      <c r="F64" s="59"/>
      <c r="G64" s="59">
        <v>424275.94</v>
      </c>
      <c r="H64" s="47">
        <f t="shared" si="25"/>
        <v>3144934.41</v>
      </c>
      <c r="I64" s="38">
        <v>258722255.19999999</v>
      </c>
      <c r="J64" s="49">
        <f t="shared" si="26"/>
        <v>1.0852663445457961E-3</v>
      </c>
      <c r="K64" s="59">
        <v>265428585.27000001</v>
      </c>
      <c r="L64" s="49">
        <f t="shared" si="33"/>
        <v>1.1955394535711804E-3</v>
      </c>
      <c r="M64" s="49">
        <f t="shared" si="34"/>
        <v>2.5920963253879457E-2</v>
      </c>
      <c r="N64" s="50">
        <f t="shared" si="35"/>
        <v>1.598456095331318E-3</v>
      </c>
      <c r="O64" s="51">
        <f t="shared" si="36"/>
        <v>1.1848514382129947E-2</v>
      </c>
      <c r="P64" s="52">
        <f t="shared" si="37"/>
        <v>1065.1654772262129</v>
      </c>
      <c r="Q64" s="52">
        <f t="shared" si="38"/>
        <v>12.620628476263093</v>
      </c>
      <c r="R64" s="54">
        <v>1065.08</v>
      </c>
      <c r="S64" s="54">
        <v>1065.08</v>
      </c>
      <c r="T64" s="54">
        <v>109</v>
      </c>
      <c r="U64" s="54">
        <v>248680</v>
      </c>
      <c r="V64" s="54">
        <v>249190</v>
      </c>
    </row>
    <row r="65" spans="1:22">
      <c r="A65" s="44">
        <v>55</v>
      </c>
      <c r="B65" s="45" t="s">
        <v>103</v>
      </c>
      <c r="C65" s="55" t="s">
        <v>104</v>
      </c>
      <c r="D65" s="53">
        <v>1697995418.3699999</v>
      </c>
      <c r="E65" s="53">
        <v>18918244.93</v>
      </c>
      <c r="F65" s="53"/>
      <c r="G65" s="53">
        <v>2310651.3199999998</v>
      </c>
      <c r="H65" s="47">
        <f t="shared" si="25"/>
        <v>16607593.609999999</v>
      </c>
      <c r="I65" s="35">
        <v>1709717082.4300001</v>
      </c>
      <c r="J65" s="49">
        <f t="shared" si="26"/>
        <v>7.1717773440941679E-3</v>
      </c>
      <c r="K65" s="53">
        <v>1709717082.4300001</v>
      </c>
      <c r="L65" s="49">
        <f t="shared" si="33"/>
        <v>7.7008820448273762E-3</v>
      </c>
      <c r="M65" s="49">
        <f t="shared" si="34"/>
        <v>0</v>
      </c>
      <c r="N65" s="50">
        <f t="shared" si="35"/>
        <v>1.351481682990439E-3</v>
      </c>
      <c r="O65" s="51">
        <f t="shared" si="36"/>
        <v>9.7136501592391122E-3</v>
      </c>
      <c r="P65" s="52">
        <f t="shared" si="37"/>
        <v>1.0704546673131772</v>
      </c>
      <c r="Q65" s="52">
        <f t="shared" si="38"/>
        <v>1.0398022149604893E-2</v>
      </c>
      <c r="R65" s="47">
        <v>1.0704</v>
      </c>
      <c r="S65" s="102">
        <v>1.0704</v>
      </c>
      <c r="T65" s="54">
        <v>880</v>
      </c>
      <c r="U65" s="54">
        <v>1610891837.3900001</v>
      </c>
      <c r="V65" s="54">
        <v>1597187750.8099999</v>
      </c>
    </row>
    <row r="66" spans="1:22">
      <c r="A66" s="44">
        <v>56</v>
      </c>
      <c r="B66" s="45" t="s">
        <v>105</v>
      </c>
      <c r="C66" s="45" t="s">
        <v>106</v>
      </c>
      <c r="D66" s="53">
        <v>429040674.06999999</v>
      </c>
      <c r="E66" s="53">
        <v>5279078.6100000003</v>
      </c>
      <c r="F66" s="53">
        <v>0</v>
      </c>
      <c r="G66" s="53">
        <v>917707.25</v>
      </c>
      <c r="H66" s="47">
        <f t="shared" si="25"/>
        <v>4361371.3600000003</v>
      </c>
      <c r="I66" s="35">
        <v>416247058.38</v>
      </c>
      <c r="J66" s="49">
        <f t="shared" si="26"/>
        <v>1.7460381331586474E-3</v>
      </c>
      <c r="K66" s="53">
        <v>420487439.22000003</v>
      </c>
      <c r="L66" s="49">
        <f t="shared" si="33"/>
        <v>1.8939532183666519E-3</v>
      </c>
      <c r="M66" s="49">
        <f t="shared" si="34"/>
        <v>1.0187173109410679E-2</v>
      </c>
      <c r="N66" s="50">
        <f t="shared" si="35"/>
        <v>2.182484336993128E-3</v>
      </c>
      <c r="O66" s="51">
        <f t="shared" si="36"/>
        <v>1.0372179887442774E-2</v>
      </c>
      <c r="P66" s="52">
        <f t="shared" si="37"/>
        <v>2.3964281810394921</v>
      </c>
      <c r="Q66" s="52">
        <f t="shared" si="38"/>
        <v>2.4856184181078891E-2</v>
      </c>
      <c r="R66" s="54">
        <v>2.3917000000000002</v>
      </c>
      <c r="S66" s="54">
        <v>2.3917000000000002</v>
      </c>
      <c r="T66" s="54">
        <v>1392</v>
      </c>
      <c r="U66" s="54">
        <v>175514867.71000001</v>
      </c>
      <c r="V66" s="54">
        <v>175464235.71000001</v>
      </c>
    </row>
    <row r="67" spans="1:22">
      <c r="A67" s="44">
        <v>57</v>
      </c>
      <c r="B67" s="57" t="s">
        <v>244</v>
      </c>
      <c r="C67" s="58" t="s">
        <v>219</v>
      </c>
      <c r="D67" s="83">
        <v>137471475.27000001</v>
      </c>
      <c r="E67" s="83">
        <v>7346949.2199999997</v>
      </c>
      <c r="F67" s="84">
        <v>0</v>
      </c>
      <c r="G67" s="83">
        <v>344396.19</v>
      </c>
      <c r="H67" s="47">
        <f t="shared" si="25"/>
        <v>7002553.0299999993</v>
      </c>
      <c r="I67" s="114">
        <v>137654948.56</v>
      </c>
      <c r="J67" s="49">
        <f t="shared" si="26"/>
        <v>5.7742339450800675E-4</v>
      </c>
      <c r="K67" s="83">
        <v>132376565.02</v>
      </c>
      <c r="L67" s="49">
        <f t="shared" si="33"/>
        <v>5.9624853912646045E-4</v>
      </c>
      <c r="M67" s="49">
        <f t="shared" si="34"/>
        <v>-3.8345032962613067E-2</v>
      </c>
      <c r="N67" s="50">
        <f t="shared" si="35"/>
        <v>2.6016401766276926E-3</v>
      </c>
      <c r="O67" s="51">
        <f t="shared" si="36"/>
        <v>5.2898736486643422E-2</v>
      </c>
      <c r="P67" s="52">
        <f t="shared" si="37"/>
        <v>10.624870227222253</v>
      </c>
      <c r="Q67" s="52">
        <f t="shared" si="38"/>
        <v>0.56204221035461321</v>
      </c>
      <c r="R67" s="102">
        <v>10.59</v>
      </c>
      <c r="S67" s="102">
        <v>10.62</v>
      </c>
      <c r="T67" s="102">
        <v>29</v>
      </c>
      <c r="U67" s="102">
        <v>12459123</v>
      </c>
      <c r="V67" s="102">
        <v>12459123</v>
      </c>
    </row>
    <row r="68" spans="1:22">
      <c r="A68" s="44">
        <v>58</v>
      </c>
      <c r="B68" s="55" t="s">
        <v>107</v>
      </c>
      <c r="C68" s="45" t="s">
        <v>59</v>
      </c>
      <c r="D68" s="53">
        <v>2434170362.6700001</v>
      </c>
      <c r="E68" s="53">
        <v>26573535.710000001</v>
      </c>
      <c r="F68" s="53">
        <v>0</v>
      </c>
      <c r="G68" s="53">
        <v>4511669.49</v>
      </c>
      <c r="H68" s="47">
        <f t="shared" si="25"/>
        <v>22061866.219999999</v>
      </c>
      <c r="I68" s="35">
        <v>2557057792.8899999</v>
      </c>
      <c r="J68" s="49">
        <f t="shared" si="26"/>
        <v>1.0726130852318232E-2</v>
      </c>
      <c r="K68" s="53">
        <v>2399715199.2399998</v>
      </c>
      <c r="L68" s="49">
        <f t="shared" si="33"/>
        <v>1.0808761215780434E-2</v>
      </c>
      <c r="M68" s="49">
        <f t="shared" si="34"/>
        <v>-6.153267012090903E-2</v>
      </c>
      <c r="N68" s="50">
        <f t="shared" si="35"/>
        <v>1.880085391561826E-3</v>
      </c>
      <c r="O68" s="51">
        <f t="shared" si="36"/>
        <v>9.1935352274249409E-3</v>
      </c>
      <c r="P68" s="52">
        <f t="shared" si="37"/>
        <v>4221.6845880971168</v>
      </c>
      <c r="Q68" s="52">
        <f t="shared" si="38"/>
        <v>38.812205979747795</v>
      </c>
      <c r="R68" s="54">
        <v>4221.68</v>
      </c>
      <c r="S68" s="54">
        <v>4221.68</v>
      </c>
      <c r="T68" s="54">
        <v>1005</v>
      </c>
      <c r="U68" s="54">
        <v>611086.62</v>
      </c>
      <c r="V68" s="54">
        <v>568425.98</v>
      </c>
    </row>
    <row r="69" spans="1:22">
      <c r="A69" s="44">
        <v>59</v>
      </c>
      <c r="B69" s="45" t="s">
        <v>108</v>
      </c>
      <c r="C69" s="45" t="s">
        <v>61</v>
      </c>
      <c r="D69" s="53">
        <v>327364859.48000002</v>
      </c>
      <c r="E69" s="53">
        <v>3783358.33</v>
      </c>
      <c r="F69" s="53">
        <v>0</v>
      </c>
      <c r="G69" s="53">
        <v>697699.52</v>
      </c>
      <c r="H69" s="47">
        <f t="shared" si="25"/>
        <v>3085658.81</v>
      </c>
      <c r="I69" s="114">
        <v>59227588.950000003</v>
      </c>
      <c r="J69" s="49">
        <f t="shared" si="26"/>
        <v>2.4844290610538666E-4</v>
      </c>
      <c r="K69" s="83">
        <v>341065283.24000001</v>
      </c>
      <c r="L69" s="49">
        <f t="shared" si="33"/>
        <v>1.536221134366782E-3</v>
      </c>
      <c r="M69" s="49">
        <f t="shared" si="34"/>
        <v>4.7585542360660282</v>
      </c>
      <c r="N69" s="50">
        <f t="shared" si="35"/>
        <v>2.0456480160399217E-3</v>
      </c>
      <c r="O69" s="51">
        <f t="shared" si="36"/>
        <v>9.0471207760793732E-3</v>
      </c>
      <c r="P69" s="52">
        <f t="shared" si="37"/>
        <v>109.88398769663777</v>
      </c>
      <c r="Q69" s="52">
        <f t="shared" si="38"/>
        <v>0.99413370804870183</v>
      </c>
      <c r="R69" s="54">
        <v>109.42</v>
      </c>
      <c r="S69" s="54">
        <v>109.42</v>
      </c>
      <c r="T69" s="54">
        <v>129</v>
      </c>
      <c r="U69" s="54">
        <v>3131169</v>
      </c>
      <c r="V69" s="54">
        <v>3103867</v>
      </c>
    </row>
    <row r="70" spans="1:22">
      <c r="A70" s="44">
        <v>60</v>
      </c>
      <c r="B70" s="55" t="s">
        <v>109</v>
      </c>
      <c r="C70" s="55" t="s">
        <v>65</v>
      </c>
      <c r="D70" s="59">
        <v>318488973.5</v>
      </c>
      <c r="E70" s="83">
        <v>3805305.35</v>
      </c>
      <c r="F70" s="83">
        <v>1150353.6499999999</v>
      </c>
      <c r="G70" s="83">
        <v>697641.56</v>
      </c>
      <c r="H70" s="47">
        <f t="shared" si="25"/>
        <v>4258017.4399999995</v>
      </c>
      <c r="I70" s="33">
        <v>325346542.24000001</v>
      </c>
      <c r="J70" s="49">
        <f t="shared" si="26"/>
        <v>1.3647362973644148E-3</v>
      </c>
      <c r="K70" s="59">
        <v>330396563.64999998</v>
      </c>
      <c r="L70" s="49">
        <f t="shared" si="33"/>
        <v>1.4881672475709862E-3</v>
      </c>
      <c r="M70" s="49">
        <f t="shared" si="34"/>
        <v>1.5521976582971312E-2</v>
      </c>
      <c r="N70" s="50">
        <f t="shared" si="35"/>
        <v>2.111527893307737E-3</v>
      </c>
      <c r="O70" s="51">
        <f t="shared" si="36"/>
        <v>1.288759602388195E-2</v>
      </c>
      <c r="P70" s="52">
        <f t="shared" si="37"/>
        <v>1.3488368585822963</v>
      </c>
      <c r="Q70" s="52">
        <f t="shared" si="38"/>
        <v>1.7383264535530622E-2</v>
      </c>
      <c r="R70" s="102">
        <v>1.3488</v>
      </c>
      <c r="S70" s="125">
        <v>1.3488</v>
      </c>
      <c r="T70" s="125">
        <v>324</v>
      </c>
      <c r="U70" s="127">
        <v>237396858.06</v>
      </c>
      <c r="V70" s="127">
        <v>244949240.19</v>
      </c>
    </row>
    <row r="71" spans="1:22">
      <c r="A71" s="44">
        <v>61</v>
      </c>
      <c r="B71" s="45" t="s">
        <v>245</v>
      </c>
      <c r="C71" s="45" t="s">
        <v>47</v>
      </c>
      <c r="D71" s="53">
        <v>90608136.790000007</v>
      </c>
      <c r="E71" s="53">
        <v>3639776.78</v>
      </c>
      <c r="F71" s="70">
        <v>0</v>
      </c>
      <c r="G71" s="53">
        <v>2145931.7400000002</v>
      </c>
      <c r="H71" s="47">
        <f>(E71+F71)-G71</f>
        <v>1493845.0399999996</v>
      </c>
      <c r="I71" s="114">
        <v>107610103.20999999</v>
      </c>
      <c r="J71" s="49">
        <f t="shared" si="26"/>
        <v>4.5139380551794338E-4</v>
      </c>
      <c r="K71" s="53">
        <v>115719775.73</v>
      </c>
      <c r="L71" s="49">
        <f t="shared" si="33"/>
        <v>5.2122327858129325E-4</v>
      </c>
      <c r="M71" s="49">
        <f t="shared" si="34"/>
        <v>7.5361627561810529E-2</v>
      </c>
      <c r="N71" s="50">
        <f t="shared" si="35"/>
        <v>1.854420928888539E-2</v>
      </c>
      <c r="O71" s="51">
        <f t="shared" si="36"/>
        <v>1.2909159480964365E-2</v>
      </c>
      <c r="P71" s="52">
        <f t="shared" si="37"/>
        <v>121.20352879123033</v>
      </c>
      <c r="Q71" s="52">
        <f t="shared" si="38"/>
        <v>1.5646356828216483</v>
      </c>
      <c r="R71" s="54">
        <v>121.07210000000001</v>
      </c>
      <c r="S71" s="54">
        <v>121.07210000000001</v>
      </c>
      <c r="T71" s="54">
        <v>140</v>
      </c>
      <c r="U71" s="54">
        <v>899789.97</v>
      </c>
      <c r="V71" s="54">
        <v>954755.83</v>
      </c>
    </row>
    <row r="72" spans="1:22">
      <c r="A72" s="44">
        <v>62</v>
      </c>
      <c r="B72" s="45" t="s">
        <v>110</v>
      </c>
      <c r="C72" s="45" t="s">
        <v>111</v>
      </c>
      <c r="D72" s="53">
        <v>1366048840.1700001</v>
      </c>
      <c r="E72" s="53">
        <v>22543616.789999999</v>
      </c>
      <c r="F72" s="70"/>
      <c r="G72" s="46">
        <v>19209392.84</v>
      </c>
      <c r="H72" s="47">
        <f t="shared" si="25"/>
        <v>3334223.9499999993</v>
      </c>
      <c r="I72" s="34">
        <v>1728570324.6700001</v>
      </c>
      <c r="J72" s="49">
        <f t="shared" si="26"/>
        <v>7.2508613381356722E-3</v>
      </c>
      <c r="K72" s="47">
        <v>1700808138.6500001</v>
      </c>
      <c r="L72" s="49">
        <f t="shared" si="33"/>
        <v>7.6607545138464789E-3</v>
      </c>
      <c r="M72" s="49">
        <f t="shared" si="34"/>
        <v>-1.6060779028646138E-2</v>
      </c>
      <c r="N72" s="50">
        <f t="shared" si="35"/>
        <v>1.1294273823999494E-2</v>
      </c>
      <c r="O72" s="51">
        <f t="shared" si="36"/>
        <v>1.9603762906770347E-3</v>
      </c>
      <c r="P72" s="52">
        <f t="shared" si="37"/>
        <v>1050.092220753025</v>
      </c>
      <c r="Q72" s="52">
        <f t="shared" si="38"/>
        <v>2.0585758925886251</v>
      </c>
      <c r="R72" s="54">
        <v>1000</v>
      </c>
      <c r="S72" s="54">
        <v>1000</v>
      </c>
      <c r="T72" s="54">
        <v>332</v>
      </c>
      <c r="U72" s="54">
        <v>1646695.76</v>
      </c>
      <c r="V72" s="54">
        <v>1619675.02</v>
      </c>
    </row>
    <row r="73" spans="1:22">
      <c r="A73" s="44">
        <v>63</v>
      </c>
      <c r="B73" s="45" t="s">
        <v>112</v>
      </c>
      <c r="C73" s="45" t="s">
        <v>67</v>
      </c>
      <c r="D73" s="53">
        <v>198627677.93000001</v>
      </c>
      <c r="E73" s="83">
        <v>2737484.41</v>
      </c>
      <c r="F73" s="97">
        <v>0</v>
      </c>
      <c r="G73" s="53">
        <v>643213.56999999995</v>
      </c>
      <c r="H73" s="47">
        <f t="shared" si="25"/>
        <v>2094270.8400000003</v>
      </c>
      <c r="I73" s="35">
        <v>221636666.18000001</v>
      </c>
      <c r="J73" s="49">
        <f t="shared" si="26"/>
        <v>9.2970283648982925E-4</v>
      </c>
      <c r="K73" s="53">
        <v>221855873.37</v>
      </c>
      <c r="L73" s="49">
        <f t="shared" si="33"/>
        <v>9.9927989802048355E-4</v>
      </c>
      <c r="M73" s="49">
        <f t="shared" si="34"/>
        <v>9.8903847354377128E-4</v>
      </c>
      <c r="N73" s="50">
        <f t="shared" si="35"/>
        <v>2.899240665705888E-3</v>
      </c>
      <c r="O73" s="51">
        <f t="shared" si="36"/>
        <v>9.4397809180705415E-3</v>
      </c>
      <c r="P73" s="52">
        <f t="shared" si="37"/>
        <v>1048.8796331736928</v>
      </c>
      <c r="Q73" s="52">
        <f t="shared" si="38"/>
        <v>9.9011939465858543</v>
      </c>
      <c r="R73" s="54">
        <v>1046.24</v>
      </c>
      <c r="S73" s="102">
        <v>1048.8800000000001</v>
      </c>
      <c r="T73" s="54">
        <v>281</v>
      </c>
      <c r="U73" s="54">
        <v>202790</v>
      </c>
      <c r="V73" s="54">
        <v>211517</v>
      </c>
    </row>
    <row r="74" spans="1:22">
      <c r="A74" s="44">
        <v>64</v>
      </c>
      <c r="B74" s="45" t="s">
        <v>113</v>
      </c>
      <c r="C74" s="55" t="s">
        <v>70</v>
      </c>
      <c r="D74" s="96">
        <v>1094057083.8399999</v>
      </c>
      <c r="E74" s="59">
        <v>12234776.6</v>
      </c>
      <c r="F74" s="98"/>
      <c r="G74" s="83">
        <v>1701598.08</v>
      </c>
      <c r="H74" s="47">
        <f t="shared" si="25"/>
        <v>10533178.52</v>
      </c>
      <c r="I74" s="33">
        <v>904152454.88999999</v>
      </c>
      <c r="J74" s="49">
        <f t="shared" si="26"/>
        <v>3.7926626330311072E-3</v>
      </c>
      <c r="K74" s="59">
        <v>1090505655.6199999</v>
      </c>
      <c r="L74" s="49">
        <f t="shared" si="33"/>
        <v>4.9118392214991466E-3</v>
      </c>
      <c r="M74" s="49">
        <f t="shared" si="34"/>
        <v>0.20610816209382721</v>
      </c>
      <c r="N74" s="50">
        <f t="shared" si="35"/>
        <v>1.5603752912519903E-3</v>
      </c>
      <c r="O74" s="51">
        <f t="shared" si="36"/>
        <v>9.6589856877096428E-3</v>
      </c>
      <c r="P74" s="52">
        <f t="shared" si="37"/>
        <v>1.1862647350158158</v>
      </c>
      <c r="Q74" s="52">
        <f t="shared" si="38"/>
        <v>1.1458114097352437E-2</v>
      </c>
      <c r="R74" s="54">
        <v>1.18</v>
      </c>
      <c r="S74" s="54">
        <v>1.18</v>
      </c>
      <c r="T74" s="54">
        <v>45</v>
      </c>
      <c r="U74" s="74">
        <v>771769216.80999994</v>
      </c>
      <c r="V74" s="74">
        <v>919276805.11000001</v>
      </c>
    </row>
    <row r="75" spans="1:22">
      <c r="A75" s="44">
        <v>65</v>
      </c>
      <c r="B75" s="45" t="s">
        <v>261</v>
      </c>
      <c r="C75" s="45" t="s">
        <v>29</v>
      </c>
      <c r="D75" s="83">
        <v>36573497081.339996</v>
      </c>
      <c r="E75" s="83">
        <v>406204446.66000003</v>
      </c>
      <c r="F75" s="97"/>
      <c r="G75" s="59">
        <v>47421540.380000003</v>
      </c>
      <c r="H75" s="47">
        <f t="shared" si="25"/>
        <v>358782906.28000003</v>
      </c>
      <c r="I75" s="122">
        <v>41903015658.260002</v>
      </c>
      <c r="J75" s="49">
        <f t="shared" si="26"/>
        <v>0.17577124393002386</v>
      </c>
      <c r="K75" s="99">
        <v>35043739000.400002</v>
      </c>
      <c r="L75" s="49">
        <f t="shared" si="33"/>
        <v>0.15784348371149076</v>
      </c>
      <c r="M75" s="49">
        <f t="shared" si="34"/>
        <v>-0.16369410530737988</v>
      </c>
      <c r="N75" s="50">
        <f t="shared" si="35"/>
        <v>1.3532100664103998E-3</v>
      </c>
      <c r="O75" s="51">
        <f t="shared" si="36"/>
        <v>1.0238145714870915E-2</v>
      </c>
      <c r="P75" s="52">
        <f t="shared" si="37"/>
        <v>1653.6082578674457</v>
      </c>
      <c r="Q75" s="52">
        <f t="shared" si="38"/>
        <v>16.929882299360749</v>
      </c>
      <c r="R75" s="100">
        <v>1653.6</v>
      </c>
      <c r="S75" s="100">
        <v>1653.6</v>
      </c>
      <c r="T75" s="125">
        <v>2332</v>
      </c>
      <c r="U75" s="127">
        <v>25549367.010000002</v>
      </c>
      <c r="V75" s="127">
        <v>21192285.920000002</v>
      </c>
    </row>
    <row r="76" spans="1:22" ht="14.4" customHeight="1">
      <c r="A76" s="44">
        <v>66</v>
      </c>
      <c r="B76" s="45" t="s">
        <v>114</v>
      </c>
      <c r="C76" s="45" t="s">
        <v>239</v>
      </c>
      <c r="D76" s="53">
        <v>23129360.109999999</v>
      </c>
      <c r="E76" s="53">
        <v>293194</v>
      </c>
      <c r="F76" s="70">
        <v>0</v>
      </c>
      <c r="G76" s="53">
        <v>245677.65</v>
      </c>
      <c r="H76" s="47">
        <f t="shared" ref="H76:H93" si="39">(E76+F76)-G76</f>
        <v>47516.350000000006</v>
      </c>
      <c r="I76" s="35">
        <v>24175640.739999998</v>
      </c>
      <c r="J76" s="49">
        <f t="shared" si="26"/>
        <v>1.01409943387631E-4</v>
      </c>
      <c r="K76" s="53">
        <v>22918828.399999999</v>
      </c>
      <c r="L76" s="49">
        <f t="shared" si="33"/>
        <v>1.0323064320278608E-4</v>
      </c>
      <c r="M76" s="49">
        <f t="shared" si="34"/>
        <v>-5.1986723062132992E-2</v>
      </c>
      <c r="N76" s="50">
        <f t="shared" si="35"/>
        <v>1.071946810335209E-2</v>
      </c>
      <c r="O76" s="51">
        <f t="shared" si="36"/>
        <v>2.07324515768005E-3</v>
      </c>
      <c r="P76" s="52">
        <f t="shared" si="37"/>
        <v>0.69904257215016929</v>
      </c>
      <c r="Q76" s="52">
        <f t="shared" si="38"/>
        <v>1.4492866277225455E-3</v>
      </c>
      <c r="R76" s="47">
        <v>0.73740000000000006</v>
      </c>
      <c r="S76" s="47">
        <v>0.73740000000000006</v>
      </c>
      <c r="T76" s="54">
        <v>746</v>
      </c>
      <c r="U76" s="54">
        <v>32786026.649999999</v>
      </c>
      <c r="V76" s="54">
        <v>32786026.649999999</v>
      </c>
    </row>
    <row r="77" spans="1:22" ht="14.4" customHeight="1">
      <c r="A77" s="44">
        <v>67</v>
      </c>
      <c r="B77" s="45" t="s">
        <v>240</v>
      </c>
      <c r="C77" s="55" t="s">
        <v>35</v>
      </c>
      <c r="D77" s="53">
        <v>11406016556.370001</v>
      </c>
      <c r="E77" s="53">
        <v>92619058.129999995</v>
      </c>
      <c r="F77" s="70"/>
      <c r="G77" s="53">
        <v>3153916.37</v>
      </c>
      <c r="H77" s="47">
        <f>(E77+F77)-G77</f>
        <v>89465141.75999999</v>
      </c>
      <c r="I77" s="35">
        <v>9402280376.6000004</v>
      </c>
      <c r="J77" s="49">
        <f t="shared" si="26"/>
        <v>3.9439894518619491E-2</v>
      </c>
      <c r="K77" s="53">
        <v>9609002690.1499996</v>
      </c>
      <c r="L77" s="49">
        <f t="shared" si="33"/>
        <v>4.3280725826346615E-2</v>
      </c>
      <c r="M77" s="49">
        <f t="shared" si="34"/>
        <v>2.1986401731273728E-2</v>
      </c>
      <c r="N77" s="50">
        <f t="shared" si="35"/>
        <v>3.2822515215163983E-4</v>
      </c>
      <c r="O77" s="51">
        <f t="shared" si="36"/>
        <v>9.3105543462599881E-3</v>
      </c>
      <c r="P77" s="52">
        <f t="shared" si="37"/>
        <v>1</v>
      </c>
      <c r="Q77" s="52">
        <f t="shared" si="38"/>
        <v>9.3105543462599881E-3</v>
      </c>
      <c r="R77" s="54">
        <v>1</v>
      </c>
      <c r="S77" s="54">
        <v>1</v>
      </c>
      <c r="T77" s="54">
        <v>5238</v>
      </c>
      <c r="U77" s="54">
        <v>9402280376.6000004</v>
      </c>
      <c r="V77" s="54">
        <v>9609002690.1499996</v>
      </c>
    </row>
    <row r="78" spans="1:22">
      <c r="A78" s="44">
        <v>68</v>
      </c>
      <c r="B78" s="55" t="s">
        <v>115</v>
      </c>
      <c r="C78" s="55" t="s">
        <v>116</v>
      </c>
      <c r="D78" s="83">
        <v>1194083287.3399999</v>
      </c>
      <c r="E78" s="83">
        <v>43549699.979999997</v>
      </c>
      <c r="F78" s="97"/>
      <c r="G78" s="83">
        <v>6757575.1900000004</v>
      </c>
      <c r="H78" s="47">
        <f t="shared" si="39"/>
        <v>36792124.789999999</v>
      </c>
      <c r="I78" s="114">
        <v>1389358561.77</v>
      </c>
      <c r="J78" s="49">
        <f t="shared" si="26"/>
        <v>5.8279643799097978E-3</v>
      </c>
      <c r="K78" s="83">
        <v>1183798781.4300001</v>
      </c>
      <c r="L78" s="49">
        <f t="shared" si="33"/>
        <v>5.3320487198068676E-3</v>
      </c>
      <c r="M78" s="49">
        <f t="shared" si="34"/>
        <v>-0.1479530093931426</v>
      </c>
      <c r="N78" s="50">
        <f t="shared" si="35"/>
        <v>5.7083816067431785E-3</v>
      </c>
      <c r="O78" s="51">
        <f t="shared" si="36"/>
        <v>3.1079711659743398E-2</v>
      </c>
      <c r="P78" s="52">
        <f t="shared" si="37"/>
        <v>224.89252284081996</v>
      </c>
      <c r="Q78" s="52">
        <f t="shared" si="38"/>
        <v>6.9895947643249414</v>
      </c>
      <c r="R78" s="102">
        <v>224.89250000000001</v>
      </c>
      <c r="S78" s="124">
        <v>226.84630000000001</v>
      </c>
      <c r="T78" s="54">
        <v>490</v>
      </c>
      <c r="U78" s="126">
        <v>6126680.6500000004</v>
      </c>
      <c r="V78" s="126">
        <v>5263842.33</v>
      </c>
    </row>
    <row r="79" spans="1:22">
      <c r="A79" s="44">
        <v>69</v>
      </c>
      <c r="B79" s="45" t="s">
        <v>117</v>
      </c>
      <c r="C79" s="55" t="s">
        <v>37</v>
      </c>
      <c r="D79" s="53">
        <v>1060072058.62</v>
      </c>
      <c r="E79" s="53">
        <v>11112162.539999999</v>
      </c>
      <c r="F79" s="70"/>
      <c r="G79" s="53">
        <v>1333815.31</v>
      </c>
      <c r="H79" s="47">
        <f t="shared" si="39"/>
        <v>9778347.2299999986</v>
      </c>
      <c r="I79" s="35">
        <v>1116644814.03</v>
      </c>
      <c r="J79" s="49">
        <f t="shared" si="26"/>
        <v>4.6840076998461407E-3</v>
      </c>
      <c r="K79" s="53">
        <v>1054001294.5700001</v>
      </c>
      <c r="L79" s="49">
        <f t="shared" si="33"/>
        <v>4.7474168258544273E-3</v>
      </c>
      <c r="M79" s="49">
        <f t="shared" si="34"/>
        <v>-5.6099771989194878E-2</v>
      </c>
      <c r="N79" s="50">
        <f t="shared" si="35"/>
        <v>1.2654778669357854E-3</v>
      </c>
      <c r="O79" s="51">
        <f t="shared" si="36"/>
        <v>9.2773578935586246E-3</v>
      </c>
      <c r="P79" s="52">
        <f t="shared" si="37"/>
        <v>3.482210896626015</v>
      </c>
      <c r="Q79" s="52">
        <f t="shared" si="38"/>
        <v>3.2305716748849217E-2</v>
      </c>
      <c r="R79" s="47">
        <v>3.48</v>
      </c>
      <c r="S79" s="54">
        <v>3.48</v>
      </c>
      <c r="T79" s="54">
        <v>771</v>
      </c>
      <c r="U79" s="102">
        <v>322532373</v>
      </c>
      <c r="V79" s="102">
        <v>302681637</v>
      </c>
    </row>
    <row r="80" spans="1:22">
      <c r="A80" s="44">
        <v>70</v>
      </c>
      <c r="B80" s="57" t="s">
        <v>254</v>
      </c>
      <c r="C80" s="58" t="s">
        <v>39</v>
      </c>
      <c r="D80" s="53">
        <v>508488376.88</v>
      </c>
      <c r="E80" s="53">
        <v>7217744.0700000003</v>
      </c>
      <c r="F80" s="70">
        <v>0</v>
      </c>
      <c r="G80" s="53">
        <v>1044487.7</v>
      </c>
      <c r="H80" s="47">
        <f>(E80+F80)-G80</f>
        <v>6173256.3700000001</v>
      </c>
      <c r="I80" s="53">
        <v>0</v>
      </c>
      <c r="J80" s="49">
        <f t="shared" si="26"/>
        <v>0</v>
      </c>
      <c r="K80" s="53">
        <v>531752989.85000002</v>
      </c>
      <c r="L80" s="49">
        <f t="shared" si="33"/>
        <v>2.395113843045314E-3</v>
      </c>
      <c r="M80" s="49" t="e">
        <f t="shared" si="34"/>
        <v>#DIV/0!</v>
      </c>
      <c r="N80" s="50">
        <f t="shared" si="35"/>
        <v>1.9642347479694191E-3</v>
      </c>
      <c r="O80" s="51">
        <f t="shared" si="36"/>
        <v>1.1609255590159236E-2</v>
      </c>
      <c r="P80" s="52">
        <f t="shared" si="37"/>
        <v>105.88006273599871</v>
      </c>
      <c r="Q80" s="52">
        <f t="shared" si="38"/>
        <v>1.2291887102043035</v>
      </c>
      <c r="R80" s="47">
        <v>105.32</v>
      </c>
      <c r="S80" s="54">
        <v>105.32</v>
      </c>
      <c r="T80" s="54">
        <v>64</v>
      </c>
      <c r="U80" s="102">
        <v>5197988.5</v>
      </c>
      <c r="V80" s="102">
        <v>5022220.2</v>
      </c>
    </row>
    <row r="81" spans="1:23">
      <c r="A81" s="44">
        <v>71</v>
      </c>
      <c r="B81" s="45" t="s">
        <v>243</v>
      </c>
      <c r="C81" s="45" t="s">
        <v>43</v>
      </c>
      <c r="D81" s="53">
        <v>1746425892.48</v>
      </c>
      <c r="E81" s="53">
        <v>20115376.989999998</v>
      </c>
      <c r="F81" s="53">
        <v>0</v>
      </c>
      <c r="G81" s="53">
        <v>3174816</v>
      </c>
      <c r="H81" s="47">
        <f>(E81+F81)-G81</f>
        <v>16940560.989999998</v>
      </c>
      <c r="I81" s="35">
        <v>1720749109.29</v>
      </c>
      <c r="J81" s="49">
        <f t="shared" si="26"/>
        <v>7.2180535620176237E-3</v>
      </c>
      <c r="K81" s="53">
        <v>1757727077.04</v>
      </c>
      <c r="L81" s="49">
        <f t="shared" si="33"/>
        <v>7.9171279426217232E-3</v>
      </c>
      <c r="M81" s="49">
        <f t="shared" si="34"/>
        <v>2.1489459184004758E-2</v>
      </c>
      <c r="N81" s="50">
        <f t="shared" si="35"/>
        <v>1.8062053213325744E-3</v>
      </c>
      <c r="O81" s="51">
        <f t="shared" si="36"/>
        <v>9.637765277262374E-3</v>
      </c>
      <c r="P81" s="52">
        <f t="shared" si="37"/>
        <v>98.078893958077202</v>
      </c>
      <c r="Q81" s="52">
        <f t="shared" si="38"/>
        <v>0.94526135862145499</v>
      </c>
      <c r="R81" s="54">
        <v>98.08</v>
      </c>
      <c r="S81" s="54">
        <v>98.08</v>
      </c>
      <c r="T81" s="54">
        <v>150</v>
      </c>
      <c r="U81" s="54">
        <v>16524041</v>
      </c>
      <c r="V81" s="54">
        <v>17921563</v>
      </c>
    </row>
    <row r="82" spans="1:23">
      <c r="A82" s="44">
        <v>72</v>
      </c>
      <c r="B82" s="45" t="s">
        <v>120</v>
      </c>
      <c r="C82" s="45" t="s">
        <v>21</v>
      </c>
      <c r="D82" s="53">
        <v>1285584822.9200001</v>
      </c>
      <c r="E82" s="53">
        <v>15049016.5</v>
      </c>
      <c r="F82" s="103">
        <v>72413000</v>
      </c>
      <c r="G82" s="53">
        <v>2047835.05</v>
      </c>
      <c r="H82" s="47">
        <f t="shared" si="39"/>
        <v>85414181.450000003</v>
      </c>
      <c r="I82" s="35">
        <v>1264933218.9000001</v>
      </c>
      <c r="J82" s="49">
        <f t="shared" si="26"/>
        <v>5.3060354220743136E-3</v>
      </c>
      <c r="K82" s="53">
        <v>1277703839.21</v>
      </c>
      <c r="L82" s="49">
        <f t="shared" si="33"/>
        <v>5.7550144729177112E-3</v>
      </c>
      <c r="M82" s="49">
        <f t="shared" si="34"/>
        <v>1.0095884999451129E-2</v>
      </c>
      <c r="N82" s="50">
        <f t="shared" si="35"/>
        <v>1.6027462602492997E-3</v>
      </c>
      <c r="O82" s="51">
        <f t="shared" si="36"/>
        <v>6.6849749393264171E-2</v>
      </c>
      <c r="P82" s="52">
        <f t="shared" si="37"/>
        <v>335.86335417756504</v>
      </c>
      <c r="Q82" s="52">
        <f t="shared" si="38"/>
        <v>22.452381057151349</v>
      </c>
      <c r="R82" s="125">
        <v>335.86</v>
      </c>
      <c r="S82" s="125">
        <v>335.86</v>
      </c>
      <c r="T82" s="125">
        <v>105</v>
      </c>
      <c r="U82" s="125">
        <v>3675956.5221000002</v>
      </c>
      <c r="V82" s="125">
        <v>3804237.12</v>
      </c>
    </row>
    <row r="83" spans="1:23">
      <c r="A83" s="44">
        <v>73</v>
      </c>
      <c r="B83" s="57" t="s">
        <v>246</v>
      </c>
      <c r="C83" s="58" t="s">
        <v>247</v>
      </c>
      <c r="D83" s="53">
        <v>1563467090.98</v>
      </c>
      <c r="E83" s="53">
        <v>22935588.489999998</v>
      </c>
      <c r="F83" s="103">
        <v>0</v>
      </c>
      <c r="G83" s="53">
        <v>3811310.19</v>
      </c>
      <c r="H83" s="47">
        <f t="shared" si="39"/>
        <v>19124278.299999997</v>
      </c>
      <c r="I83" s="35">
        <v>1678519751.2</v>
      </c>
      <c r="J83" s="49">
        <f t="shared" si="26"/>
        <v>7.040913404316766E-3</v>
      </c>
      <c r="K83" s="53">
        <v>1557616600.3599999</v>
      </c>
      <c r="L83" s="49">
        <f t="shared" si="33"/>
        <v>7.0157933342918956E-3</v>
      </c>
      <c r="M83" s="49">
        <f t="shared" si="34"/>
        <v>-7.2029626552541068E-2</v>
      </c>
      <c r="N83" s="50">
        <f t="shared" si="35"/>
        <v>2.4468859596893876E-3</v>
      </c>
      <c r="O83" s="51">
        <f t="shared" si="36"/>
        <v>1.2277911198160029E-2</v>
      </c>
      <c r="P83" s="52">
        <f t="shared" si="37"/>
        <v>102.32254462735506</v>
      </c>
      <c r="Q83" s="52">
        <f t="shared" si="38"/>
        <v>1.2563071165044319</v>
      </c>
      <c r="R83" s="125">
        <v>102.32</v>
      </c>
      <c r="S83" s="125">
        <v>102.32</v>
      </c>
      <c r="T83" s="125">
        <f>348+16+9</f>
        <v>373</v>
      </c>
      <c r="U83" s="125">
        <v>16059697</v>
      </c>
      <c r="V83" s="125">
        <v>15222614</v>
      </c>
    </row>
    <row r="84" spans="1:23">
      <c r="A84" s="44">
        <v>74</v>
      </c>
      <c r="B84" s="55" t="s">
        <v>121</v>
      </c>
      <c r="C84" s="55" t="s">
        <v>41</v>
      </c>
      <c r="D84" s="53">
        <v>52670692.530000001</v>
      </c>
      <c r="E84" s="53">
        <v>2129142.31</v>
      </c>
      <c r="F84" s="70">
        <v>0</v>
      </c>
      <c r="G84" s="53">
        <v>158207.51</v>
      </c>
      <c r="H84" s="47">
        <f t="shared" si="39"/>
        <v>1970934.8</v>
      </c>
      <c r="I84" s="35">
        <v>57958479.350000001</v>
      </c>
      <c r="J84" s="49">
        <f t="shared" si="26"/>
        <v>2.4311935195131797E-4</v>
      </c>
      <c r="K84" s="53">
        <v>52997543.630000003</v>
      </c>
      <c r="L84" s="49">
        <f t="shared" si="33"/>
        <v>2.3871074130004912E-4</v>
      </c>
      <c r="M84" s="49">
        <f t="shared" si="34"/>
        <v>-8.5594649404824294E-2</v>
      </c>
      <c r="N84" s="50">
        <f t="shared" si="35"/>
        <v>2.9851857117099371E-3</v>
      </c>
      <c r="O84" s="51">
        <f t="shared" si="36"/>
        <v>3.718917264845318E-2</v>
      </c>
      <c r="P84" s="52">
        <f t="shared" si="37"/>
        <v>11.57565361435576</v>
      </c>
      <c r="Q84" s="52">
        <f t="shared" si="38"/>
        <v>0.43048898078296743</v>
      </c>
      <c r="R84" s="54">
        <v>12.52</v>
      </c>
      <c r="S84" s="54">
        <v>12.7</v>
      </c>
      <c r="T84" s="54">
        <v>56</v>
      </c>
      <c r="U84" s="54">
        <v>4579560.95</v>
      </c>
      <c r="V84" s="54">
        <v>4578362.95</v>
      </c>
    </row>
    <row r="85" spans="1:23">
      <c r="A85" s="44">
        <v>75</v>
      </c>
      <c r="B85" s="45" t="s">
        <v>122</v>
      </c>
      <c r="C85" s="45" t="s">
        <v>123</v>
      </c>
      <c r="D85" s="53">
        <v>6877188517.5</v>
      </c>
      <c r="E85" s="53">
        <v>98620044.090000004</v>
      </c>
      <c r="F85" s="70">
        <v>0</v>
      </c>
      <c r="G85" s="53">
        <v>10037715.039999999</v>
      </c>
      <c r="H85" s="47">
        <f t="shared" si="39"/>
        <v>88582329.050000012</v>
      </c>
      <c r="I85" s="35">
        <v>6677781948</v>
      </c>
      <c r="J85" s="49">
        <f t="shared" si="26"/>
        <v>2.8011397777812294E-2</v>
      </c>
      <c r="K85" s="53">
        <v>6845805127</v>
      </c>
      <c r="L85" s="49">
        <f t="shared" si="33"/>
        <v>3.0834772797598182E-2</v>
      </c>
      <c r="M85" s="49">
        <f t="shared" si="34"/>
        <v>2.516152523523519E-2</v>
      </c>
      <c r="N85" s="50">
        <f t="shared" si="35"/>
        <v>1.466257781778076E-3</v>
      </c>
      <c r="O85" s="51">
        <f t="shared" si="36"/>
        <v>1.2939650984312923E-2</v>
      </c>
      <c r="P85" s="52">
        <f t="shared" si="37"/>
        <v>1.0799999999873791</v>
      </c>
      <c r="Q85" s="52">
        <f t="shared" si="38"/>
        <v>1.3974823062894649E-2</v>
      </c>
      <c r="R85" s="54">
        <v>1.08</v>
      </c>
      <c r="S85" s="54">
        <v>1.08</v>
      </c>
      <c r="T85" s="47">
        <v>4443</v>
      </c>
      <c r="U85" s="54">
        <v>6478520425</v>
      </c>
      <c r="V85" s="54">
        <v>6338708451</v>
      </c>
    </row>
    <row r="86" spans="1:23">
      <c r="A86" s="44">
        <v>76</v>
      </c>
      <c r="B86" s="55" t="s">
        <v>124</v>
      </c>
      <c r="C86" s="45" t="s">
        <v>45</v>
      </c>
      <c r="D86" s="83">
        <v>15880159415.17</v>
      </c>
      <c r="E86" s="83">
        <v>205967269.12</v>
      </c>
      <c r="F86" s="97"/>
      <c r="G86" s="83">
        <v>18369525.359999999</v>
      </c>
      <c r="H86" s="47">
        <f t="shared" si="39"/>
        <v>187597743.75999999</v>
      </c>
      <c r="I86" s="113">
        <v>13367031243.290001</v>
      </c>
      <c r="J86" s="49">
        <f t="shared" si="26"/>
        <v>5.6070897819055443E-2</v>
      </c>
      <c r="K86" s="83">
        <v>15844428504.17</v>
      </c>
      <c r="L86" s="49">
        <f t="shared" si="33"/>
        <v>7.1366237275288777E-2</v>
      </c>
      <c r="M86" s="49">
        <f t="shared" si="34"/>
        <v>0.18533638590271165</v>
      </c>
      <c r="N86" s="50">
        <f t="shared" si="35"/>
        <v>1.1593681245849565E-3</v>
      </c>
      <c r="O86" s="51">
        <f t="shared" si="36"/>
        <v>1.1839981714116559E-2</v>
      </c>
      <c r="P86" s="52">
        <f t="shared" si="37"/>
        <v>5163.2279221828358</v>
      </c>
      <c r="Q86" s="52">
        <f t="shared" si="38"/>
        <v>61.132524184460806</v>
      </c>
      <c r="R86" s="102">
        <v>5163.2299999999996</v>
      </c>
      <c r="S86" s="102">
        <v>5163.2299999999996</v>
      </c>
      <c r="T86" s="102">
        <v>356</v>
      </c>
      <c r="U86" s="102">
        <v>2589675.65</v>
      </c>
      <c r="V86" s="102">
        <v>3068706</v>
      </c>
    </row>
    <row r="87" spans="1:23">
      <c r="A87" s="44">
        <v>77</v>
      </c>
      <c r="B87" s="45" t="s">
        <v>125</v>
      </c>
      <c r="C87" s="45" t="s">
        <v>45</v>
      </c>
      <c r="D87" s="83">
        <v>25942348230.450001</v>
      </c>
      <c r="E87" s="83">
        <v>247065071.69999999</v>
      </c>
      <c r="F87" s="97"/>
      <c r="G87" s="83">
        <v>45278523.539999999</v>
      </c>
      <c r="H87" s="47">
        <f t="shared" si="39"/>
        <v>201786548.16</v>
      </c>
      <c r="I87" s="113">
        <v>27713844033.529999</v>
      </c>
      <c r="J87" s="49">
        <f t="shared" si="26"/>
        <v>0.11625170082230105</v>
      </c>
      <c r="K87" s="83">
        <v>25808517808.709999</v>
      </c>
      <c r="L87" s="49">
        <f t="shared" si="33"/>
        <v>0.11624633890551284</v>
      </c>
      <c r="M87" s="49">
        <f t="shared" si="34"/>
        <v>-6.8749980064649746E-2</v>
      </c>
      <c r="N87" s="50">
        <f t="shared" si="35"/>
        <v>1.7544023207996531E-3</v>
      </c>
      <c r="O87" s="51">
        <f t="shared" si="36"/>
        <v>7.8186027440870689E-3</v>
      </c>
      <c r="P87" s="52">
        <f t="shared" si="37"/>
        <v>258.39455023873768</v>
      </c>
      <c r="Q87" s="52">
        <f t="shared" si="38"/>
        <v>2.0202843395537387</v>
      </c>
      <c r="R87" s="102">
        <v>258.39</v>
      </c>
      <c r="S87" s="102">
        <v>258.39</v>
      </c>
      <c r="T87" s="102">
        <v>6512</v>
      </c>
      <c r="U87" s="102">
        <v>107271588.45999999</v>
      </c>
      <c r="V87" s="102">
        <v>99880271.409999996</v>
      </c>
    </row>
    <row r="88" spans="1:23">
      <c r="A88" s="44">
        <v>78</v>
      </c>
      <c r="B88" s="55" t="s">
        <v>126</v>
      </c>
      <c r="C88" s="45" t="s">
        <v>45</v>
      </c>
      <c r="D88" s="83">
        <v>343297525.75</v>
      </c>
      <c r="E88" s="83">
        <v>6478416.3399999999</v>
      </c>
      <c r="F88" s="104">
        <v>-9886001.2400000002</v>
      </c>
      <c r="G88" s="83">
        <v>989141.18</v>
      </c>
      <c r="H88" s="47">
        <f t="shared" si="39"/>
        <v>-4396726.08</v>
      </c>
      <c r="I88" s="113">
        <v>343404824.85000002</v>
      </c>
      <c r="J88" s="49">
        <f t="shared" si="26"/>
        <v>1.440485661646122E-3</v>
      </c>
      <c r="K88" s="83">
        <v>340873597.08999997</v>
      </c>
      <c r="L88" s="49">
        <f t="shared" si="33"/>
        <v>1.5353577444843581E-3</v>
      </c>
      <c r="M88" s="49">
        <f t="shared" si="34"/>
        <v>-7.3709731979033667E-3</v>
      </c>
      <c r="N88" s="50">
        <f t="shared" si="35"/>
        <v>2.9017829143828926E-3</v>
      </c>
      <c r="O88" s="51">
        <f t="shared" si="36"/>
        <v>-1.2898406088163948E-2</v>
      </c>
      <c r="P88" s="52">
        <f t="shared" si="37"/>
        <v>5927.2468786080926</v>
      </c>
      <c r="Q88" s="52">
        <f t="shared" si="38"/>
        <v>-76.452037225089384</v>
      </c>
      <c r="R88" s="102">
        <v>5910.71</v>
      </c>
      <c r="S88" s="102">
        <v>5938.58</v>
      </c>
      <c r="T88" s="54">
        <v>15</v>
      </c>
      <c r="U88" s="102">
        <v>57509.599999999999</v>
      </c>
      <c r="V88" s="102">
        <v>57509.599999999999</v>
      </c>
    </row>
    <row r="89" spans="1:23">
      <c r="A89" s="44">
        <v>79</v>
      </c>
      <c r="B89" s="45" t="s">
        <v>127</v>
      </c>
      <c r="C89" s="45" t="s">
        <v>45</v>
      </c>
      <c r="D89" s="83">
        <v>11387842753.1</v>
      </c>
      <c r="E89" s="83">
        <v>168594590.86000001</v>
      </c>
      <c r="F89" s="97"/>
      <c r="G89" s="83">
        <v>16998756.440000001</v>
      </c>
      <c r="H89" s="47">
        <f t="shared" si="39"/>
        <v>151595834.42000002</v>
      </c>
      <c r="I89" s="113">
        <v>12356454869.799999</v>
      </c>
      <c r="J89" s="49">
        <f t="shared" si="26"/>
        <v>5.1831817087890572E-2</v>
      </c>
      <c r="K89" s="83">
        <v>11429074151.4</v>
      </c>
      <c r="L89" s="49">
        <f t="shared" si="33"/>
        <v>5.1478664409449412E-2</v>
      </c>
      <c r="M89" s="49">
        <f t="shared" si="34"/>
        <v>-7.505232918112946E-2</v>
      </c>
      <c r="N89" s="50">
        <f t="shared" si="35"/>
        <v>1.4873257636461958E-3</v>
      </c>
      <c r="O89" s="51">
        <f t="shared" si="36"/>
        <v>1.3264052049345602E-2</v>
      </c>
      <c r="P89" s="52">
        <f t="shared" si="37"/>
        <v>132.5001634828557</v>
      </c>
      <c r="Q89" s="52">
        <f t="shared" si="38"/>
        <v>1.7574890649833994</v>
      </c>
      <c r="R89" s="102">
        <v>130.5</v>
      </c>
      <c r="S89" s="102">
        <v>132.5</v>
      </c>
      <c r="T89" s="54">
        <v>4443</v>
      </c>
      <c r="U89" s="102">
        <v>94251836.959999993</v>
      </c>
      <c r="V89" s="102">
        <v>86257056.980000004</v>
      </c>
    </row>
    <row r="90" spans="1:23">
      <c r="A90" s="44">
        <v>80</v>
      </c>
      <c r="B90" s="45" t="s">
        <v>128</v>
      </c>
      <c r="C90" s="45" t="s">
        <v>45</v>
      </c>
      <c r="D90" s="83">
        <v>9740429069.9099998</v>
      </c>
      <c r="E90" s="83">
        <v>84788115.430000007</v>
      </c>
      <c r="F90" s="104">
        <v>-20353111</v>
      </c>
      <c r="G90" s="83">
        <v>17398924.309999999</v>
      </c>
      <c r="H90" s="47">
        <f t="shared" si="39"/>
        <v>47036080.120000005</v>
      </c>
      <c r="I90" s="113">
        <v>10468093476.879999</v>
      </c>
      <c r="J90" s="49">
        <f t="shared" si="26"/>
        <v>4.3910677623133401E-2</v>
      </c>
      <c r="K90" s="83">
        <v>9719359421.4899998</v>
      </c>
      <c r="L90" s="49">
        <f t="shared" si="33"/>
        <v>4.3777792960807346E-2</v>
      </c>
      <c r="M90" s="49">
        <f t="shared" si="34"/>
        <v>-7.1525350537198162E-2</v>
      </c>
      <c r="N90" s="50">
        <f t="shared" si="35"/>
        <v>1.7901307643310412E-3</v>
      </c>
      <c r="O90" s="51">
        <f t="shared" si="36"/>
        <v>4.8394218260928625E-3</v>
      </c>
      <c r="P90" s="52">
        <f t="shared" si="37"/>
        <v>357.71535839747776</v>
      </c>
      <c r="Q90" s="52">
        <f t="shared" si="38"/>
        <v>1.7311355129573849</v>
      </c>
      <c r="R90" s="128">
        <v>357.44</v>
      </c>
      <c r="S90" s="54">
        <v>357.9</v>
      </c>
      <c r="T90" s="54">
        <v>10203</v>
      </c>
      <c r="U90" s="54">
        <v>29163680.129999999</v>
      </c>
      <c r="V90" s="54">
        <v>27170651.73</v>
      </c>
    </row>
    <row r="91" spans="1:23">
      <c r="A91" s="44">
        <v>81</v>
      </c>
      <c r="B91" s="45" t="s">
        <v>129</v>
      </c>
      <c r="C91" s="45" t="s">
        <v>49</v>
      </c>
      <c r="D91" s="88">
        <v>81484575035</v>
      </c>
      <c r="E91" s="59">
        <v>800275001</v>
      </c>
      <c r="F91" s="98"/>
      <c r="G91" s="59">
        <v>105664235</v>
      </c>
      <c r="H91" s="47">
        <f t="shared" si="39"/>
        <v>694610766</v>
      </c>
      <c r="I91" s="33">
        <v>95079629499</v>
      </c>
      <c r="J91" s="49">
        <f t="shared" si="26"/>
        <v>0.3988320288387327</v>
      </c>
      <c r="K91" s="59">
        <v>85836894231</v>
      </c>
      <c r="L91" s="49">
        <f t="shared" si="33"/>
        <v>0.38662525183859958</v>
      </c>
      <c r="M91" s="49">
        <f t="shared" si="34"/>
        <v>-9.7210467864698724E-2</v>
      </c>
      <c r="N91" s="50">
        <f t="shared" si="35"/>
        <v>1.2309885620470102E-3</v>
      </c>
      <c r="O91" s="51">
        <f t="shared" si="36"/>
        <v>8.0922168983735346E-3</v>
      </c>
      <c r="P91" s="52">
        <f t="shared" si="37"/>
        <v>1.9058512578625209</v>
      </c>
      <c r="Q91" s="52">
        <f t="shared" si="38"/>
        <v>1.5422561754661548E-2</v>
      </c>
      <c r="R91" s="125">
        <v>1.91</v>
      </c>
      <c r="S91" s="125">
        <v>1.91</v>
      </c>
      <c r="T91" s="125">
        <f>1326+59+15</f>
        <v>1400</v>
      </c>
      <c r="U91" s="127">
        <v>46114589466</v>
      </c>
      <c r="V91" s="127">
        <v>45038611422</v>
      </c>
    </row>
    <row r="92" spans="1:23">
      <c r="A92" s="44">
        <v>82</v>
      </c>
      <c r="B92" s="57" t="s">
        <v>241</v>
      </c>
      <c r="C92" s="57" t="s">
        <v>242</v>
      </c>
      <c r="D92" s="83">
        <v>85578733.609999999</v>
      </c>
      <c r="E92" s="83">
        <v>1004963.85</v>
      </c>
      <c r="F92" s="84">
        <v>0</v>
      </c>
      <c r="G92" s="83">
        <v>396330.9</v>
      </c>
      <c r="H92" s="47">
        <f t="shared" si="39"/>
        <v>608632.94999999995</v>
      </c>
      <c r="I92" s="114">
        <v>86424326.810000002</v>
      </c>
      <c r="J92" s="49">
        <f t="shared" si="26"/>
        <v>3.6252549346562724E-4</v>
      </c>
      <c r="K92" s="83">
        <v>87036236.349999994</v>
      </c>
      <c r="L92" s="49">
        <f t="shared" si="33"/>
        <v>3.9202731062641097E-4</v>
      </c>
      <c r="M92" s="49">
        <f t="shared" si="34"/>
        <v>7.0802928132173626E-3</v>
      </c>
      <c r="N92" s="50">
        <f t="shared" si="35"/>
        <v>4.5536309544248815E-3</v>
      </c>
      <c r="O92" s="51">
        <f t="shared" si="36"/>
        <v>6.9928684364578457E-3</v>
      </c>
      <c r="P92" s="52">
        <f t="shared" si="37"/>
        <v>107.18701061638177</v>
      </c>
      <c r="Q92" s="52">
        <f t="shared" si="38"/>
        <v>0.74954466333756797</v>
      </c>
      <c r="R92" s="102">
        <v>107.187</v>
      </c>
      <c r="S92" s="102">
        <v>107.187</v>
      </c>
      <c r="T92" s="102">
        <v>56</v>
      </c>
      <c r="U92" s="102">
        <v>814037.77</v>
      </c>
      <c r="V92" s="102">
        <v>812003.58</v>
      </c>
    </row>
    <row r="93" spans="1:23">
      <c r="A93" s="44">
        <v>83</v>
      </c>
      <c r="B93" s="55" t="s">
        <v>130</v>
      </c>
      <c r="C93" s="55" t="s">
        <v>96</v>
      </c>
      <c r="D93" s="59">
        <v>2490162893.3499999</v>
      </c>
      <c r="E93" s="59">
        <v>27370066.32</v>
      </c>
      <c r="F93" s="98"/>
      <c r="G93" s="83">
        <v>4476258.58</v>
      </c>
      <c r="H93" s="47">
        <f t="shared" si="39"/>
        <v>22893807.740000002</v>
      </c>
      <c r="I93" s="33">
        <v>2561370848.27</v>
      </c>
      <c r="J93" s="49">
        <f t="shared" si="26"/>
        <v>1.0744222894081158E-2</v>
      </c>
      <c r="K93" s="59">
        <v>2555666253.5799999</v>
      </c>
      <c r="L93" s="49">
        <f t="shared" si="33"/>
        <v>1.1511193616193661E-2</v>
      </c>
      <c r="M93" s="49">
        <f t="shared" si="34"/>
        <v>-2.2271646816988851E-3</v>
      </c>
      <c r="N93" s="50">
        <f t="shared" si="35"/>
        <v>1.7515035751360793E-3</v>
      </c>
      <c r="O93" s="51">
        <f t="shared" si="36"/>
        <v>8.9580584741572392E-3</v>
      </c>
      <c r="P93" s="52">
        <f t="shared" si="37"/>
        <v>26.97092025881831</v>
      </c>
      <c r="Q93" s="52">
        <f t="shared" si="38"/>
        <v>0.24160708078032653</v>
      </c>
      <c r="R93" s="54">
        <v>25.546900000000001</v>
      </c>
      <c r="S93" s="54">
        <v>25.546900000000001</v>
      </c>
      <c r="T93" s="74">
        <v>1313</v>
      </c>
      <c r="U93" s="102">
        <v>96493965.090000004</v>
      </c>
      <c r="V93" s="102">
        <v>94756360.890000001</v>
      </c>
    </row>
    <row r="94" spans="1:23">
      <c r="A94" s="132" t="s">
        <v>50</v>
      </c>
      <c r="B94" s="132"/>
      <c r="C94" s="132"/>
      <c r="D94" s="132"/>
      <c r="E94" s="132"/>
      <c r="F94" s="132"/>
      <c r="G94" s="132"/>
      <c r="H94" s="132"/>
      <c r="I94" s="63">
        <f>SUM(I61:I93)</f>
        <v>238395170457.69998</v>
      </c>
      <c r="J94" s="61">
        <f>(I94/$I$194)</f>
        <v>8.0534037342691017E-2</v>
      </c>
      <c r="K94" s="63">
        <f>SUM(K61:K93)</f>
        <v>222015747349.14996</v>
      </c>
      <c r="L94" s="61">
        <f>(K94/$K$194)</f>
        <v>6.8918657528024646E-2</v>
      </c>
      <c r="M94" s="61">
        <f t="shared" ref="M94" si="40">((K94-I94)/I94)</f>
        <v>-6.8707025721631912E-2</v>
      </c>
      <c r="N94" s="50"/>
      <c r="O94" s="50"/>
      <c r="P94" s="69"/>
      <c r="Q94" s="69"/>
      <c r="R94" s="64"/>
      <c r="S94" s="64"/>
      <c r="T94" s="64">
        <f>SUM(T61:T93)</f>
        <v>44966</v>
      </c>
      <c r="U94" s="64"/>
      <c r="V94" s="54"/>
    </row>
    <row r="95" spans="1:23" ht="6.9" customHeight="1">
      <c r="A95" s="139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31"/>
    </row>
    <row r="96" spans="1:23">
      <c r="A96" s="135" t="s">
        <v>131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</row>
    <row r="97" spans="1:24">
      <c r="A97" s="140" t="s">
        <v>132</v>
      </c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</row>
    <row r="98" spans="1:24">
      <c r="A98" s="72">
        <v>84</v>
      </c>
      <c r="B98" s="45" t="s">
        <v>133</v>
      </c>
      <c r="C98" s="45" t="s">
        <v>21</v>
      </c>
      <c r="D98" s="83">
        <v>2996054307.79</v>
      </c>
      <c r="E98" s="83">
        <v>18904720.07</v>
      </c>
      <c r="F98" s="83">
        <v>163591194.38999999</v>
      </c>
      <c r="G98" s="83">
        <v>5887715.8099999996</v>
      </c>
      <c r="H98" s="47">
        <f t="shared" ref="H98:H112" si="41">(E98+F98)-G98</f>
        <v>176608198.64999998</v>
      </c>
      <c r="I98" s="112">
        <v>2609188618.48</v>
      </c>
      <c r="J98" s="49">
        <f>(I98/$I$127)</f>
        <v>1.8302324154498015E-3</v>
      </c>
      <c r="K98" s="48">
        <v>2887074335.1999998</v>
      </c>
      <c r="L98" s="49">
        <f>(K98/$K$127)</f>
        <v>1.8283754386728382E-3</v>
      </c>
      <c r="M98" s="49">
        <f t="shared" ref="M98" si="42">((K98-I98)/I98)</f>
        <v>0.106502732210247</v>
      </c>
      <c r="N98" s="50">
        <f t="shared" ref="N98" si="43">(G98/K98)</f>
        <v>2.0393364099480773E-3</v>
      </c>
      <c r="O98" s="51">
        <f t="shared" ref="O98" si="44">H98/K98</f>
        <v>6.1172030278799729E-2</v>
      </c>
      <c r="P98" s="52">
        <f t="shared" ref="P98" si="45">K98/V98</f>
        <v>176249.39319757125</v>
      </c>
      <c r="Q98" s="52">
        <f t="shared" ref="Q98" si="46">H98/V98</f>
        <v>10781.533217301907</v>
      </c>
      <c r="R98" s="54">
        <f>1610.917*109.3895</f>
        <v>176217.4051715</v>
      </c>
      <c r="S98" s="54">
        <f>1610.917*109.3895</f>
        <v>176217.4051715</v>
      </c>
      <c r="T98" s="54">
        <v>242</v>
      </c>
      <c r="U98" s="54">
        <v>16003.32</v>
      </c>
      <c r="V98" s="54">
        <v>16380.62</v>
      </c>
    </row>
    <row r="99" spans="1:24">
      <c r="A99" s="72">
        <v>85</v>
      </c>
      <c r="B99" s="57" t="s">
        <v>216</v>
      </c>
      <c r="C99" s="58" t="s">
        <v>54</v>
      </c>
      <c r="D99" s="83">
        <f>964783.46*1610.917</f>
        <v>1554186077.0328197</v>
      </c>
      <c r="E99" s="83">
        <f>964783.46*1610.917</f>
        <v>1554186077.0328197</v>
      </c>
      <c r="F99" s="83"/>
      <c r="G99" s="83">
        <f>1468.36*1610.917</f>
        <v>2365406.0861199996</v>
      </c>
      <c r="H99" s="47">
        <f t="shared" si="41"/>
        <v>1551820670.9466999</v>
      </c>
      <c r="I99" s="112">
        <f>983917.44*1470.19</f>
        <v>1446545581.1136</v>
      </c>
      <c r="J99" s="49">
        <f t="shared" ref="J99:J112" si="47">(I99/$I$127)</f>
        <v>1.0146888554657685E-3</v>
      </c>
      <c r="K99" s="48">
        <f>957445.1*1610.917</f>
        <v>1542364588.1566999</v>
      </c>
      <c r="L99" s="49">
        <f t="shared" ref="L99:L112" si="48">(K99/$K$127)</f>
        <v>9.7677482567108979E-4</v>
      </c>
      <c r="M99" s="49"/>
      <c r="N99" s="50">
        <f t="shared" ref="N99:N112" si="49">(G99/K99)</f>
        <v>1.5336231811098097E-3</v>
      </c>
      <c r="O99" s="51">
        <f t="shared" ref="O99:O112" si="50">H99/K99</f>
        <v>1.0061308998291389</v>
      </c>
      <c r="P99" s="52">
        <f t="shared" ref="P99:P112" si="51">K99/V99</f>
        <v>165952.72091206154</v>
      </c>
      <c r="Q99" s="52">
        <f t="shared" ref="Q99:Q112" si="52">H99/V99</f>
        <v>166970.16042034645</v>
      </c>
      <c r="R99" s="54">
        <f>100*1610.917</f>
        <v>161091.69999999998</v>
      </c>
      <c r="S99" s="54">
        <f>100*1610.917</f>
        <v>161091.69999999998</v>
      </c>
      <c r="T99" s="54">
        <v>15</v>
      </c>
      <c r="U99" s="54">
        <v>9609.7999999999993</v>
      </c>
      <c r="V99" s="54">
        <v>9294</v>
      </c>
    </row>
    <row r="100" spans="1:24" ht="12.9" customHeight="1">
      <c r="A100" s="72">
        <v>86</v>
      </c>
      <c r="B100" s="45" t="s">
        <v>134</v>
      </c>
      <c r="C100" s="55" t="s">
        <v>25</v>
      </c>
      <c r="D100" s="53">
        <f>8526628.27*1610.917</f>
        <v>13735690432.823589</v>
      </c>
      <c r="E100" s="48">
        <f>80026.03*1610.917</f>
        <v>128915292.16950999</v>
      </c>
      <c r="F100" s="48">
        <f>( 270)*1610.917</f>
        <v>434947.58999999997</v>
      </c>
      <c r="G100" s="48">
        <f>17898.9*1610.917</f>
        <v>28833642.291300002</v>
      </c>
      <c r="H100" s="47">
        <f t="shared" si="41"/>
        <v>100516597.46821</v>
      </c>
      <c r="I100" s="112">
        <f>10883968*1470.19</f>
        <v>16001500913.92</v>
      </c>
      <c r="J100" s="49">
        <f t="shared" si="47"/>
        <v>1.1224357434751893E-2</v>
      </c>
      <c r="K100" s="48">
        <f>10951958*1610.917</f>
        <v>17642695325.486</v>
      </c>
      <c r="L100" s="49">
        <f t="shared" si="48"/>
        <v>1.1173065553531057E-2</v>
      </c>
      <c r="M100" s="49">
        <f t="shared" ref="M100:M112" si="53">((K100-I100)/I100)</f>
        <v>0.10256502939285495</v>
      </c>
      <c r="N100" s="50">
        <f t="shared" si="49"/>
        <v>1.6343105041125982E-3</v>
      </c>
      <c r="O100" s="51">
        <f t="shared" si="50"/>
        <v>5.6973492776360175E-3</v>
      </c>
      <c r="P100" s="52">
        <f t="shared" si="51"/>
        <v>1829.5039727547178</v>
      </c>
      <c r="Q100" s="52">
        <f t="shared" si="52"/>
        <v>10.423323137606314</v>
      </c>
      <c r="R100" s="54">
        <f>1.1357*1610.917</f>
        <v>1829.5184368999999</v>
      </c>
      <c r="S100" s="54">
        <f>1.1357*1610.917</f>
        <v>1829.5184368999999</v>
      </c>
      <c r="T100" s="54">
        <v>309</v>
      </c>
      <c r="U100" s="54">
        <v>9627419</v>
      </c>
      <c r="V100" s="54">
        <v>9643431</v>
      </c>
    </row>
    <row r="101" spans="1:24" ht="12.9" customHeight="1">
      <c r="A101" s="72">
        <v>87</v>
      </c>
      <c r="B101" s="57" t="s">
        <v>217</v>
      </c>
      <c r="C101" s="58" t="s">
        <v>104</v>
      </c>
      <c r="D101" s="53">
        <f>1806268.21*1610.917</f>
        <v>2909748166.0485697</v>
      </c>
      <c r="E101" s="48">
        <f>13515.3*1610.917</f>
        <v>21772026.530099999</v>
      </c>
      <c r="F101" s="48">
        <v>0</v>
      </c>
      <c r="G101" s="48">
        <f>2560.21*1610.917</f>
        <v>4124285.8125700001</v>
      </c>
      <c r="H101" s="47">
        <f t="shared" si="41"/>
        <v>17647740.717529997</v>
      </c>
      <c r="I101" s="112">
        <f>1744917.89*1470.19</f>
        <v>2565360832.6991</v>
      </c>
      <c r="J101" s="49">
        <f t="shared" si="47"/>
        <v>1.7994891285653437E-3</v>
      </c>
      <c r="K101" s="48">
        <f>1795239.64*1610.917</f>
        <v>2891982055.1498795</v>
      </c>
      <c r="L101" s="49">
        <f t="shared" si="48"/>
        <v>1.8314834828637484E-3</v>
      </c>
      <c r="M101" s="49"/>
      <c r="N101" s="50">
        <f t="shared" si="49"/>
        <v>1.4261104439516501E-3</v>
      </c>
      <c r="O101" s="51">
        <f t="shared" si="50"/>
        <v>6.1022995236446539E-3</v>
      </c>
      <c r="P101" s="52">
        <f t="shared" si="51"/>
        <v>1663.9307178849119</v>
      </c>
      <c r="Q101" s="52">
        <f t="shared" si="52"/>
        <v>10.153803627126806</v>
      </c>
      <c r="R101" s="54">
        <f>1.0329*1610.917</f>
        <v>1663.9161692999999</v>
      </c>
      <c r="S101" s="54">
        <f>1.0329*1610.917</f>
        <v>1663.9161692999999</v>
      </c>
      <c r="T101" s="54">
        <v>223</v>
      </c>
      <c r="U101" s="54">
        <v>1699875.96</v>
      </c>
      <c r="V101" s="54">
        <v>1738042.35</v>
      </c>
    </row>
    <row r="102" spans="1:24" ht="12.9" customHeight="1">
      <c r="A102" s="72">
        <v>88</v>
      </c>
      <c r="B102" s="57" t="s">
        <v>218</v>
      </c>
      <c r="C102" s="58" t="s">
        <v>219</v>
      </c>
      <c r="D102" s="53">
        <f>389959.41*1610.917</f>
        <v>628192242.87896991</v>
      </c>
      <c r="E102" s="48">
        <f>7276.42*1610.917</f>
        <v>11721708.677139999</v>
      </c>
      <c r="F102" s="48">
        <v>0</v>
      </c>
      <c r="G102" s="48">
        <f>864.73*1610.917</f>
        <v>1393008.2574099998</v>
      </c>
      <c r="H102" s="47">
        <f t="shared" si="41"/>
        <v>10328700.41973</v>
      </c>
      <c r="I102" s="112">
        <f>386629.18*1470.19</f>
        <v>568418354.14419997</v>
      </c>
      <c r="J102" s="49">
        <f t="shared" si="47"/>
        <v>3.9872077086454389E-4</v>
      </c>
      <c r="K102" s="48">
        <f>381890.65*1610.917</f>
        <v>615194140.22605002</v>
      </c>
      <c r="L102" s="49">
        <f t="shared" si="48"/>
        <v>3.896005871032911E-4</v>
      </c>
      <c r="M102" s="49"/>
      <c r="N102" s="50">
        <f t="shared" si="49"/>
        <v>2.264339281414719E-3</v>
      </c>
      <c r="O102" s="51">
        <f t="shared" si="50"/>
        <v>1.6789334852790976E-2</v>
      </c>
      <c r="P102" s="52">
        <f t="shared" si="51"/>
        <v>1679.8034267935402</v>
      </c>
      <c r="Q102" s="52">
        <f t="shared" si="52"/>
        <v>28.202782219302499</v>
      </c>
      <c r="R102" s="54">
        <v>1610.9169999999999</v>
      </c>
      <c r="S102" s="54">
        <v>1610.9169999999999</v>
      </c>
      <c r="T102" s="54">
        <v>15</v>
      </c>
      <c r="U102" s="54">
        <v>366229.84</v>
      </c>
      <c r="V102" s="54">
        <v>366229.84</v>
      </c>
    </row>
    <row r="103" spans="1:24" ht="12.9" customHeight="1">
      <c r="A103" s="72">
        <v>89</v>
      </c>
      <c r="B103" s="57" t="s">
        <v>220</v>
      </c>
      <c r="C103" s="58" t="s">
        <v>47</v>
      </c>
      <c r="D103" s="53">
        <f>376419.24*1610.917</f>
        <v>606380152.84307992</v>
      </c>
      <c r="E103" s="48">
        <f>4062.02*1610.917</f>
        <v>6543577.0723399995</v>
      </c>
      <c r="F103" s="48">
        <v>0</v>
      </c>
      <c r="G103" s="48">
        <f>6207.83*1610.917</f>
        <v>10000298.880109999</v>
      </c>
      <c r="H103" s="47">
        <f t="shared" si="41"/>
        <v>-3456721.8077699998</v>
      </c>
      <c r="I103" s="112">
        <f>473952.27*1470.19</f>
        <v>696799887.83130002</v>
      </c>
      <c r="J103" s="49">
        <f t="shared" si="47"/>
        <v>4.8877483703480538E-4</v>
      </c>
      <c r="K103" s="48">
        <f>506742.26*1610.917</f>
        <v>816319721.25241995</v>
      </c>
      <c r="L103" s="49">
        <f t="shared" si="48"/>
        <v>5.1697280885522746E-4</v>
      </c>
      <c r="M103" s="49"/>
      <c r="N103" s="50">
        <f t="shared" si="49"/>
        <v>1.2250468314997057E-2</v>
      </c>
      <c r="O103" s="51">
        <f t="shared" si="50"/>
        <v>-4.2345195366180824E-3</v>
      </c>
      <c r="P103" s="52">
        <f t="shared" si="51"/>
        <v>1840.3199956959238</v>
      </c>
      <c r="Q103" s="52">
        <f t="shared" si="52"/>
        <v>-7.7928709754032957</v>
      </c>
      <c r="R103" s="54">
        <f>1.2015*1610.917</f>
        <v>1935.5167755</v>
      </c>
      <c r="S103" s="54">
        <f>1.2015*1610.917</f>
        <v>1935.5167755</v>
      </c>
      <c r="T103" s="54">
        <v>35</v>
      </c>
      <c r="U103" s="54">
        <v>433495.55</v>
      </c>
      <c r="V103" s="54">
        <v>443574.88</v>
      </c>
    </row>
    <row r="104" spans="1:24" ht="12.9" customHeight="1">
      <c r="A104" s="72">
        <v>90</v>
      </c>
      <c r="B104" s="57" t="s">
        <v>221</v>
      </c>
      <c r="C104" s="58" t="s">
        <v>172</v>
      </c>
      <c r="D104" s="53">
        <f>331507.02*1610.917</f>
        <v>534030294.13734001</v>
      </c>
      <c r="E104" s="48">
        <f>2603.17*1610.917</f>
        <v>4193490.8068900001</v>
      </c>
      <c r="F104" s="48">
        <v>0</v>
      </c>
      <c r="G104" s="48">
        <f>928.88*1610.917</f>
        <v>1496348.58296</v>
      </c>
      <c r="H104" s="47">
        <f t="shared" si="41"/>
        <v>2697142.2239300003</v>
      </c>
      <c r="I104" s="112">
        <f>427571.06*1470.19</f>
        <v>628610696.70140004</v>
      </c>
      <c r="J104" s="49">
        <f t="shared" si="47"/>
        <v>4.4094308309209913E-4</v>
      </c>
      <c r="K104" s="48">
        <f>433289.72*1610.917</f>
        <v>697993775.87323987</v>
      </c>
      <c r="L104" s="49">
        <f t="shared" si="48"/>
        <v>4.4203734576329787E-4</v>
      </c>
      <c r="M104" s="49"/>
      <c r="N104" s="50">
        <f t="shared" si="49"/>
        <v>2.1437849944835989E-3</v>
      </c>
      <c r="O104" s="51">
        <f t="shared" si="50"/>
        <v>3.8641350641783066E-3</v>
      </c>
      <c r="P104" s="52">
        <f t="shared" si="51"/>
        <v>170159.37978382249</v>
      </c>
      <c r="Q104" s="52">
        <f t="shared" si="52"/>
        <v>657.51882592150173</v>
      </c>
      <c r="R104" s="54">
        <f>105.33*1610.917</f>
        <v>169677.88760999998</v>
      </c>
      <c r="S104" s="54">
        <f>105.64*1610.917</f>
        <v>170177.27187999999</v>
      </c>
      <c r="T104" s="54">
        <v>44</v>
      </c>
      <c r="U104" s="54">
        <v>3961.39</v>
      </c>
      <c r="V104" s="54">
        <v>4102</v>
      </c>
    </row>
    <row r="105" spans="1:24" ht="12" customHeight="1">
      <c r="A105" s="72">
        <v>91</v>
      </c>
      <c r="B105" s="45" t="s">
        <v>135</v>
      </c>
      <c r="C105" s="55" t="s">
        <v>70</v>
      </c>
      <c r="D105" s="83">
        <f>2974364.84*1610.917</f>
        <v>4791454884.9582796</v>
      </c>
      <c r="E105" s="48">
        <f>20570.76*1610.917</f>
        <v>33137786.986919995</v>
      </c>
      <c r="F105" s="48"/>
      <c r="G105" s="48">
        <f>5082.25*1610.917</f>
        <v>8187082.92325</v>
      </c>
      <c r="H105" s="47">
        <f t="shared" si="41"/>
        <v>24950704.063669994</v>
      </c>
      <c r="I105" s="113">
        <f>2917227.36*1470.19</f>
        <v>4288878492.3983998</v>
      </c>
      <c r="J105" s="49">
        <f t="shared" si="47"/>
        <v>3.0084618594135555E-3</v>
      </c>
      <c r="K105" s="83">
        <f>3022592.91*1610.917</f>
        <v>4869146302.7984695</v>
      </c>
      <c r="L105" s="49">
        <f t="shared" si="48"/>
        <v>3.0836156169580086E-3</v>
      </c>
      <c r="M105" s="49">
        <f t="shared" si="53"/>
        <v>0.13529593142555454</v>
      </c>
      <c r="N105" s="50">
        <f t="shared" si="49"/>
        <v>1.6814206051982039E-3</v>
      </c>
      <c r="O105" s="51">
        <f t="shared" si="50"/>
        <v>5.1242461228429197E-3</v>
      </c>
      <c r="P105" s="52">
        <f t="shared" si="51"/>
        <v>173776.31469657581</v>
      </c>
      <c r="Q105" s="52">
        <f t="shared" si="52"/>
        <v>890.47260682585977</v>
      </c>
      <c r="R105" s="80">
        <f>107.87*1610.917</f>
        <v>173769.61679</v>
      </c>
      <c r="S105" s="80">
        <f>107.87*1610.917</f>
        <v>173769.61679</v>
      </c>
      <c r="T105" s="54">
        <v>51</v>
      </c>
      <c r="U105" s="54">
        <v>27183.8</v>
      </c>
      <c r="V105" s="102">
        <v>28019.62</v>
      </c>
    </row>
    <row r="106" spans="1:24" ht="12" customHeight="1">
      <c r="A106" s="72">
        <v>92</v>
      </c>
      <c r="B106" s="45" t="s">
        <v>136</v>
      </c>
      <c r="C106" s="45" t="s">
        <v>137</v>
      </c>
      <c r="D106" s="83">
        <v>56962494524.220001</v>
      </c>
      <c r="E106" s="83">
        <v>407372238.88</v>
      </c>
      <c r="F106" s="83"/>
      <c r="G106" s="83">
        <v>92040296.829999998</v>
      </c>
      <c r="H106" s="47">
        <f t="shared" si="41"/>
        <v>315331942.05000001</v>
      </c>
      <c r="I106" s="33">
        <v>51614470674.790001</v>
      </c>
      <c r="J106" s="49">
        <f t="shared" si="47"/>
        <v>3.6205307913046131E-2</v>
      </c>
      <c r="K106" s="59">
        <v>56646559025.910004</v>
      </c>
      <c r="L106" s="49">
        <f t="shared" si="48"/>
        <v>3.5874094388750895E-2</v>
      </c>
      <c r="M106" s="49">
        <f t="shared" si="53"/>
        <v>9.7493750983632971E-2</v>
      </c>
      <c r="N106" s="50">
        <f t="shared" si="49"/>
        <v>1.6248170835566726E-3</v>
      </c>
      <c r="O106" s="51">
        <f t="shared" si="50"/>
        <v>5.5666566067281847E-3</v>
      </c>
      <c r="P106" s="52">
        <f t="shared" si="51"/>
        <v>208652.93375340258</v>
      </c>
      <c r="Q106" s="52">
        <f t="shared" si="52"/>
        <v>1161.4992321915968</v>
      </c>
      <c r="R106" s="74">
        <f>129.5*1610.917</f>
        <v>208613.75149999998</v>
      </c>
      <c r="S106" s="74">
        <f>129.5*1610.917</f>
        <v>208613.75149999998</v>
      </c>
      <c r="T106" s="54">
        <v>2151</v>
      </c>
      <c r="U106" s="54">
        <v>270116</v>
      </c>
      <c r="V106" s="54">
        <v>271487</v>
      </c>
    </row>
    <row r="107" spans="1:24" ht="12.6" customHeight="1">
      <c r="A107" s="72">
        <v>93</v>
      </c>
      <c r="B107" s="45" t="s">
        <v>138</v>
      </c>
      <c r="C107" s="45" t="s">
        <v>137</v>
      </c>
      <c r="D107" s="83">
        <v>86639881989.690002</v>
      </c>
      <c r="E107" s="46">
        <v>674478557.58000004</v>
      </c>
      <c r="F107" s="46"/>
      <c r="G107" s="46">
        <v>138998826.97</v>
      </c>
      <c r="H107" s="47">
        <f t="shared" si="41"/>
        <v>535479730.61000001</v>
      </c>
      <c r="I107" s="33">
        <v>77209851134.809998</v>
      </c>
      <c r="J107" s="49">
        <f t="shared" si="47"/>
        <v>5.4159354880715799E-2</v>
      </c>
      <c r="K107" s="59">
        <v>86396900971.869995</v>
      </c>
      <c r="L107" s="49">
        <f t="shared" si="48"/>
        <v>5.4714895902904973E-2</v>
      </c>
      <c r="M107" s="49">
        <f t="shared" si="53"/>
        <v>0.1189880527164755</v>
      </c>
      <c r="N107" s="50">
        <f t="shared" si="49"/>
        <v>1.6088404260617714E-3</v>
      </c>
      <c r="O107" s="51">
        <f t="shared" si="50"/>
        <v>6.1979043760417643E-3</v>
      </c>
      <c r="P107" s="52">
        <f t="shared" si="51"/>
        <v>190239.52758103085</v>
      </c>
      <c r="Q107" s="52">
        <f t="shared" si="52"/>
        <v>1179.0864004905891</v>
      </c>
      <c r="R107" s="74">
        <f>118.07*1610.917</f>
        <v>190200.97018999999</v>
      </c>
      <c r="S107" s="74">
        <f>118.07*1610.917</f>
        <v>190200.97018999999</v>
      </c>
      <c r="T107" s="54">
        <v>458</v>
      </c>
      <c r="U107" s="74">
        <v>443670</v>
      </c>
      <c r="V107" s="74">
        <v>454148</v>
      </c>
    </row>
    <row r="108" spans="1:24" s="23" customFormat="1">
      <c r="A108" s="72">
        <v>94</v>
      </c>
      <c r="B108" s="57" t="s">
        <v>139</v>
      </c>
      <c r="C108" s="58" t="s">
        <v>140</v>
      </c>
      <c r="D108" s="105">
        <f>102258.45*1610.917</f>
        <v>164729875.49864998</v>
      </c>
      <c r="E108" s="46">
        <f>1865.8*1610.917</f>
        <v>3005648.9386</v>
      </c>
      <c r="F108" s="46"/>
      <c r="G108" s="46">
        <f>9170.81*1610.917</f>
        <v>14773413.732769998</v>
      </c>
      <c r="H108" s="47">
        <f t="shared" si="41"/>
        <v>-11767764.794169998</v>
      </c>
      <c r="I108" s="112">
        <f>97039.09*1470.19</f>
        <v>142665899.72710001</v>
      </c>
      <c r="J108" s="49">
        <f t="shared" si="47"/>
        <v>1.0007392812098109E-4</v>
      </c>
      <c r="K108" s="48">
        <f>97970.08*1610.917</f>
        <v>157821667.36335999</v>
      </c>
      <c r="L108" s="49">
        <f t="shared" si="48"/>
        <v>9.9947984289629481E-5</v>
      </c>
      <c r="M108" s="49">
        <f t="shared" si="53"/>
        <v>0.10623258722126902</v>
      </c>
      <c r="N108" s="50">
        <f t="shared" si="49"/>
        <v>9.3608273056427022E-2</v>
      </c>
      <c r="O108" s="51">
        <f t="shared" si="50"/>
        <v>-7.4563683116314686E-2</v>
      </c>
      <c r="P108" s="52">
        <f t="shared" si="51"/>
        <v>182587.88856883705</v>
      </c>
      <c r="Q108" s="52">
        <f t="shared" si="52"/>
        <v>-13614.425464123742</v>
      </c>
      <c r="R108" s="74">
        <f>113.344*1610.917</f>
        <v>182587.77644799999</v>
      </c>
      <c r="S108" s="74">
        <f>113.344*1610.917</f>
        <v>182587.77644799999</v>
      </c>
      <c r="T108" s="54">
        <v>5</v>
      </c>
      <c r="U108" s="54">
        <v>864.36</v>
      </c>
      <c r="V108" s="54">
        <v>864.36</v>
      </c>
      <c r="W108" s="25"/>
      <c r="X108" s="25"/>
    </row>
    <row r="109" spans="1:24">
      <c r="A109" s="72">
        <v>95</v>
      </c>
      <c r="B109" s="45" t="s">
        <v>141</v>
      </c>
      <c r="C109" s="45" t="s">
        <v>142</v>
      </c>
      <c r="D109" s="83">
        <f>10334350.05*1610.917</f>
        <v>16647780179.49585</v>
      </c>
      <c r="E109" s="47">
        <f>62982.5*1610.917</f>
        <v>101459579.9525</v>
      </c>
      <c r="F109" s="47"/>
      <c r="G109" s="47">
        <f>16915.9*1610.917</f>
        <v>27250110.8803</v>
      </c>
      <c r="H109" s="47">
        <f t="shared" si="41"/>
        <v>74209469.0722</v>
      </c>
      <c r="I109" s="113">
        <f>10216766.7*1470.19</f>
        <v>15020588234.673</v>
      </c>
      <c r="J109" s="49">
        <f t="shared" si="47"/>
        <v>1.0536289822633672E-2</v>
      </c>
      <c r="K109" s="83">
        <f>10296146.24*1610.917</f>
        <v>16586237012.502079</v>
      </c>
      <c r="L109" s="49">
        <f t="shared" si="48"/>
        <v>1.0504013701318277E-2</v>
      </c>
      <c r="M109" s="49">
        <f t="shared" si="53"/>
        <v>0.10423351957781453</v>
      </c>
      <c r="N109" s="50">
        <f t="shared" si="49"/>
        <v>1.6429350949078985E-3</v>
      </c>
      <c r="O109" s="51">
        <f t="shared" si="50"/>
        <v>4.4741594501672508E-3</v>
      </c>
      <c r="P109" s="52">
        <f t="shared" si="51"/>
        <v>2188.9613064454629</v>
      </c>
      <c r="Q109" s="52">
        <f t="shared" si="52"/>
        <v>9.7937619152834188</v>
      </c>
      <c r="R109" s="74">
        <f>1.36*1610.917</f>
        <v>2190.8471199999999</v>
      </c>
      <c r="S109" s="74">
        <f>1.36*1610.917</f>
        <v>2190.8471199999999</v>
      </c>
      <c r="T109" s="54">
        <v>112</v>
      </c>
      <c r="U109" s="54">
        <v>7546046</v>
      </c>
      <c r="V109" s="54">
        <v>7577218</v>
      </c>
    </row>
    <row r="110" spans="1:24">
      <c r="A110" s="72">
        <v>96</v>
      </c>
      <c r="B110" s="45" t="s">
        <v>143</v>
      </c>
      <c r="C110" s="45" t="s">
        <v>49</v>
      </c>
      <c r="D110" s="53">
        <f>135473775*1610.917</f>
        <v>218237007201.67499</v>
      </c>
      <c r="E110" s="48">
        <f>1125641*1610.917</f>
        <v>1813314222.7969999</v>
      </c>
      <c r="F110" s="48"/>
      <c r="G110" s="76">
        <f>162372*1610.917</f>
        <v>261567815.12399998</v>
      </c>
      <c r="H110" s="47">
        <f t="shared" si="41"/>
        <v>1551746407.6729999</v>
      </c>
      <c r="I110" s="112">
        <f>148659865*1470.19</f>
        <v>218558246924.35001</v>
      </c>
      <c r="J110" s="49">
        <f t="shared" si="47"/>
        <v>0.15330911125078306</v>
      </c>
      <c r="K110" s="48">
        <f>144577031*1610.917</f>
        <v>232901597047.427</v>
      </c>
      <c r="L110" s="49">
        <f t="shared" si="48"/>
        <v>0.14749587652709151</v>
      </c>
      <c r="M110" s="49">
        <f t="shared" si="53"/>
        <v>6.5627128351014308E-2</v>
      </c>
      <c r="N110" s="50">
        <f t="shared" si="49"/>
        <v>1.1230829605291866E-3</v>
      </c>
      <c r="O110" s="51">
        <f t="shared" si="50"/>
        <v>6.6626696739954493E-3</v>
      </c>
      <c r="P110" s="52">
        <f t="shared" si="51"/>
        <v>189684.14999639773</v>
      </c>
      <c r="Q110" s="52">
        <f t="shared" si="52"/>
        <v>1263.8028338186032</v>
      </c>
      <c r="R110" s="80">
        <f>118*1610.917</f>
        <v>190088.20599999998</v>
      </c>
      <c r="S110" s="80">
        <f>1610.917*118</f>
        <v>190088.20599999998</v>
      </c>
      <c r="T110" s="54">
        <v>1003</v>
      </c>
      <c r="U110" s="54">
        <v>1228436</v>
      </c>
      <c r="V110" s="54">
        <v>1227839</v>
      </c>
    </row>
    <row r="111" spans="1:24" ht="13.8" customHeight="1">
      <c r="A111" s="72">
        <v>97</v>
      </c>
      <c r="B111" s="45" t="s">
        <v>144</v>
      </c>
      <c r="C111" s="45" t="s">
        <v>145</v>
      </c>
      <c r="D111" s="106">
        <v>16688091435.379999</v>
      </c>
      <c r="E111" s="48">
        <v>188051416.97</v>
      </c>
      <c r="F111" s="48">
        <v>0</v>
      </c>
      <c r="G111" s="83">
        <v>51013604.630000003</v>
      </c>
      <c r="H111" s="47">
        <f t="shared" si="41"/>
        <v>137037812.34</v>
      </c>
      <c r="I111" s="112">
        <v>17063880797.360001</v>
      </c>
      <c r="J111" s="49">
        <f t="shared" si="47"/>
        <v>1.1969570749888303E-2</v>
      </c>
      <c r="K111" s="48">
        <v>22566403317.5</v>
      </c>
      <c r="L111" s="49">
        <f t="shared" si="48"/>
        <v>1.4291234923136819E-2</v>
      </c>
      <c r="M111" s="49">
        <f t="shared" si="53"/>
        <v>0.32246606651116022</v>
      </c>
      <c r="N111" s="50">
        <f t="shared" si="49"/>
        <v>2.260599702675681E-3</v>
      </c>
      <c r="O111" s="51">
        <f t="shared" si="50"/>
        <v>6.0726474844898602E-3</v>
      </c>
      <c r="P111" s="52">
        <f t="shared" si="51"/>
        <v>166020.99185212434</v>
      </c>
      <c r="Q111" s="52">
        <f t="shared" si="52"/>
        <v>1008.1869585433144</v>
      </c>
      <c r="R111" s="80">
        <v>166021.21</v>
      </c>
      <c r="S111" s="80">
        <v>166021.21</v>
      </c>
      <c r="T111" s="54">
        <v>368</v>
      </c>
      <c r="U111" s="54">
        <v>110193</v>
      </c>
      <c r="V111" s="54">
        <v>135925</v>
      </c>
    </row>
    <row r="112" spans="1:24">
      <c r="A112" s="72">
        <v>98</v>
      </c>
      <c r="B112" s="45" t="s">
        <v>146</v>
      </c>
      <c r="C112" s="45" t="s">
        <v>41</v>
      </c>
      <c r="D112" s="53">
        <f>2029799.1*1610.917</f>
        <v>3269837876.7747002</v>
      </c>
      <c r="E112" s="53">
        <f>30822.32*1610.917</f>
        <v>49652199.267439999</v>
      </c>
      <c r="F112" s="53">
        <v>0</v>
      </c>
      <c r="G112" s="53">
        <f>2119.79*1610.917</f>
        <v>3414805.74743</v>
      </c>
      <c r="H112" s="47">
        <f t="shared" si="41"/>
        <v>46237393.520010002</v>
      </c>
      <c r="I112" s="112">
        <f>1979984.03*1470.19</f>
        <v>2910952721.0657001</v>
      </c>
      <c r="J112" s="49">
        <f t="shared" si="47"/>
        <v>2.0419068181586454E-3</v>
      </c>
      <c r="K112" s="48">
        <f>2182338.16*1610.917</f>
        <v>3515565641.6927199</v>
      </c>
      <c r="L112" s="49">
        <f t="shared" si="48"/>
        <v>2.2263970809285748E-3</v>
      </c>
      <c r="M112" s="49">
        <f t="shared" si="53"/>
        <v>0.20770276214093614</v>
      </c>
      <c r="N112" s="50">
        <f t="shared" si="49"/>
        <v>9.7133892393651776E-4</v>
      </c>
      <c r="O112" s="51">
        <f t="shared" si="50"/>
        <v>1.315219177581535E-2</v>
      </c>
      <c r="P112" s="52">
        <f t="shared" si="51"/>
        <v>246819.98461696893</v>
      </c>
      <c r="Q112" s="52">
        <f t="shared" si="52"/>
        <v>3246.2237717861694</v>
      </c>
      <c r="R112" s="102">
        <f>135.03*1610.917</f>
        <v>217522.12250999999</v>
      </c>
      <c r="S112" s="80">
        <f>138.77*1610.917</f>
        <v>223546.95209000001</v>
      </c>
      <c r="T112" s="54">
        <v>47</v>
      </c>
      <c r="U112" s="54">
        <v>14129.44</v>
      </c>
      <c r="V112" s="102">
        <v>14243.44</v>
      </c>
    </row>
    <row r="113" spans="1:22" ht="8.1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</row>
    <row r="114" spans="1:22">
      <c r="A114" s="140" t="s">
        <v>147</v>
      </c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</row>
    <row r="115" spans="1:22">
      <c r="A115" s="44">
        <v>99</v>
      </c>
      <c r="B115" s="45" t="s">
        <v>148</v>
      </c>
      <c r="C115" s="55" t="s">
        <v>102</v>
      </c>
      <c r="D115" s="90">
        <f>921828.15*1610.917</f>
        <v>1484988637.9135499</v>
      </c>
      <c r="E115" s="53">
        <f>7900.44*1610.917</f>
        <v>12726953.103479998</v>
      </c>
      <c r="F115" s="53"/>
      <c r="G115" s="53">
        <f>1786.99*1610.917</f>
        <v>2878692.5698299999</v>
      </c>
      <c r="H115" s="47">
        <f t="shared" ref="H115:H126" si="54">(E115+F115)-G115</f>
        <v>9848260.5336499978</v>
      </c>
      <c r="I115" s="35">
        <f>1092746.86*1470.19</f>
        <v>1606545506.1034002</v>
      </c>
      <c r="J115" s="49">
        <f>(I115/$I$127)</f>
        <v>1.1269218489380699E-3</v>
      </c>
      <c r="K115" s="53">
        <v>1077072.02</v>
      </c>
      <c r="L115" s="49">
        <f>(K115/$K$127)</f>
        <v>6.8210645047811653E-7</v>
      </c>
      <c r="M115" s="49">
        <f t="shared" ref="M115" si="55">((K115-I115)/I115)</f>
        <v>-0.99932957266637756</v>
      </c>
      <c r="N115" s="50">
        <f t="shared" ref="N115" si="56">(G115/K115)</f>
        <v>2.6727020258403891</v>
      </c>
      <c r="O115" s="51">
        <f t="shared" ref="O115" si="57">H115/K115</f>
        <v>9.1435487606947561</v>
      </c>
      <c r="P115" s="65">
        <f t="shared" ref="P115" si="58">K115/V115</f>
        <v>100.59512655272252</v>
      </c>
      <c r="Q115" s="65">
        <f t="shared" ref="Q115" si="59">H115/V115</f>
        <v>919.79644472307814</v>
      </c>
      <c r="R115" s="54">
        <f>104.69*1610.917</f>
        <v>168646.90072999999</v>
      </c>
      <c r="S115" s="54">
        <f>104.69*1610.917</f>
        <v>168646.90072999999</v>
      </c>
      <c r="T115" s="54">
        <v>21</v>
      </c>
      <c r="U115" s="54">
        <v>10447</v>
      </c>
      <c r="V115" s="102">
        <v>10707</v>
      </c>
    </row>
    <row r="116" spans="1:22">
      <c r="A116" s="44">
        <v>100</v>
      </c>
      <c r="B116" s="45" t="s">
        <v>149</v>
      </c>
      <c r="C116" s="55" t="s">
        <v>27</v>
      </c>
      <c r="D116" s="53">
        <f>6447114.01*1610.917</f>
        <v>10385765559.647169</v>
      </c>
      <c r="E116" s="53">
        <f>52739.45*1610.917</f>
        <v>84958876.575649992</v>
      </c>
      <c r="F116" s="53">
        <v>0</v>
      </c>
      <c r="G116" s="53">
        <f>10255.39*1610.917</f>
        <v>16520582.092629999</v>
      </c>
      <c r="H116" s="47">
        <f t="shared" si="54"/>
        <v>68438294.483019993</v>
      </c>
      <c r="I116" s="35">
        <f>8745924.8*1470.19</f>
        <v>12858171181.712002</v>
      </c>
      <c r="J116" s="49">
        <f t="shared" ref="J116:J126" si="60">(I116/$I$127)</f>
        <v>9.0194482428339537E-3</v>
      </c>
      <c r="K116" s="53">
        <f>9134005.89*1610.917</f>
        <v>14714125366.30113</v>
      </c>
      <c r="L116" s="49">
        <f t="shared" ref="L116:L126" si="61">(K116/$K$127)</f>
        <v>9.3184110617762408E-3</v>
      </c>
      <c r="M116" s="49">
        <f t="shared" ref="M116:M126" si="62">((K116-I116)/I116)</f>
        <v>0.14434044767025861</v>
      </c>
      <c r="N116" s="50">
        <f t="shared" ref="N116:N126" si="63">(G116/K116)</f>
        <v>1.1227702416119199E-3</v>
      </c>
      <c r="O116" s="51">
        <f t="shared" ref="O116:O126" si="64">H116/K116</f>
        <v>4.651196913121324E-3</v>
      </c>
      <c r="P116" s="65">
        <f t="shared" ref="P116:P126" si="65">K116/V116</f>
        <v>211650.5084416552</v>
      </c>
      <c r="Q116" s="65">
        <f t="shared" ref="Q116:Q126" si="66">H116/V116</f>
        <v>984.42819152438551</v>
      </c>
      <c r="R116" s="54">
        <f>131.34*1610.917</f>
        <v>211577.83877999999</v>
      </c>
      <c r="S116" s="54">
        <f>131.34*1610.917</f>
        <v>211577.83877999999</v>
      </c>
      <c r="T116" s="54">
        <v>452</v>
      </c>
      <c r="U116" s="54">
        <v>67404</v>
      </c>
      <c r="V116" s="54">
        <v>69520.86</v>
      </c>
    </row>
    <row r="117" spans="1:22" ht="14.1" customHeight="1">
      <c r="A117" s="44">
        <v>101</v>
      </c>
      <c r="B117" s="45" t="s">
        <v>150</v>
      </c>
      <c r="C117" s="45" t="s">
        <v>61</v>
      </c>
      <c r="D117" s="53">
        <f>9613217.7*1610.917</f>
        <v>15486095817.630898</v>
      </c>
      <c r="E117" s="53">
        <f>76682.09*1610.917</f>
        <v>123528482.37652999</v>
      </c>
      <c r="F117" s="53"/>
      <c r="G117" s="53">
        <f>18510.05*1610.917</f>
        <v>29818154.215849996</v>
      </c>
      <c r="H117" s="47">
        <f t="shared" si="54"/>
        <v>93710328.160679996</v>
      </c>
      <c r="I117" s="35">
        <f>10716413.26*1470.19</f>
        <v>15755163610.7194</v>
      </c>
      <c r="J117" s="49">
        <f t="shared" si="60"/>
        <v>1.1051562522855156E-2</v>
      </c>
      <c r="K117" s="53">
        <f>10278035.98*1610.917</f>
        <v>16557062886.793659</v>
      </c>
      <c r="L117" s="49">
        <f t="shared" si="61"/>
        <v>1.0485537815803423E-2</v>
      </c>
      <c r="M117" s="49">
        <f t="shared" si="62"/>
        <v>5.0897553074515045E-2</v>
      </c>
      <c r="N117" s="50">
        <f t="shared" si="63"/>
        <v>1.800932594127774E-3</v>
      </c>
      <c r="O117" s="51">
        <f t="shared" si="64"/>
        <v>5.6598400816261782E-3</v>
      </c>
      <c r="P117" s="65">
        <f t="shared" si="65"/>
        <v>182791.40735483565</v>
      </c>
      <c r="Q117" s="65">
        <f t="shared" si="66"/>
        <v>1034.5701339237571</v>
      </c>
      <c r="R117" s="54">
        <f>113.31*1610.917</f>
        <v>182533.00526999999</v>
      </c>
      <c r="S117" s="54">
        <f>113.31*1610.917</f>
        <v>182533.00526999999</v>
      </c>
      <c r="T117" s="54">
        <v>617</v>
      </c>
      <c r="U117" s="102">
        <v>94248</v>
      </c>
      <c r="V117" s="102">
        <v>90579</v>
      </c>
    </row>
    <row r="118" spans="1:22" ht="15" customHeight="1">
      <c r="A118" s="44">
        <v>102</v>
      </c>
      <c r="B118" s="45" t="s">
        <v>151</v>
      </c>
      <c r="C118" s="55" t="s">
        <v>59</v>
      </c>
      <c r="D118" s="53">
        <f>4554520.79*1610.917</f>
        <v>7336954967.4644299</v>
      </c>
      <c r="E118" s="53">
        <f>26439.67*1610.917</f>
        <v>42592113.877389997</v>
      </c>
      <c r="F118" s="53">
        <v>0</v>
      </c>
      <c r="G118" s="53">
        <f>5921.78*1610.917</f>
        <v>9539496.0722599998</v>
      </c>
      <c r="H118" s="47">
        <f t="shared" si="54"/>
        <v>33052617.805129997</v>
      </c>
      <c r="I118" s="35">
        <f>4374350.93*1470.19</f>
        <v>6431126993.7767</v>
      </c>
      <c r="J118" s="49">
        <f t="shared" si="60"/>
        <v>4.5111560768425043E-3</v>
      </c>
      <c r="K118" s="53">
        <f>4547396.29*1610.917</f>
        <v>7325477989.2979298</v>
      </c>
      <c r="L118" s="49">
        <f t="shared" si="61"/>
        <v>4.6392030398631845E-3</v>
      </c>
      <c r="M118" s="49">
        <f t="shared" si="62"/>
        <v>0.13906598274092224</v>
      </c>
      <c r="N118" s="50">
        <f t="shared" si="63"/>
        <v>1.3022353061734146E-3</v>
      </c>
      <c r="O118" s="51">
        <f t="shared" si="64"/>
        <v>4.5120083431303493E-3</v>
      </c>
      <c r="P118" s="65">
        <f t="shared" si="65"/>
        <v>1986.3656270682764</v>
      </c>
      <c r="Q118" s="65">
        <f t="shared" si="66"/>
        <v>8.9624982818394123</v>
      </c>
      <c r="R118" s="54">
        <f>1.23*1610.917</f>
        <v>1981.4279099999999</v>
      </c>
      <c r="S118" s="54">
        <f>1.23*1610.917</f>
        <v>1981.4279099999999</v>
      </c>
      <c r="T118" s="54">
        <v>204</v>
      </c>
      <c r="U118" s="54">
        <v>3563795.4</v>
      </c>
      <c r="V118" s="54">
        <v>3687879.96</v>
      </c>
    </row>
    <row r="119" spans="1:22" ht="15" customHeight="1">
      <c r="A119" s="44">
        <v>103</v>
      </c>
      <c r="B119" s="57" t="s">
        <v>255</v>
      </c>
      <c r="C119" s="58" t="s">
        <v>256</v>
      </c>
      <c r="D119" s="53">
        <f>945121.2*1610.917</f>
        <v>1522511808.1403999</v>
      </c>
      <c r="E119" s="53">
        <f>45456.94*1610.917</f>
        <v>73227357.413980007</v>
      </c>
      <c r="F119" s="53">
        <v>0</v>
      </c>
      <c r="G119" s="53">
        <f>2555.44*1610.917</f>
        <v>4116601.7384799998</v>
      </c>
      <c r="H119" s="47">
        <f t="shared" si="54"/>
        <v>69110755.675500005</v>
      </c>
      <c r="I119" s="35">
        <f>920985.59*1470.19</f>
        <v>1354023804.5620999</v>
      </c>
      <c r="J119" s="49">
        <f t="shared" si="60"/>
        <v>9.497888503913149E-4</v>
      </c>
      <c r="K119" s="53">
        <f>926827.52*1610.917</f>
        <v>1493042208.03584</v>
      </c>
      <c r="L119" s="49">
        <f t="shared" si="61"/>
        <v>9.4553911161607978E-4</v>
      </c>
      <c r="M119" s="49">
        <f t="shared" si="62"/>
        <v>0.10267057566148148</v>
      </c>
      <c r="N119" s="50">
        <f t="shared" si="63"/>
        <v>2.7571904640898014E-3</v>
      </c>
      <c r="O119" s="51">
        <f t="shared" si="64"/>
        <v>4.628854784113446E-2</v>
      </c>
      <c r="P119" s="65">
        <f t="shared" si="65"/>
        <v>1695.2259597223656</v>
      </c>
      <c r="Q119" s="65">
        <f t="shared" si="66"/>
        <v>78.469547938141801</v>
      </c>
      <c r="R119" s="54">
        <f>1.0523*1610.917</f>
        <v>1695.1679591</v>
      </c>
      <c r="S119" s="54">
        <f>1.0731*1610.917</f>
        <v>1728.6750326999997</v>
      </c>
      <c r="T119" s="54">
        <v>36</v>
      </c>
      <c r="U119" s="54">
        <v>872094.46</v>
      </c>
      <c r="V119" s="54">
        <v>880733.45</v>
      </c>
    </row>
    <row r="120" spans="1:22" ht="15" customHeight="1">
      <c r="A120" s="44">
        <v>104</v>
      </c>
      <c r="B120" s="57" t="s">
        <v>257</v>
      </c>
      <c r="C120" s="58" t="s">
        <v>39</v>
      </c>
      <c r="D120" s="53">
        <f>1288896.61*1610.917</f>
        <v>2076305460.2913702</v>
      </c>
      <c r="E120" s="53">
        <f>13128.57*1610.917</f>
        <v>21149036.598689999</v>
      </c>
      <c r="F120" s="53">
        <f>1623.3*1610.917</f>
        <v>2615001.5660999999</v>
      </c>
      <c r="G120" s="53">
        <f>3030.77*1610.917</f>
        <v>4882318.9160899995</v>
      </c>
      <c r="H120" s="47">
        <f t="shared" si="54"/>
        <v>18881719.2487</v>
      </c>
      <c r="I120" s="53">
        <v>0</v>
      </c>
      <c r="J120" s="49">
        <f t="shared" si="60"/>
        <v>0</v>
      </c>
      <c r="K120" s="53">
        <f>1802941.21*1610.917</f>
        <v>2904388645.18957</v>
      </c>
      <c r="L120" s="49">
        <f t="shared" si="61"/>
        <v>1.839340538787001E-3</v>
      </c>
      <c r="M120" s="49" t="e">
        <f t="shared" si="62"/>
        <v>#DIV/0!</v>
      </c>
      <c r="N120" s="50">
        <f t="shared" si="63"/>
        <v>1.6810143243661283E-3</v>
      </c>
      <c r="O120" s="51">
        <f t="shared" si="64"/>
        <v>6.5010993897022303E-3</v>
      </c>
      <c r="P120" s="65">
        <f t="shared" si="65"/>
        <v>16536.32659924747</v>
      </c>
      <c r="Q120" s="65">
        <f t="shared" si="66"/>
        <v>107.50430276228448</v>
      </c>
      <c r="R120" s="54">
        <f>10.27*1610.917</f>
        <v>16544.117589999998</v>
      </c>
      <c r="S120" s="54">
        <f>10.27*1610.917</f>
        <v>16544.117589999998</v>
      </c>
      <c r="T120" s="54">
        <v>58</v>
      </c>
      <c r="U120" s="54">
        <v>153230.03</v>
      </c>
      <c r="V120" s="54">
        <v>175636.87</v>
      </c>
    </row>
    <row r="121" spans="1:22">
      <c r="A121" s="44">
        <v>105</v>
      </c>
      <c r="B121" s="55" t="s">
        <v>152</v>
      </c>
      <c r="C121" s="55" t="s">
        <v>43</v>
      </c>
      <c r="D121" s="53">
        <f>11704964.78*1610.917</f>
        <v>18855726748.503258</v>
      </c>
      <c r="E121" s="53">
        <f>82520*1610.917</f>
        <v>132932870.83999999</v>
      </c>
      <c r="F121" s="53">
        <f>65259.24*1610.917</f>
        <v>105127219.12307999</v>
      </c>
      <c r="G121" s="53">
        <f>20416.23*1610.917</f>
        <v>32888851.982909996</v>
      </c>
      <c r="H121" s="47">
        <f t="shared" si="54"/>
        <v>205171237.98016998</v>
      </c>
      <c r="I121" s="35">
        <f>11382908.04*1470.19</f>
        <v>16735037571.327599</v>
      </c>
      <c r="J121" s="49">
        <f t="shared" si="60"/>
        <v>1.1738901518992989E-2</v>
      </c>
      <c r="K121" s="53">
        <f>11755553.44*1610.917</f>
        <v>18937220880.90448</v>
      </c>
      <c r="L121" s="49">
        <f t="shared" si="61"/>
        <v>1.1992884669860635E-2</v>
      </c>
      <c r="M121" s="49">
        <f t="shared" si="62"/>
        <v>0.13159117810108276</v>
      </c>
      <c r="N121" s="50">
        <f t="shared" si="63"/>
        <v>1.7367306528105067E-3</v>
      </c>
      <c r="O121" s="51">
        <f t="shared" si="64"/>
        <v>1.0834284463939282E-2</v>
      </c>
      <c r="P121" s="65">
        <f t="shared" si="65"/>
        <v>1662.0630722544008</v>
      </c>
      <c r="Q121" s="65">
        <f t="shared" si="66"/>
        <v>18.007264121813048</v>
      </c>
      <c r="R121" s="54">
        <f>1.0317*1610.917</f>
        <v>1661.9830689</v>
      </c>
      <c r="S121" s="54">
        <f>1.035*1610.917</f>
        <v>1667.2990949999999</v>
      </c>
      <c r="T121" s="54">
        <v>359</v>
      </c>
      <c r="U121" s="54">
        <v>10661493</v>
      </c>
      <c r="V121" s="54">
        <v>11393804</v>
      </c>
    </row>
    <row r="122" spans="1:22">
      <c r="A122" s="44">
        <v>106</v>
      </c>
      <c r="B122" s="45" t="s">
        <v>153</v>
      </c>
      <c r="C122" s="55" t="s">
        <v>85</v>
      </c>
      <c r="D122" s="53">
        <f>307435.73*1610.917</f>
        <v>495253443.86440992</v>
      </c>
      <c r="E122" s="53">
        <f>1832.08*1610.917</f>
        <v>2951328.8173599998</v>
      </c>
      <c r="F122" s="53">
        <f>-(1939.58*1610.917)</f>
        <v>-3124502.3948599999</v>
      </c>
      <c r="G122" s="53">
        <f>616.47*1610.917</f>
        <v>993082.00298999995</v>
      </c>
      <c r="H122" s="47">
        <f t="shared" si="54"/>
        <v>-1166255.5804900001</v>
      </c>
      <c r="I122" s="35">
        <f>297303.06*1470.19</f>
        <v>437091985.78140002</v>
      </c>
      <c r="J122" s="49">
        <f t="shared" si="60"/>
        <v>3.0660103115752349E-4</v>
      </c>
      <c r="K122" s="53">
        <f>299589.86*1483.482</f>
        <v>444436164.69251996</v>
      </c>
      <c r="L122" s="49">
        <f t="shared" si="61"/>
        <v>2.8146007800158287E-4</v>
      </c>
      <c r="M122" s="49">
        <f t="shared" si="62"/>
        <v>1.6802364605222789E-2</v>
      </c>
      <c r="N122" s="50">
        <f t="shared" si="63"/>
        <v>2.2344761337706547E-3</v>
      </c>
      <c r="O122" s="51">
        <f t="shared" si="64"/>
        <v>-2.6241239420668337E-3</v>
      </c>
      <c r="P122" s="65">
        <f t="shared" si="65"/>
        <v>1560.6243558823094</v>
      </c>
      <c r="Q122" s="65">
        <f t="shared" si="66"/>
        <v>-4.0952717368433991</v>
      </c>
      <c r="R122" s="54">
        <f>1.052*1483.482</f>
        <v>1560.6230640000001</v>
      </c>
      <c r="S122" s="54">
        <f>1.052*1483.482</f>
        <v>1560.6230640000001</v>
      </c>
      <c r="T122" s="54">
        <v>3</v>
      </c>
      <c r="U122" s="54">
        <v>240015</v>
      </c>
      <c r="V122" s="54">
        <v>284781</v>
      </c>
    </row>
    <row r="123" spans="1:22">
      <c r="A123" s="44">
        <v>107</v>
      </c>
      <c r="B123" s="45" t="s">
        <v>154</v>
      </c>
      <c r="C123" s="45" t="s">
        <v>45</v>
      </c>
      <c r="D123" s="53">
        <f>570801274.02*1610.917</f>
        <v>919513475940.47632</v>
      </c>
      <c r="E123" s="83">
        <f>4419671.44*1610.917</f>
        <v>7119723857.1104803</v>
      </c>
      <c r="F123" s="83"/>
      <c r="G123" s="53">
        <f>945139.48*1610.917</f>
        <v>1522541255.7031598</v>
      </c>
      <c r="H123" s="47">
        <f t="shared" si="54"/>
        <v>5597182601.40732</v>
      </c>
      <c r="I123" s="35">
        <f>574297862.31*1470.19</f>
        <v>844326974189.53882</v>
      </c>
      <c r="J123" s="49">
        <f t="shared" si="60"/>
        <v>0.59225867630090123</v>
      </c>
      <c r="K123" s="53">
        <f>572360416.79*1610.917</f>
        <v>922025125534.09631</v>
      </c>
      <c r="L123" s="49">
        <f t="shared" si="61"/>
        <v>0.58391572146652015</v>
      </c>
      <c r="M123" s="49">
        <f t="shared" si="62"/>
        <v>9.2023770079286152E-2</v>
      </c>
      <c r="N123" s="50">
        <f t="shared" si="63"/>
        <v>1.6513012645086064E-3</v>
      </c>
      <c r="O123" s="51">
        <f t="shared" si="64"/>
        <v>6.0705315358570858E-3</v>
      </c>
      <c r="P123" s="65">
        <f t="shared" si="65"/>
        <v>2461.3261928151205</v>
      </c>
      <c r="Q123" s="65">
        <f t="shared" si="66"/>
        <v>14.941558273515247</v>
      </c>
      <c r="R123" s="54">
        <f>1.5279*1610.917</f>
        <v>2461.3200843</v>
      </c>
      <c r="S123" s="54">
        <f>1.5279*1610.917</f>
        <v>2461.3200843</v>
      </c>
      <c r="T123" s="54">
        <v>7980</v>
      </c>
      <c r="U123" s="54">
        <v>378184307.24000001</v>
      </c>
      <c r="V123" s="54">
        <v>374605011</v>
      </c>
    </row>
    <row r="124" spans="1:22">
      <c r="A124" s="44">
        <v>108</v>
      </c>
      <c r="B124" s="45" t="s">
        <v>155</v>
      </c>
      <c r="C124" s="45" t="s">
        <v>49</v>
      </c>
      <c r="D124" s="53">
        <f>23987202*1610.917</f>
        <v>38641391484.234001</v>
      </c>
      <c r="E124" s="53">
        <f>515874*1610.917</f>
        <v>831030196.45799994</v>
      </c>
      <c r="F124" s="53"/>
      <c r="G124" s="88">
        <f>87731*1610.917</f>
        <v>141327359.32699999</v>
      </c>
      <c r="H124" s="47">
        <f t="shared" si="54"/>
        <v>689702837.13099992</v>
      </c>
      <c r="I124" s="35">
        <f>39729590*1470.19</f>
        <v>58410045922.099998</v>
      </c>
      <c r="J124" s="49">
        <f t="shared" si="60"/>
        <v>4.0972108600112057E-2</v>
      </c>
      <c r="K124" s="53">
        <f>48321846*1610.917</f>
        <v>77842483192.781998</v>
      </c>
      <c r="L124" s="49">
        <f t="shared" si="61"/>
        <v>4.9297409013587569E-2</v>
      </c>
      <c r="M124" s="49">
        <f t="shared" si="62"/>
        <v>0.33268998446942755</v>
      </c>
      <c r="N124" s="50">
        <f t="shared" si="63"/>
        <v>1.8155556391616331E-3</v>
      </c>
      <c r="O124" s="51">
        <f t="shared" si="64"/>
        <v>8.8602368378062363E-3</v>
      </c>
      <c r="P124" s="65">
        <f t="shared" si="65"/>
        <v>1808.8655517537129</v>
      </c>
      <c r="Q124" s="65">
        <f t="shared" si="66"/>
        <v>16.02697719628695</v>
      </c>
      <c r="R124" s="54">
        <f>1.12*1610.917</f>
        <v>1804.22704</v>
      </c>
      <c r="S124" s="54">
        <f>1.12*1610.917</f>
        <v>1804.22704</v>
      </c>
      <c r="T124" s="54">
        <v>203</v>
      </c>
      <c r="U124" s="54">
        <v>35860020</v>
      </c>
      <c r="V124" s="54">
        <v>43033869</v>
      </c>
    </row>
    <row r="125" spans="1:22">
      <c r="A125" s="44">
        <v>109</v>
      </c>
      <c r="B125" s="45" t="s">
        <v>258</v>
      </c>
      <c r="C125" s="55" t="s">
        <v>226</v>
      </c>
      <c r="D125" s="53">
        <f>57295.07*1610.917</f>
        <v>92297602.279189989</v>
      </c>
      <c r="E125" s="53">
        <f>308.92*1610.917</f>
        <v>497644.47963999998</v>
      </c>
      <c r="F125" s="53">
        <v>0</v>
      </c>
      <c r="G125" s="88">
        <f>283.19*1610.917</f>
        <v>456195.58522999997</v>
      </c>
      <c r="H125" s="47">
        <f t="shared" si="54"/>
        <v>41448.894410000008</v>
      </c>
      <c r="I125" s="35">
        <f>55116.99*1470.19</f>
        <v>81032447.528099999</v>
      </c>
      <c r="J125" s="49">
        <f t="shared" si="60"/>
        <v>5.684074011313206E-5</v>
      </c>
      <c r="K125" s="53">
        <f>39251.63*1610.917</f>
        <v>63231118.044709995</v>
      </c>
      <c r="L125" s="49">
        <f t="shared" si="61"/>
        <v>4.004407568700923E-5</v>
      </c>
      <c r="M125" s="49">
        <f t="shared" si="62"/>
        <v>-0.21968149829384029</v>
      </c>
      <c r="N125" s="50">
        <f t="shared" si="63"/>
        <v>7.2147322289545686E-3</v>
      </c>
      <c r="O125" s="51">
        <f t="shared" si="64"/>
        <v>6.5551417864684878E-4</v>
      </c>
      <c r="P125" s="65">
        <f t="shared" si="65"/>
        <v>2576.7832811863509</v>
      </c>
      <c r="Q125" s="65">
        <f t="shared" si="66"/>
        <v>1.6891179761178026</v>
      </c>
      <c r="R125" s="54">
        <f>100.69*1610.917</f>
        <v>162203.23272999999</v>
      </c>
      <c r="S125" s="54">
        <f>100.69*1610.917</f>
        <v>162203.23272999999</v>
      </c>
      <c r="T125" s="54">
        <v>4</v>
      </c>
      <c r="U125" s="54">
        <v>25000</v>
      </c>
      <c r="V125" s="54">
        <v>24538.78</v>
      </c>
    </row>
    <row r="126" spans="1:22">
      <c r="A126" s="44">
        <v>110</v>
      </c>
      <c r="B126" s="55" t="s">
        <v>156</v>
      </c>
      <c r="C126" s="55" t="s">
        <v>35</v>
      </c>
      <c r="D126" s="53">
        <f>42337463.78*1610.917</f>
        <v>68202140140.086258</v>
      </c>
      <c r="E126" s="53">
        <f>1105476.88*1610.917</f>
        <v>1780831499.0989597</v>
      </c>
      <c r="F126" s="53"/>
      <c r="G126" s="53">
        <f>60367.45*1610.917</f>
        <v>97246951.451649994</v>
      </c>
      <c r="H126" s="47">
        <f t="shared" si="54"/>
        <v>1683584547.6473098</v>
      </c>
      <c r="I126" s="35">
        <f>38283420*1470.19</f>
        <v>56283901249.800003</v>
      </c>
      <c r="J126" s="49">
        <f t="shared" si="60"/>
        <v>3.9480710518877797E-2</v>
      </c>
      <c r="K126" s="53">
        <f>40968278*1610.917</f>
        <v>65996495490.925995</v>
      </c>
      <c r="L126" s="49">
        <f t="shared" si="61"/>
        <v>4.1795380854207462E-2</v>
      </c>
      <c r="M126" s="49">
        <f t="shared" si="62"/>
        <v>0.17256433945506761</v>
      </c>
      <c r="N126" s="50">
        <f t="shared" si="63"/>
        <v>1.4735169000757123E-3</v>
      </c>
      <c r="O126" s="51">
        <f t="shared" si="64"/>
        <v>2.5510211339612565E-2</v>
      </c>
      <c r="P126" s="65">
        <f t="shared" si="65"/>
        <v>161091.69213578408</v>
      </c>
      <c r="Q126" s="65">
        <f t="shared" si="66"/>
        <v>4109.4831114396547</v>
      </c>
      <c r="R126" s="54">
        <f>100*1610.917</f>
        <v>161091.69999999998</v>
      </c>
      <c r="S126" s="54">
        <f>100*1610.917</f>
        <v>161091.69999999998</v>
      </c>
      <c r="T126" s="54">
        <v>1554</v>
      </c>
      <c r="U126" s="54">
        <v>382834.2</v>
      </c>
      <c r="V126" s="54">
        <v>409682.8</v>
      </c>
    </row>
    <row r="127" spans="1:22" ht="15" customHeight="1">
      <c r="A127" s="132" t="s">
        <v>50</v>
      </c>
      <c r="B127" s="132"/>
      <c r="C127" s="132"/>
      <c r="D127" s="132"/>
      <c r="E127" s="132"/>
      <c r="F127" s="132"/>
      <c r="G127" s="132"/>
      <c r="H127" s="132"/>
      <c r="I127" s="63">
        <f>SUM(I98:I126)</f>
        <v>1425605074227.0132</v>
      </c>
      <c r="J127" s="61">
        <f>(I127/$I$194)</f>
        <v>0.48159420370514394</v>
      </c>
      <c r="K127" s="63">
        <f>SUM(K98:K126)</f>
        <v>1579038021477.4919</v>
      </c>
      <c r="L127" s="61">
        <f>(K127/$K$194)</f>
        <v>0.49016874670063149</v>
      </c>
      <c r="M127" s="61">
        <f t="shared" ref="M116:M127" si="67">((K127-I127)/I127)</f>
        <v>0.10762654400179704</v>
      </c>
      <c r="N127" s="50"/>
      <c r="O127" s="51"/>
      <c r="P127" s="65"/>
      <c r="Q127" s="65"/>
      <c r="R127" s="64"/>
      <c r="S127" s="64"/>
      <c r="T127" s="73">
        <f>SUM(T98:T126)</f>
        <v>16569</v>
      </c>
      <c r="U127" s="73"/>
      <c r="V127" s="64"/>
    </row>
    <row r="128" spans="1:22" ht="6.9" customHeight="1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</row>
    <row r="129" spans="1:22">
      <c r="A129" s="138" t="s">
        <v>157</v>
      </c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</row>
    <row r="130" spans="1:22">
      <c r="A130" s="107">
        <v>111</v>
      </c>
      <c r="B130" s="108" t="s">
        <v>248</v>
      </c>
      <c r="C130" s="108" t="s">
        <v>249</v>
      </c>
      <c r="D130" s="53">
        <v>2343468019.3600001</v>
      </c>
      <c r="E130" s="53">
        <v>36466541.640000001</v>
      </c>
      <c r="F130" s="53"/>
      <c r="G130" s="46">
        <v>7191689.1100000003</v>
      </c>
      <c r="H130" s="47">
        <f t="shared" ref="H130:H134" si="68">(E130+F130)-G130</f>
        <v>29274852.530000001</v>
      </c>
      <c r="I130" s="123" t="s">
        <v>262</v>
      </c>
      <c r="J130" s="49">
        <f>(I130/$I$135)</f>
        <v>2.4214081632096682E-2</v>
      </c>
      <c r="K130" s="53">
        <v>2364317255.1999998</v>
      </c>
      <c r="L130" s="49">
        <f>(K130/$K$135)</f>
        <v>2.3944956158482689E-2</v>
      </c>
      <c r="M130" s="49">
        <f t="shared" ref="M130" si="69">((K130-I130)/I130)</f>
        <v>1.2516297705663234E-2</v>
      </c>
      <c r="N130" s="50">
        <f t="shared" ref="N130" si="70">(G130/K130)</f>
        <v>3.0417614616578387E-3</v>
      </c>
      <c r="O130" s="51">
        <f t="shared" ref="O130" si="71">H130/K130</f>
        <v>1.2381947670353407E-2</v>
      </c>
      <c r="P130" s="65">
        <f t="shared" ref="P130" si="72">K130/V130</f>
        <v>111.41928629594722</v>
      </c>
      <c r="Q130" s="65">
        <f t="shared" ref="Q130" si="73">H130/V130</f>
        <v>1.3795877723845429</v>
      </c>
      <c r="R130" s="54">
        <v>111.42</v>
      </c>
      <c r="S130" s="54">
        <v>111.42</v>
      </c>
      <c r="T130" s="54">
        <v>7</v>
      </c>
      <c r="U130" s="54">
        <v>21220000</v>
      </c>
      <c r="V130" s="54">
        <v>21220000</v>
      </c>
    </row>
    <row r="131" spans="1:22">
      <c r="A131" s="44">
        <v>112</v>
      </c>
      <c r="B131" s="45" t="s">
        <v>158</v>
      </c>
      <c r="C131" s="45" t="s">
        <v>43</v>
      </c>
      <c r="D131" s="53">
        <v>35256696384</v>
      </c>
      <c r="E131" s="53">
        <v>325651112</v>
      </c>
      <c r="F131" s="53">
        <v>0</v>
      </c>
      <c r="G131" s="46">
        <v>103513552</v>
      </c>
      <c r="H131" s="47">
        <f t="shared" ref="H131" si="74">(E131+F131)-G131</f>
        <v>222137560</v>
      </c>
      <c r="I131" s="35">
        <v>53885760354</v>
      </c>
      <c r="J131" s="49">
        <f t="shared" ref="J131:J134" si="75">(I131/$I$135)</f>
        <v>0.55877669960145215</v>
      </c>
      <c r="K131" s="53">
        <v>54107897914</v>
      </c>
      <c r="L131" s="49">
        <f t="shared" ref="L131:L134" si="76">(K131/$K$135)</f>
        <v>0.54798536047937862</v>
      </c>
      <c r="M131" s="49">
        <f t="shared" ref="M131:M134" si="77">((K131-I131)/I131)</f>
        <v>4.1223796145897842E-3</v>
      </c>
      <c r="N131" s="50">
        <f t="shared" ref="N131:N134" si="78">(G131/K131)</f>
        <v>1.9130950561880296E-3</v>
      </c>
      <c r="O131" s="51">
        <f t="shared" ref="O131:O134" si="79">H131/K131</f>
        <v>4.1054553690677313E-3</v>
      </c>
      <c r="P131" s="65">
        <f t="shared" ref="P131:P134" si="80">K131/V131</f>
        <v>101.96570591804736</v>
      </c>
      <c r="Q131" s="65">
        <f t="shared" ref="Q131:Q134" si="81">H131/V131</f>
        <v>0.41861565482202889</v>
      </c>
      <c r="R131" s="54">
        <v>101.97</v>
      </c>
      <c r="S131" s="54">
        <v>101.97</v>
      </c>
      <c r="T131" s="54">
        <v>634</v>
      </c>
      <c r="U131" s="54">
        <v>530648000</v>
      </c>
      <c r="V131" s="54">
        <v>530648000</v>
      </c>
    </row>
    <row r="132" spans="1:22">
      <c r="A132" s="107">
        <v>113</v>
      </c>
      <c r="B132" s="45" t="s">
        <v>159</v>
      </c>
      <c r="C132" s="45" t="s">
        <v>123</v>
      </c>
      <c r="D132" s="53">
        <v>2747199047.6999998</v>
      </c>
      <c r="E132" s="53">
        <v>28883655.300000001</v>
      </c>
      <c r="F132" s="53">
        <v>0</v>
      </c>
      <c r="G132" s="46">
        <v>4883184.88</v>
      </c>
      <c r="H132" s="47">
        <f t="shared" si="68"/>
        <v>24000470.420000002</v>
      </c>
      <c r="I132" s="35">
        <v>2438663892.8899999</v>
      </c>
      <c r="J132" s="49">
        <f t="shared" si="75"/>
        <v>2.5288101208080119E-2</v>
      </c>
      <c r="K132" s="53">
        <v>2462664363.3099999</v>
      </c>
      <c r="L132" s="49">
        <f t="shared" si="76"/>
        <v>2.4940980353978529E-2</v>
      </c>
      <c r="M132" s="49">
        <f t="shared" si="77"/>
        <v>9.8416475062324867E-3</v>
      </c>
      <c r="N132" s="50">
        <f t="shared" si="78"/>
        <v>1.9828868898060653E-3</v>
      </c>
      <c r="O132" s="51">
        <f t="shared" si="79"/>
        <v>9.7457334330942388E-3</v>
      </c>
      <c r="P132" s="65">
        <f t="shared" si="80"/>
        <v>123.1332181655</v>
      </c>
      <c r="Q132" s="65">
        <f t="shared" si="81"/>
        <v>1.2000235210000001</v>
      </c>
      <c r="R132" s="74">
        <v>101.4</v>
      </c>
      <c r="S132" s="74">
        <v>101.4</v>
      </c>
      <c r="T132" s="54">
        <v>2835</v>
      </c>
      <c r="U132" s="54">
        <v>20000000</v>
      </c>
      <c r="V132" s="54">
        <v>20000000</v>
      </c>
    </row>
    <row r="133" spans="1:22">
      <c r="A133" s="44">
        <v>114</v>
      </c>
      <c r="B133" s="45" t="s">
        <v>160</v>
      </c>
      <c r="C133" s="45" t="s">
        <v>123</v>
      </c>
      <c r="D133" s="53">
        <v>11409701892.200001</v>
      </c>
      <c r="E133" s="53">
        <v>72464677.450000003</v>
      </c>
      <c r="F133" s="53">
        <v>0</v>
      </c>
      <c r="G133" s="75" t="s">
        <v>252</v>
      </c>
      <c r="H133" s="47">
        <f t="shared" si="68"/>
        <v>49933405.680000007</v>
      </c>
      <c r="I133" s="114">
        <v>10613592488</v>
      </c>
      <c r="J133" s="49">
        <f t="shared" si="75"/>
        <v>0.1100592836103345</v>
      </c>
      <c r="K133" s="83">
        <v>10070925635</v>
      </c>
      <c r="L133" s="49">
        <f t="shared" si="76"/>
        <v>0.10199471846472462</v>
      </c>
      <c r="M133" s="49">
        <f t="shared" si="77"/>
        <v>-5.1129422352851124E-2</v>
      </c>
      <c r="N133" s="50">
        <f t="shared" si="78"/>
        <v>2.2372592735364787E-3</v>
      </c>
      <c r="O133" s="51">
        <f t="shared" si="79"/>
        <v>4.9581744012153067E-3</v>
      </c>
      <c r="P133" s="65">
        <f t="shared" si="80"/>
        <v>53.53257162369183</v>
      </c>
      <c r="Q133" s="65">
        <f t="shared" si="81"/>
        <v>0.26542382625581373</v>
      </c>
      <c r="R133" s="74">
        <v>36.6</v>
      </c>
      <c r="S133" s="74">
        <v>36.6</v>
      </c>
      <c r="T133" s="54">
        <v>5261</v>
      </c>
      <c r="U133" s="54">
        <v>188127066</v>
      </c>
      <c r="V133" s="54">
        <v>188127066</v>
      </c>
    </row>
    <row r="134" spans="1:22" ht="15.9" customHeight="1">
      <c r="A134" s="107">
        <v>115</v>
      </c>
      <c r="B134" s="45" t="s">
        <v>161</v>
      </c>
      <c r="C134" s="55" t="s">
        <v>162</v>
      </c>
      <c r="D134" s="83">
        <v>29412210108.419998</v>
      </c>
      <c r="E134" s="83">
        <v>190468124.59</v>
      </c>
      <c r="F134" s="83"/>
      <c r="G134" s="83">
        <v>38785836.859999999</v>
      </c>
      <c r="H134" s="47">
        <f t="shared" si="68"/>
        <v>151682287.73000002</v>
      </c>
      <c r="I134" s="113">
        <v>29497214713.439999</v>
      </c>
      <c r="J134" s="49">
        <f t="shared" si="75"/>
        <v>0.30587591558013327</v>
      </c>
      <c r="K134" s="83">
        <v>29733872598.09</v>
      </c>
      <c r="L134" s="49">
        <f t="shared" si="76"/>
        <v>0.3011339845434356</v>
      </c>
      <c r="M134" s="49">
        <f t="shared" si="77"/>
        <v>8.0230586836448538E-3</v>
      </c>
      <c r="N134" s="50">
        <f t="shared" si="78"/>
        <v>1.3044327385223096E-3</v>
      </c>
      <c r="O134" s="51">
        <f t="shared" si="79"/>
        <v>5.101329711749137E-3</v>
      </c>
      <c r="P134" s="65">
        <f t="shared" si="80"/>
        <v>11.143504281741405</v>
      </c>
      <c r="Q134" s="65">
        <f t="shared" si="81"/>
        <v>5.6846689485451157E-2</v>
      </c>
      <c r="R134" s="74">
        <v>11.14</v>
      </c>
      <c r="S134" s="74">
        <v>11.14</v>
      </c>
      <c r="T134" s="54">
        <v>208270</v>
      </c>
      <c r="U134" s="102">
        <v>2668269500</v>
      </c>
      <c r="V134" s="102">
        <v>2668269500</v>
      </c>
    </row>
    <row r="135" spans="1:22" ht="15" customHeight="1">
      <c r="A135" s="132" t="s">
        <v>50</v>
      </c>
      <c r="B135" s="132"/>
      <c r="C135" s="132"/>
      <c r="D135" s="132"/>
      <c r="E135" s="132"/>
      <c r="F135" s="132"/>
      <c r="G135" s="132"/>
      <c r="H135" s="132"/>
      <c r="I135" s="63">
        <f>SUM(I130:I134)</f>
        <v>96435231448.330002</v>
      </c>
      <c r="J135" s="61">
        <f>(I135/$I$194)</f>
        <v>3.257749943381881E-2</v>
      </c>
      <c r="K135" s="63">
        <f>SUM(K130:K134)</f>
        <v>98739677765.599991</v>
      </c>
      <c r="L135" s="61">
        <f>(K135/$K$194)</f>
        <v>3.0651006145312285E-2</v>
      </c>
      <c r="M135" s="61">
        <f t="shared" ref="M135" si="82">((K135-I135)/I135)</f>
        <v>2.3896311365257741E-2</v>
      </c>
      <c r="N135" s="50"/>
      <c r="O135" s="50"/>
      <c r="P135" s="69"/>
      <c r="Q135" s="69"/>
      <c r="R135" s="64"/>
      <c r="S135" s="64"/>
      <c r="T135" s="64">
        <f>SUM(T130:T134)</f>
        <v>217007</v>
      </c>
      <c r="U135" s="64"/>
      <c r="V135" s="64"/>
    </row>
    <row r="136" spans="1:22" ht="8.1" customHeight="1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</row>
    <row r="137" spans="1:22">
      <c r="A137" s="135" t="s">
        <v>163</v>
      </c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</row>
    <row r="138" spans="1:22">
      <c r="A138" s="44">
        <v>116</v>
      </c>
      <c r="B138" s="45" t="s">
        <v>164</v>
      </c>
      <c r="C138" s="45" t="s">
        <v>54</v>
      </c>
      <c r="D138" s="48">
        <v>243120586.27000001</v>
      </c>
      <c r="E138" s="48">
        <v>2630889.27</v>
      </c>
      <c r="F138" s="48">
        <v>-1373630.4</v>
      </c>
      <c r="G138" s="53">
        <v>639127.29</v>
      </c>
      <c r="H138" s="47">
        <f t="shared" ref="H138:H164" si="83">(E138+F138)-G138</f>
        <v>618131.58000000007</v>
      </c>
      <c r="I138" s="35">
        <v>240329705.40000001</v>
      </c>
      <c r="J138" s="49">
        <f>(I138/$I$165)</f>
        <v>5.004640357119049E-3</v>
      </c>
      <c r="K138" s="53">
        <v>239801080.80000001</v>
      </c>
      <c r="L138" s="49">
        <f>(K138/$K$165)</f>
        <v>4.927706863289502E-3</v>
      </c>
      <c r="M138" s="49">
        <f t="shared" ref="M138" si="84">((K138-I138)/I138)</f>
        <v>-2.1995807764178038E-3</v>
      </c>
      <c r="N138" s="50">
        <f t="shared" ref="N138" si="85">(G138/K138)</f>
        <v>2.6652394053763582E-3</v>
      </c>
      <c r="O138" s="51">
        <f t="shared" ref="O138" si="86">H138/K138</f>
        <v>2.5776847124201955E-3</v>
      </c>
      <c r="P138" s="65">
        <f t="shared" ref="P138" si="87">K138/V138</f>
        <v>5.4070644156561283</v>
      </c>
      <c r="Q138" s="65">
        <f t="shared" ref="Q138" si="88">H138/V138</f>
        <v>1.3937707283308039E-2</v>
      </c>
      <c r="R138" s="54">
        <v>5.3624000000000001</v>
      </c>
      <c r="S138" s="54">
        <v>5.4375999999999998</v>
      </c>
      <c r="T138" s="54">
        <v>11835</v>
      </c>
      <c r="U138" s="54">
        <v>44168673.020000003</v>
      </c>
      <c r="V138" s="54">
        <v>44349588.310000002</v>
      </c>
    </row>
    <row r="139" spans="1:22">
      <c r="A139" s="44">
        <v>117</v>
      </c>
      <c r="B139" s="57" t="s">
        <v>228</v>
      </c>
      <c r="C139" s="57" t="s">
        <v>229</v>
      </c>
      <c r="D139" s="48">
        <v>613698391.60000002</v>
      </c>
      <c r="E139" s="48">
        <v>3524638.46</v>
      </c>
      <c r="F139" s="48">
        <v>-10900020.4</v>
      </c>
      <c r="G139" s="53">
        <v>1284546.06</v>
      </c>
      <c r="H139" s="47">
        <f t="shared" si="83"/>
        <v>-8659928</v>
      </c>
      <c r="I139" s="35">
        <v>623940950.77999997</v>
      </c>
      <c r="J139" s="49">
        <f t="shared" ref="J139:J164" si="89">(I139/$I$165)</f>
        <v>1.2992984190346443E-2</v>
      </c>
      <c r="K139" s="53">
        <v>594677432.45000005</v>
      </c>
      <c r="L139" s="49">
        <f t="shared" ref="L139:L164" si="90">(K139/$K$165)</f>
        <v>1.222011200095994E-2</v>
      </c>
      <c r="M139" s="49">
        <f t="shared" ref="M139:M164" si="91">((K139-I139)/I139)</f>
        <v>-4.6901102249206537E-2</v>
      </c>
      <c r="N139" s="50">
        <f t="shared" ref="N139:N164" si="92">(G139/K139)</f>
        <v>2.1600719817259982E-3</v>
      </c>
      <c r="O139" s="51">
        <f t="shared" ref="O139:O164" si="93">H139/K139</f>
        <v>-1.4562395556734229E-2</v>
      </c>
      <c r="P139" s="65">
        <f t="shared" ref="P139:P164" si="94">K139/V139</f>
        <v>1141.4614263722724</v>
      </c>
      <c r="Q139" s="65">
        <f t="shared" ref="Q139:Q164" si="95">H139/V139</f>
        <v>-16.622412803587093</v>
      </c>
      <c r="R139" s="54">
        <v>1154.0537999999999</v>
      </c>
      <c r="S139" s="54">
        <v>1164.7088000000001</v>
      </c>
      <c r="T139" s="54">
        <v>171</v>
      </c>
      <c r="U139" s="54">
        <v>5202182</v>
      </c>
      <c r="V139" s="54">
        <v>520979</v>
      </c>
    </row>
    <row r="140" spans="1:22">
      <c r="A140" s="44">
        <v>118</v>
      </c>
      <c r="B140" s="45" t="s">
        <v>165</v>
      </c>
      <c r="C140" s="55" t="s">
        <v>57</v>
      </c>
      <c r="D140" s="48">
        <v>5971685958.4700003</v>
      </c>
      <c r="E140" s="48">
        <v>83709470.909999996</v>
      </c>
      <c r="F140" s="48">
        <v>-196493840.66</v>
      </c>
      <c r="G140" s="53">
        <v>14810733.83</v>
      </c>
      <c r="H140" s="47">
        <f t="shared" si="83"/>
        <v>-127595103.58</v>
      </c>
      <c r="I140" s="35">
        <v>7443283867</v>
      </c>
      <c r="J140" s="49">
        <f t="shared" si="89"/>
        <v>0.15499939455375097</v>
      </c>
      <c r="K140" s="53">
        <v>6412494754</v>
      </c>
      <c r="L140" s="49">
        <f t="shared" si="90"/>
        <v>0.13177127602876812</v>
      </c>
      <c r="M140" s="49">
        <f t="shared" si="91"/>
        <v>-0.13848579893211266</v>
      </c>
      <c r="N140" s="50">
        <f t="shared" si="92"/>
        <v>2.3096679838624941E-3</v>
      </c>
      <c r="O140" s="51">
        <f t="shared" si="93"/>
        <v>-1.9897888181570587E-2</v>
      </c>
      <c r="P140" s="65">
        <f t="shared" si="94"/>
        <v>767.25462895715259</v>
      </c>
      <c r="Q140" s="65">
        <f t="shared" si="95"/>
        <v>-15.266746813781854</v>
      </c>
      <c r="R140" s="54">
        <v>763.41840000000002</v>
      </c>
      <c r="S140" s="54">
        <v>786.43610000000001</v>
      </c>
      <c r="T140" s="54">
        <v>21300</v>
      </c>
      <c r="U140" s="54">
        <v>9517024</v>
      </c>
      <c r="V140" s="54">
        <v>8357714</v>
      </c>
    </row>
    <row r="141" spans="1:22">
      <c r="A141" s="44">
        <v>119</v>
      </c>
      <c r="B141" s="45" t="s">
        <v>166</v>
      </c>
      <c r="C141" s="45" t="s">
        <v>106</v>
      </c>
      <c r="D141" s="76">
        <v>1639163700.03</v>
      </c>
      <c r="E141" s="83">
        <v>8075824.5199999996</v>
      </c>
      <c r="F141" s="83">
        <v>-22924845.82</v>
      </c>
      <c r="G141" s="83">
        <v>2663748.7599999998</v>
      </c>
      <c r="H141" s="47">
        <f t="shared" si="83"/>
        <v>-17512770.060000002</v>
      </c>
      <c r="I141" s="35">
        <v>1578790631.6199999</v>
      </c>
      <c r="J141" s="49">
        <f t="shared" si="89"/>
        <v>3.2876831839394105E-2</v>
      </c>
      <c r="K141" s="53">
        <v>1560831558.0999999</v>
      </c>
      <c r="L141" s="49">
        <f t="shared" si="90"/>
        <v>3.2073751943190641E-2</v>
      </c>
      <c r="M141" s="49">
        <f t="shared" si="91"/>
        <v>-1.1375209074791724E-2</v>
      </c>
      <c r="N141" s="50">
        <f t="shared" si="92"/>
        <v>1.7066215416880607E-3</v>
      </c>
      <c r="O141" s="51">
        <f t="shared" si="93"/>
        <v>-1.1220153750170388E-2</v>
      </c>
      <c r="P141" s="65">
        <f t="shared" si="94"/>
        <v>3.7199193162648818</v>
      </c>
      <c r="Q141" s="65">
        <f t="shared" si="95"/>
        <v>-4.1738066666720676E-2</v>
      </c>
      <c r="R141" s="54">
        <v>3.6103999999999998</v>
      </c>
      <c r="S141" s="54">
        <v>3.6985000000000001</v>
      </c>
      <c r="T141" s="54">
        <v>2748</v>
      </c>
      <c r="U141" s="54">
        <v>419710658.06</v>
      </c>
      <c r="V141" s="54">
        <v>419587476.33999997</v>
      </c>
    </row>
    <row r="142" spans="1:22">
      <c r="A142" s="44">
        <v>120</v>
      </c>
      <c r="B142" s="45" t="s">
        <v>167</v>
      </c>
      <c r="C142" s="45" t="s">
        <v>59</v>
      </c>
      <c r="D142" s="48">
        <v>2772854825.6999998</v>
      </c>
      <c r="E142" s="48">
        <v>265452340.44</v>
      </c>
      <c r="F142" s="48">
        <v>525358975.23000002</v>
      </c>
      <c r="G142" s="53">
        <v>8167328.5899999999</v>
      </c>
      <c r="H142" s="47">
        <f t="shared" si="83"/>
        <v>782643987.08000004</v>
      </c>
      <c r="I142" s="35">
        <v>3419353771.04</v>
      </c>
      <c r="J142" s="49">
        <f t="shared" si="89"/>
        <v>7.1204830253222592E-2</v>
      </c>
      <c r="K142" s="53">
        <v>2726033219.9699998</v>
      </c>
      <c r="L142" s="49">
        <f t="shared" si="90"/>
        <v>5.6017648305784234E-2</v>
      </c>
      <c r="M142" s="49">
        <f t="shared" si="91"/>
        <v>-0.20276362069992132</v>
      </c>
      <c r="N142" s="50">
        <f t="shared" si="92"/>
        <v>2.9960488119399669E-3</v>
      </c>
      <c r="O142" s="51">
        <f t="shared" si="93"/>
        <v>0.28709994483802115</v>
      </c>
      <c r="P142" s="65">
        <f t="shared" si="94"/>
        <v>6405.3839626554218</v>
      </c>
      <c r="Q142" s="65">
        <f t="shared" si="95"/>
        <v>1838.9853823447168</v>
      </c>
      <c r="R142" s="54">
        <v>6405.38</v>
      </c>
      <c r="S142" s="54">
        <v>6449.22</v>
      </c>
      <c r="T142" s="54">
        <v>861</v>
      </c>
      <c r="U142" s="54">
        <v>531655.19999999995</v>
      </c>
      <c r="V142" s="54">
        <v>425584.67</v>
      </c>
    </row>
    <row r="143" spans="1:22" ht="14.1" customHeight="1">
      <c r="A143" s="44">
        <v>121</v>
      </c>
      <c r="B143" s="45" t="s">
        <v>168</v>
      </c>
      <c r="C143" s="55" t="s">
        <v>61</v>
      </c>
      <c r="D143" s="48">
        <v>605327867.78999996</v>
      </c>
      <c r="E143" s="48">
        <v>26605665.100000001</v>
      </c>
      <c r="F143" s="48">
        <v>-24459121.850000001</v>
      </c>
      <c r="G143" s="53">
        <v>1343670.99</v>
      </c>
      <c r="H143" s="47">
        <f t="shared" si="83"/>
        <v>802872.26</v>
      </c>
      <c r="I143" s="35">
        <v>677454315.12</v>
      </c>
      <c r="J143" s="49">
        <f t="shared" si="89"/>
        <v>1.4107349734029166E-2</v>
      </c>
      <c r="K143" s="53">
        <v>678772526.40999997</v>
      </c>
      <c r="L143" s="49">
        <f t="shared" si="90"/>
        <v>1.3948194169285461E-2</v>
      </c>
      <c r="M143" s="49">
        <f t="shared" si="91"/>
        <v>1.945830531415926E-3</v>
      </c>
      <c r="N143" s="50">
        <f t="shared" si="92"/>
        <v>1.9795600701557866E-3</v>
      </c>
      <c r="O143" s="51">
        <f t="shared" si="93"/>
        <v>1.1828296354985939E-3</v>
      </c>
      <c r="P143" s="65">
        <f t="shared" si="94"/>
        <v>172.52671029234142</v>
      </c>
      <c r="Q143" s="65">
        <f t="shared" si="95"/>
        <v>0.20406970584886169</v>
      </c>
      <c r="R143" s="54">
        <v>170.81</v>
      </c>
      <c r="S143" s="54">
        <v>171.91</v>
      </c>
      <c r="T143" s="54">
        <f>656+12+5</f>
        <v>673</v>
      </c>
      <c r="U143" s="54">
        <v>3910768</v>
      </c>
      <c r="V143" s="54">
        <v>3934304</v>
      </c>
    </row>
    <row r="144" spans="1:22" ht="15" customHeight="1">
      <c r="A144" s="44">
        <v>122</v>
      </c>
      <c r="B144" s="45" t="s">
        <v>169</v>
      </c>
      <c r="C144" s="55" t="s">
        <v>63</v>
      </c>
      <c r="D144" s="80">
        <v>248331135.28999999</v>
      </c>
      <c r="E144" s="80">
        <v>1956454.75</v>
      </c>
      <c r="F144" s="80"/>
      <c r="G144" s="54">
        <v>691169.45</v>
      </c>
      <c r="H144" s="47">
        <v>3676035.92</v>
      </c>
      <c r="I144" s="37">
        <v>331444396.5</v>
      </c>
      <c r="J144" s="49">
        <f t="shared" si="89"/>
        <v>6.9020182091267509E-3</v>
      </c>
      <c r="K144" s="54">
        <v>331444396.5</v>
      </c>
      <c r="L144" s="49">
        <f t="shared" si="90"/>
        <v>6.8108985246570957E-3</v>
      </c>
      <c r="M144" s="49">
        <f t="shared" si="91"/>
        <v>0</v>
      </c>
      <c r="N144" s="50">
        <f t="shared" si="92"/>
        <v>2.0853254944076267E-3</v>
      </c>
      <c r="O144" s="51">
        <f t="shared" si="93"/>
        <v>1.1090958117917675E-2</v>
      </c>
      <c r="P144" s="65">
        <f t="shared" si="94"/>
        <v>137.41595449214111</v>
      </c>
      <c r="Q144" s="65">
        <f t="shared" si="95"/>
        <v>1.5240745960060182</v>
      </c>
      <c r="R144" s="54">
        <v>141.68</v>
      </c>
      <c r="S144" s="54">
        <v>142.58000000000001</v>
      </c>
      <c r="T144" s="54">
        <f>549+27+3</f>
        <v>579</v>
      </c>
      <c r="U144" s="54">
        <v>2411979</v>
      </c>
      <c r="V144" s="54">
        <v>2411979</v>
      </c>
    </row>
    <row r="145" spans="1:22">
      <c r="A145" s="44">
        <v>123</v>
      </c>
      <c r="B145" s="45" t="s">
        <v>170</v>
      </c>
      <c r="C145" s="55" t="s">
        <v>65</v>
      </c>
      <c r="D145" s="59">
        <v>175467548.16</v>
      </c>
      <c r="E145" s="59">
        <v>1557538.53</v>
      </c>
      <c r="F145" s="59">
        <v>-4184384.6</v>
      </c>
      <c r="G145" s="83">
        <v>480896.62</v>
      </c>
      <c r="H145" s="47">
        <f t="shared" si="83"/>
        <v>-3107742.6900000004</v>
      </c>
      <c r="I145" s="33">
        <v>189493118.00999999</v>
      </c>
      <c r="J145" s="49">
        <f t="shared" si="89"/>
        <v>3.9460161789436803E-3</v>
      </c>
      <c r="K145" s="59">
        <v>187592007.63999999</v>
      </c>
      <c r="L145" s="49">
        <f t="shared" si="90"/>
        <v>3.854855117675035E-3</v>
      </c>
      <c r="M145" s="49">
        <f t="shared" si="91"/>
        <v>-1.0032609046517873E-2</v>
      </c>
      <c r="N145" s="50">
        <f t="shared" si="92"/>
        <v>2.5635240330860402E-3</v>
      </c>
      <c r="O145" s="51">
        <f t="shared" si="93"/>
        <v>-1.6566498376433713E-2</v>
      </c>
      <c r="P145" s="65">
        <f t="shared" si="94"/>
        <v>1.4471888517160159</v>
      </c>
      <c r="Q145" s="65">
        <f t="shared" si="95"/>
        <v>-2.3974851762346348E-2</v>
      </c>
      <c r="R145" s="54">
        <v>1.4411</v>
      </c>
      <c r="S145" s="102">
        <v>1.4528000000000001</v>
      </c>
      <c r="T145" s="54">
        <v>324</v>
      </c>
      <c r="U145" s="74">
        <v>128095167.88</v>
      </c>
      <c r="V145" s="74">
        <v>129625105.54000001</v>
      </c>
    </row>
    <row r="146" spans="1:22">
      <c r="A146" s="44">
        <v>124</v>
      </c>
      <c r="B146" s="57" t="s">
        <v>230</v>
      </c>
      <c r="C146" s="58" t="s">
        <v>47</v>
      </c>
      <c r="D146" s="48">
        <v>128925976.09999999</v>
      </c>
      <c r="E146" s="48">
        <v>2246152.67</v>
      </c>
      <c r="F146" s="48">
        <v>0</v>
      </c>
      <c r="G146" s="53">
        <v>52149.919999999998</v>
      </c>
      <c r="H146" s="47">
        <f>(E146+F146)-G146</f>
        <v>2194002.75</v>
      </c>
      <c r="I146" s="35">
        <v>128844144.16</v>
      </c>
      <c r="J146" s="49">
        <f t="shared" si="89"/>
        <v>2.6830582701725422E-3</v>
      </c>
      <c r="K146" s="53">
        <v>127907144.84999999</v>
      </c>
      <c r="L146" s="49">
        <f t="shared" si="90"/>
        <v>2.6283822968537237E-3</v>
      </c>
      <c r="M146" s="49">
        <f t="shared" si="91"/>
        <v>-7.2723468816435063E-3</v>
      </c>
      <c r="N146" s="50">
        <f t="shared" si="92"/>
        <v>4.0771702050856933E-4</v>
      </c>
      <c r="O146" s="51">
        <f t="shared" si="93"/>
        <v>1.7153089865096775E-2</v>
      </c>
      <c r="P146" s="65">
        <f t="shared" si="94"/>
        <v>145.83463935836983</v>
      </c>
      <c r="Q146" s="65">
        <f t="shared" si="95"/>
        <v>2.5015146743580963</v>
      </c>
      <c r="R146" s="54">
        <v>145.6635</v>
      </c>
      <c r="S146" s="54">
        <v>3.6103999999999998</v>
      </c>
      <c r="T146" s="54">
        <v>112</v>
      </c>
      <c r="U146" s="54">
        <v>882951.73</v>
      </c>
      <c r="V146" s="54">
        <v>877069.71</v>
      </c>
    </row>
    <row r="147" spans="1:22">
      <c r="A147" s="44">
        <v>125</v>
      </c>
      <c r="B147" s="57" t="s">
        <v>171</v>
      </c>
      <c r="C147" s="58" t="s">
        <v>172</v>
      </c>
      <c r="D147" s="48">
        <v>163019945.16</v>
      </c>
      <c r="E147" s="48">
        <v>2472050.34</v>
      </c>
      <c r="F147" s="48">
        <v>0</v>
      </c>
      <c r="G147" s="53">
        <v>599506.49</v>
      </c>
      <c r="H147" s="47">
        <f t="shared" si="83"/>
        <v>1872543.8499999999</v>
      </c>
      <c r="I147" s="35">
        <v>209483094.44</v>
      </c>
      <c r="J147" s="49">
        <f t="shared" si="89"/>
        <v>4.3622886601707832E-3</v>
      </c>
      <c r="K147" s="53">
        <v>213126906.65000001</v>
      </c>
      <c r="L147" s="49">
        <f t="shared" si="90"/>
        <v>4.3795754262124491E-3</v>
      </c>
      <c r="M147" s="49">
        <f t="shared" si="91"/>
        <v>1.7394302006760103E-2</v>
      </c>
      <c r="N147" s="50">
        <f t="shared" si="92"/>
        <v>2.8129085126943542E-3</v>
      </c>
      <c r="O147" s="51">
        <f t="shared" si="93"/>
        <v>8.7860509000635828E-3</v>
      </c>
      <c r="P147" s="65">
        <f t="shared" si="94"/>
        <v>115.2613016717539</v>
      </c>
      <c r="Q147" s="65">
        <f t="shared" si="95"/>
        <v>1.0126916632956136</v>
      </c>
      <c r="R147" s="54">
        <v>114.93</v>
      </c>
      <c r="S147" s="54">
        <v>115.26</v>
      </c>
      <c r="T147" s="54">
        <v>62</v>
      </c>
      <c r="U147" s="74">
        <v>1757668</v>
      </c>
      <c r="V147" s="54">
        <v>1849076</v>
      </c>
    </row>
    <row r="148" spans="1:22">
      <c r="A148" s="44">
        <v>126</v>
      </c>
      <c r="B148" s="45" t="s">
        <v>173</v>
      </c>
      <c r="C148" s="55" t="s">
        <v>70</v>
      </c>
      <c r="D148" s="59">
        <v>315622145.52999997</v>
      </c>
      <c r="E148" s="48">
        <v>2451062.39</v>
      </c>
      <c r="F148" s="48">
        <v>-14490009.34</v>
      </c>
      <c r="G148" s="53">
        <v>739569.09</v>
      </c>
      <c r="H148" s="47">
        <f t="shared" si="83"/>
        <v>-12778516.039999999</v>
      </c>
      <c r="I148" s="113">
        <v>335936330.56</v>
      </c>
      <c r="J148" s="49">
        <f t="shared" si="89"/>
        <v>6.9955585163508516E-3</v>
      </c>
      <c r="K148" s="83">
        <v>320021245.14999998</v>
      </c>
      <c r="L148" s="49">
        <f t="shared" si="90"/>
        <v>6.5761625463203795E-3</v>
      </c>
      <c r="M148" s="49">
        <f t="shared" si="91"/>
        <v>-4.7375302883941893E-2</v>
      </c>
      <c r="N148" s="50">
        <f t="shared" si="92"/>
        <v>2.3109999764339083E-3</v>
      </c>
      <c r="O148" s="51">
        <f t="shared" si="93"/>
        <v>-3.9930211614577237E-2</v>
      </c>
      <c r="P148" s="65">
        <f t="shared" si="94"/>
        <v>1.2405760556301557</v>
      </c>
      <c r="Q148" s="65">
        <f t="shared" si="95"/>
        <v>-4.953646442528966E-2</v>
      </c>
      <c r="R148" s="54">
        <v>1.2447999999999999</v>
      </c>
      <c r="S148" s="54">
        <v>1.2304999999999999</v>
      </c>
      <c r="T148" s="54">
        <v>172</v>
      </c>
      <c r="U148" s="54">
        <v>260047086.02000001</v>
      </c>
      <c r="V148" s="54">
        <v>257961810.31999999</v>
      </c>
    </row>
    <row r="149" spans="1:22">
      <c r="A149" s="44">
        <v>127</v>
      </c>
      <c r="B149" s="55" t="s">
        <v>174</v>
      </c>
      <c r="C149" s="55" t="s">
        <v>74</v>
      </c>
      <c r="D149" s="83">
        <v>8578594960.54</v>
      </c>
      <c r="E149" s="48">
        <v>69106412.980000004</v>
      </c>
      <c r="F149" s="48">
        <v>-662135436.13</v>
      </c>
      <c r="G149" s="83">
        <v>14346961.310000001</v>
      </c>
      <c r="H149" s="47">
        <f t="shared" si="83"/>
        <v>-607375984.45999992</v>
      </c>
      <c r="I149" s="35">
        <v>8580730718.1000004</v>
      </c>
      <c r="J149" s="49">
        <f t="shared" si="89"/>
        <v>0.17868565674767553</v>
      </c>
      <c r="K149" s="53">
        <v>8519665261.8199997</v>
      </c>
      <c r="L149" s="49">
        <f t="shared" si="90"/>
        <v>0.1750718255461656</v>
      </c>
      <c r="M149" s="49">
        <f t="shared" si="91"/>
        <v>-7.1165799610970878E-3</v>
      </c>
      <c r="N149" s="50">
        <f t="shared" si="92"/>
        <v>1.6839818078644975E-3</v>
      </c>
      <c r="O149" s="51">
        <f t="shared" si="93"/>
        <v>-7.129106200708292E-2</v>
      </c>
      <c r="P149" s="65">
        <f t="shared" si="94"/>
        <v>313.95782200891739</v>
      </c>
      <c r="Q149" s="65">
        <f t="shared" si="95"/>
        <v>-22.382386556446434</v>
      </c>
      <c r="R149" s="54">
        <v>313.95999999999998</v>
      </c>
      <c r="S149" s="54">
        <v>315.88</v>
      </c>
      <c r="T149" s="54">
        <v>5476</v>
      </c>
      <c r="U149" s="54">
        <v>27245346</v>
      </c>
      <c r="V149" s="54">
        <v>27136337</v>
      </c>
    </row>
    <row r="150" spans="1:22" ht="11.4" customHeight="1">
      <c r="A150" s="44">
        <v>128</v>
      </c>
      <c r="B150" s="71" t="s">
        <v>175</v>
      </c>
      <c r="C150" s="45" t="s">
        <v>76</v>
      </c>
      <c r="D150" s="48">
        <v>2831178778.9899998</v>
      </c>
      <c r="E150" s="48">
        <v>23210745.02</v>
      </c>
      <c r="F150" s="48">
        <v>14875814.810000001</v>
      </c>
      <c r="G150" s="53">
        <v>8850678.0399999991</v>
      </c>
      <c r="H150" s="47">
        <f t="shared" si="83"/>
        <v>29235881.789999999</v>
      </c>
      <c r="I150" s="35">
        <v>2752826629.3600001</v>
      </c>
      <c r="J150" s="49">
        <f t="shared" si="89"/>
        <v>5.7325028641453404E-2</v>
      </c>
      <c r="K150" s="53">
        <v>2882371822.0900002</v>
      </c>
      <c r="L150" s="49">
        <f t="shared" si="90"/>
        <v>5.9230272703029288E-2</v>
      </c>
      <c r="M150" s="49">
        <f t="shared" si="91"/>
        <v>4.7058972529671346E-2</v>
      </c>
      <c r="N150" s="50">
        <f t="shared" si="92"/>
        <v>3.0706232874502626E-3</v>
      </c>
      <c r="O150" s="51">
        <f t="shared" si="93"/>
        <v>1.0142994587284418E-2</v>
      </c>
      <c r="P150" s="65">
        <f t="shared" si="94"/>
        <v>2.0369808953858106</v>
      </c>
      <c r="Q150" s="65">
        <f t="shared" si="95"/>
        <v>2.0661086196300048E-2</v>
      </c>
      <c r="R150" s="54">
        <v>2.0182000000000002</v>
      </c>
      <c r="S150" s="54">
        <v>2.0528</v>
      </c>
      <c r="T150" s="54">
        <v>10299</v>
      </c>
      <c r="U150" s="54">
        <v>1415108162.5999999</v>
      </c>
      <c r="V150" s="54">
        <v>1415021529.47</v>
      </c>
    </row>
    <row r="151" spans="1:22">
      <c r="A151" s="44">
        <v>129</v>
      </c>
      <c r="B151" s="45" t="s">
        <v>176</v>
      </c>
      <c r="C151" s="55" t="s">
        <v>78</v>
      </c>
      <c r="D151" s="53">
        <v>159373233.71000001</v>
      </c>
      <c r="E151" s="48">
        <v>4168074.19</v>
      </c>
      <c r="F151" s="48"/>
      <c r="G151" s="53">
        <v>482777.1</v>
      </c>
      <c r="H151" s="47">
        <f t="shared" si="83"/>
        <v>3685297.09</v>
      </c>
      <c r="I151" s="35">
        <v>199956290.05000001</v>
      </c>
      <c r="J151" s="49">
        <f t="shared" si="89"/>
        <v>4.1639019079163413E-3</v>
      </c>
      <c r="K151" s="53">
        <v>190624981.59999999</v>
      </c>
      <c r="L151" s="49">
        <f t="shared" si="90"/>
        <v>3.9171801353480593E-3</v>
      </c>
      <c r="M151" s="49">
        <f t="shared" si="91"/>
        <v>-4.6666741254634603E-2</v>
      </c>
      <c r="N151" s="50">
        <f t="shared" si="92"/>
        <v>2.5326014247861834E-3</v>
      </c>
      <c r="O151" s="51">
        <f t="shared" si="93"/>
        <v>1.9332707911983348E-2</v>
      </c>
      <c r="P151" s="65">
        <f t="shared" si="94"/>
        <v>248.03034494287644</v>
      </c>
      <c r="Q151" s="65">
        <f t="shared" si="95"/>
        <v>4.7950982120891066</v>
      </c>
      <c r="R151" s="54">
        <v>241.83</v>
      </c>
      <c r="S151" s="54">
        <v>250.48</v>
      </c>
      <c r="T151" s="54">
        <v>39</v>
      </c>
      <c r="U151" s="47">
        <v>768555.08</v>
      </c>
      <c r="V151" s="47">
        <v>768555.08</v>
      </c>
    </row>
    <row r="152" spans="1:22">
      <c r="A152" s="44">
        <v>130</v>
      </c>
      <c r="B152" s="55" t="s">
        <v>177</v>
      </c>
      <c r="C152" s="55" t="s">
        <v>35</v>
      </c>
      <c r="D152" s="83">
        <v>2770566636.6399999</v>
      </c>
      <c r="E152" s="83">
        <v>41107076.609999999</v>
      </c>
      <c r="F152" s="83">
        <v>35092853.460000001</v>
      </c>
      <c r="G152" s="83">
        <v>32072022.690000001</v>
      </c>
      <c r="H152" s="47">
        <f t="shared" si="83"/>
        <v>44127907.379999995</v>
      </c>
      <c r="I152" s="113">
        <v>50501492.170000002</v>
      </c>
      <c r="J152" s="49">
        <f t="shared" si="89"/>
        <v>1.0516461349963178E-3</v>
      </c>
      <c r="K152" s="83">
        <v>2673000165.46</v>
      </c>
      <c r="L152" s="49">
        <f t="shared" si="90"/>
        <v>5.4927864449021355E-2</v>
      </c>
      <c r="M152" s="49">
        <f t="shared" si="91"/>
        <v>51.929132399930822</v>
      </c>
      <c r="N152" s="50">
        <f t="shared" si="92"/>
        <v>1.1998511299935025E-2</v>
      </c>
      <c r="O152" s="51">
        <f t="shared" si="93"/>
        <v>1.6508755947796945E-2</v>
      </c>
      <c r="P152" s="65">
        <f t="shared" si="94"/>
        <v>3.7714818252912607</v>
      </c>
      <c r="Q152" s="65">
        <f t="shared" si="95"/>
        <v>6.2262473015285182E-2</v>
      </c>
      <c r="R152" s="54">
        <v>3.77</v>
      </c>
      <c r="S152" s="54">
        <v>3.9</v>
      </c>
      <c r="T152" s="54">
        <v>2328</v>
      </c>
      <c r="U152" s="102">
        <v>709556961.63</v>
      </c>
      <c r="V152" s="102">
        <v>708740036.22000003</v>
      </c>
    </row>
    <row r="153" spans="1:22">
      <c r="A153" s="44">
        <v>131</v>
      </c>
      <c r="B153" s="57" t="s">
        <v>231</v>
      </c>
      <c r="C153" s="57" t="s">
        <v>232</v>
      </c>
      <c r="D153" s="83">
        <v>49217081.740000002</v>
      </c>
      <c r="E153" s="83">
        <v>625353.98</v>
      </c>
      <c r="F153" s="83">
        <v>-4904081.74</v>
      </c>
      <c r="G153" s="83">
        <v>311339.84999999998</v>
      </c>
      <c r="H153" s="47">
        <f t="shared" si="83"/>
        <v>-4590067.6099999994</v>
      </c>
      <c r="I153" s="113">
        <v>50501492.170000002</v>
      </c>
      <c r="J153" s="49">
        <f t="shared" si="89"/>
        <v>1.0516461349963178E-3</v>
      </c>
      <c r="K153" s="83">
        <v>45850009.700000003</v>
      </c>
      <c r="L153" s="49">
        <f t="shared" si="90"/>
        <v>9.421784369229593E-4</v>
      </c>
      <c r="M153" s="49">
        <f t="shared" si="91"/>
        <v>-9.2105842226245627E-2</v>
      </c>
      <c r="N153" s="50">
        <f t="shared" si="92"/>
        <v>6.7903987815295915E-3</v>
      </c>
      <c r="O153" s="51">
        <f t="shared" si="93"/>
        <v>-0.10011050466582561</v>
      </c>
      <c r="P153" s="65">
        <f t="shared" si="94"/>
        <v>0.9086226927726363</v>
      </c>
      <c r="Q153" s="65">
        <f t="shared" si="95"/>
        <v>-9.0962676324290032E-2</v>
      </c>
      <c r="R153" s="54">
        <v>0.90900000000000003</v>
      </c>
      <c r="S153" s="54">
        <v>0.92</v>
      </c>
      <c r="T153" s="54">
        <v>15</v>
      </c>
      <c r="U153" s="102">
        <v>50221000</v>
      </c>
      <c r="V153" s="102">
        <v>50461000</v>
      </c>
    </row>
    <row r="154" spans="1:22">
      <c r="A154" s="44">
        <v>132</v>
      </c>
      <c r="B154" s="55" t="s">
        <v>178</v>
      </c>
      <c r="C154" s="55" t="s">
        <v>116</v>
      </c>
      <c r="D154" s="48">
        <v>217759816.34</v>
      </c>
      <c r="E154" s="48">
        <v>6490940.1299999999</v>
      </c>
      <c r="F154" s="83">
        <v>6978909.25</v>
      </c>
      <c r="G154" s="101">
        <v>652335.18000000005</v>
      </c>
      <c r="H154" s="47">
        <f t="shared" si="83"/>
        <v>12817514.199999999</v>
      </c>
      <c r="I154" s="35">
        <v>222188853</v>
      </c>
      <c r="J154" s="49">
        <f t="shared" si="89"/>
        <v>4.626874146810284E-3</v>
      </c>
      <c r="K154" s="53">
        <v>213010575.33000001</v>
      </c>
      <c r="L154" s="49">
        <f t="shared" si="90"/>
        <v>4.3771849172036196E-3</v>
      </c>
      <c r="M154" s="49">
        <f t="shared" si="91"/>
        <v>-4.1308452454183138E-2</v>
      </c>
      <c r="N154" s="50">
        <f t="shared" si="92"/>
        <v>3.0624544297361295E-3</v>
      </c>
      <c r="O154" s="51">
        <f t="shared" si="93"/>
        <v>6.0173135442420471E-2</v>
      </c>
      <c r="P154" s="65">
        <f t="shared" si="94"/>
        <v>182.42608665781808</v>
      </c>
      <c r="Q154" s="65">
        <f t="shared" si="95"/>
        <v>10.97714962069162</v>
      </c>
      <c r="R154" s="54">
        <v>182.42609999999999</v>
      </c>
      <c r="S154" s="54">
        <v>186.49340000000001</v>
      </c>
      <c r="T154" s="54">
        <v>139</v>
      </c>
      <c r="U154" s="129">
        <v>1152123.58</v>
      </c>
      <c r="V154" s="129">
        <v>1167654.1399999999</v>
      </c>
    </row>
    <row r="155" spans="1:22">
      <c r="A155" s="44">
        <v>133</v>
      </c>
      <c r="B155" s="45" t="s">
        <v>179</v>
      </c>
      <c r="C155" s="55" t="s">
        <v>31</v>
      </c>
      <c r="D155" s="48">
        <v>1791309051.03</v>
      </c>
      <c r="E155" s="59">
        <v>21233850.91</v>
      </c>
      <c r="F155" s="59">
        <v>48243005.049999997</v>
      </c>
      <c r="G155" s="53">
        <v>3716375.41</v>
      </c>
      <c r="H155" s="47">
        <f t="shared" si="83"/>
        <v>65760480.549999997</v>
      </c>
      <c r="I155" s="113">
        <v>1738889350.8</v>
      </c>
      <c r="J155" s="49">
        <f t="shared" si="89"/>
        <v>3.6210737274836369E-2</v>
      </c>
      <c r="K155" s="83">
        <v>1738414482.4000001</v>
      </c>
      <c r="L155" s="49">
        <f t="shared" si="90"/>
        <v>3.5722928969235686E-2</v>
      </c>
      <c r="M155" s="49">
        <f t="shared" si="91"/>
        <v>-2.7308718624413175E-4</v>
      </c>
      <c r="N155" s="50">
        <f t="shared" si="92"/>
        <v>2.1377959328026824E-3</v>
      </c>
      <c r="O155" s="51">
        <f t="shared" si="93"/>
        <v>3.7827849005959244E-2</v>
      </c>
      <c r="P155" s="65">
        <f t="shared" si="94"/>
        <v>2330.4705173268985</v>
      </c>
      <c r="Q155" s="65">
        <f t="shared" si="95"/>
        <v>88.156686842281644</v>
      </c>
      <c r="R155" s="54">
        <v>552.20000000000005</v>
      </c>
      <c r="S155" s="54">
        <v>552.20000000000005</v>
      </c>
      <c r="T155" s="54">
        <v>823</v>
      </c>
      <c r="U155" s="74">
        <v>745950</v>
      </c>
      <c r="V155" s="54">
        <v>745950</v>
      </c>
    </row>
    <row r="156" spans="1:22">
      <c r="A156" s="44">
        <v>134</v>
      </c>
      <c r="B156" s="45" t="s">
        <v>180</v>
      </c>
      <c r="C156" s="55" t="s">
        <v>85</v>
      </c>
      <c r="D156" s="83">
        <v>25877926.460000001</v>
      </c>
      <c r="E156" s="48">
        <v>136163.47</v>
      </c>
      <c r="F156" s="48">
        <v>-718114.5</v>
      </c>
      <c r="G156" s="53">
        <v>50824.52</v>
      </c>
      <c r="H156" s="47">
        <f t="shared" si="83"/>
        <v>-632775.55000000005</v>
      </c>
      <c r="I156" s="35">
        <v>26769309.07</v>
      </c>
      <c r="J156" s="49">
        <f t="shared" si="89"/>
        <v>5.5744571517256565E-4</v>
      </c>
      <c r="K156" s="53">
        <v>26027076.350000001</v>
      </c>
      <c r="L156" s="49">
        <f t="shared" si="90"/>
        <v>5.3483413141169997E-4</v>
      </c>
      <c r="M156" s="49">
        <f t="shared" si="91"/>
        <v>-2.7727003265534744E-2</v>
      </c>
      <c r="N156" s="50">
        <f t="shared" si="92"/>
        <v>1.9527556348064425E-3</v>
      </c>
      <c r="O156" s="51">
        <f t="shared" si="93"/>
        <v>-2.4312202472945063E-2</v>
      </c>
      <c r="P156" s="65">
        <f t="shared" si="94"/>
        <v>1.6509277970067102</v>
      </c>
      <c r="Q156" s="65">
        <f t="shared" si="95"/>
        <v>-4.0137690869040288E-2</v>
      </c>
      <c r="R156" s="54">
        <v>1.64</v>
      </c>
      <c r="S156" s="54">
        <v>1.64</v>
      </c>
      <c r="T156" s="54">
        <v>8</v>
      </c>
      <c r="U156" s="102">
        <v>15915004.76</v>
      </c>
      <c r="V156" s="102">
        <v>15765120.92</v>
      </c>
    </row>
    <row r="157" spans="1:22">
      <c r="A157" s="44">
        <v>135</v>
      </c>
      <c r="B157" s="55" t="s">
        <v>181</v>
      </c>
      <c r="C157" s="55" t="s">
        <v>41</v>
      </c>
      <c r="D157" s="48">
        <v>262904538.72</v>
      </c>
      <c r="E157" s="48">
        <v>80113511.680000007</v>
      </c>
      <c r="F157" s="48">
        <v>87366999.280000001</v>
      </c>
      <c r="G157" s="46">
        <v>414596.43</v>
      </c>
      <c r="H157" s="47">
        <f t="shared" si="83"/>
        <v>167065914.53</v>
      </c>
      <c r="I157" s="35">
        <v>274434502.29000002</v>
      </c>
      <c r="J157" s="49">
        <f t="shared" si="89"/>
        <v>5.7148407154266594E-3</v>
      </c>
      <c r="K157" s="53">
        <v>267276789.28</v>
      </c>
      <c r="L157" s="49">
        <f t="shared" si="90"/>
        <v>5.4923091444758739E-3</v>
      </c>
      <c r="M157" s="49">
        <f t="shared" si="91"/>
        <v>-2.6081680511280365E-2</v>
      </c>
      <c r="N157" s="50">
        <f t="shared" si="92"/>
        <v>1.5511875577256635E-3</v>
      </c>
      <c r="O157" s="51">
        <f t="shared" si="93"/>
        <v>0.6250670512020452</v>
      </c>
      <c r="P157" s="65">
        <f t="shared" si="94"/>
        <v>2.7274983965779263</v>
      </c>
      <c r="Q157" s="65">
        <f t="shared" si="95"/>
        <v>1.7048693799072707</v>
      </c>
      <c r="R157" s="54">
        <v>2.71</v>
      </c>
      <c r="S157" s="54">
        <v>2.76</v>
      </c>
      <c r="T157" s="54">
        <v>117</v>
      </c>
      <c r="U157" s="54">
        <v>98181617.900000006</v>
      </c>
      <c r="V157" s="54">
        <v>97993380.900000006</v>
      </c>
    </row>
    <row r="158" spans="1:22">
      <c r="A158" s="44">
        <v>136</v>
      </c>
      <c r="B158" s="45" t="s">
        <v>182</v>
      </c>
      <c r="C158" s="45" t="s">
        <v>45</v>
      </c>
      <c r="D158" s="83">
        <v>2546757174.5999999</v>
      </c>
      <c r="E158" s="83">
        <v>20453248.23</v>
      </c>
      <c r="F158" s="83">
        <v>-85292158.950000003</v>
      </c>
      <c r="G158" s="83">
        <v>5077510.2300000004</v>
      </c>
      <c r="H158" s="47">
        <f t="shared" si="83"/>
        <v>-69916420.950000003</v>
      </c>
      <c r="I158" s="113">
        <v>2707168239.0500002</v>
      </c>
      <c r="J158" s="49">
        <f t="shared" si="89"/>
        <v>5.6374235553240684E-2</v>
      </c>
      <c r="K158" s="83">
        <v>2647382019.5300002</v>
      </c>
      <c r="L158" s="49">
        <f t="shared" si="90"/>
        <v>5.4401433487564183E-2</v>
      </c>
      <c r="M158" s="49">
        <f t="shared" si="91"/>
        <v>-2.2084412286463649E-2</v>
      </c>
      <c r="N158" s="50">
        <f t="shared" si="92"/>
        <v>1.9179363584638344E-3</v>
      </c>
      <c r="O158" s="51">
        <f t="shared" si="93"/>
        <v>-2.6409645617526907E-2</v>
      </c>
      <c r="P158" s="65">
        <f t="shared" si="94"/>
        <v>5497.6411826126587</v>
      </c>
      <c r="Q158" s="65">
        <f t="shared" si="95"/>
        <v>-145.19075536512184</v>
      </c>
      <c r="R158" s="102">
        <v>5464.71</v>
      </c>
      <c r="S158" s="102">
        <v>5520.21</v>
      </c>
      <c r="T158" s="102">
        <v>2252</v>
      </c>
      <c r="U158" s="102">
        <v>478394.23</v>
      </c>
      <c r="V158" s="102">
        <v>481548.71</v>
      </c>
    </row>
    <row r="159" spans="1:22">
      <c r="A159" s="44">
        <v>137</v>
      </c>
      <c r="B159" s="57" t="s">
        <v>233</v>
      </c>
      <c r="C159" s="57" t="s">
        <v>232</v>
      </c>
      <c r="D159" s="83">
        <v>669510925.66999996</v>
      </c>
      <c r="E159" s="83">
        <v>8944717.9000000004</v>
      </c>
      <c r="F159" s="84">
        <v>0</v>
      </c>
      <c r="G159" s="83">
        <v>751177.53</v>
      </c>
      <c r="H159" s="47">
        <f t="shared" si="83"/>
        <v>8193540.3700000001</v>
      </c>
      <c r="I159" s="113">
        <v>653881846.35000002</v>
      </c>
      <c r="J159" s="49">
        <f t="shared" si="89"/>
        <v>1.3616475215097266E-2</v>
      </c>
      <c r="K159" s="83">
        <v>662203886.72000003</v>
      </c>
      <c r="L159" s="49">
        <f t="shared" si="90"/>
        <v>1.3607722811761105E-2</v>
      </c>
      <c r="M159" s="49">
        <f t="shared" si="91"/>
        <v>1.2727131692757698E-2</v>
      </c>
      <c r="N159" s="50">
        <f t="shared" si="92"/>
        <v>1.1343598928733271E-3</v>
      </c>
      <c r="O159" s="51">
        <f t="shared" si="93"/>
        <v>1.2373138446202565E-2</v>
      </c>
      <c r="P159" s="65">
        <f t="shared" si="94"/>
        <v>1.2686055719400608</v>
      </c>
      <c r="Q159" s="65">
        <f t="shared" si="95"/>
        <v>1.569663237523836E-2</v>
      </c>
      <c r="R159" s="102">
        <v>1.2689999999999999</v>
      </c>
      <c r="S159" s="102">
        <v>1.2689999999999999</v>
      </c>
      <c r="T159" s="102">
        <v>39</v>
      </c>
      <c r="U159" s="102">
        <v>521893519</v>
      </c>
      <c r="V159" s="102">
        <v>521993519</v>
      </c>
    </row>
    <row r="160" spans="1:22">
      <c r="A160" s="44">
        <v>138</v>
      </c>
      <c r="B160" s="45" t="s">
        <v>183</v>
      </c>
      <c r="C160" s="45" t="s">
        <v>49</v>
      </c>
      <c r="D160" s="48">
        <v>1154681092</v>
      </c>
      <c r="E160" s="48">
        <v>29766847</v>
      </c>
      <c r="F160" s="48">
        <v>-37794658</v>
      </c>
      <c r="G160" s="48">
        <v>2714509</v>
      </c>
      <c r="H160" s="47">
        <f t="shared" si="83"/>
        <v>-10742320</v>
      </c>
      <c r="I160" s="35">
        <v>1743641952.4300001</v>
      </c>
      <c r="J160" s="49">
        <f t="shared" si="89"/>
        <v>3.6309705739343161E-2</v>
      </c>
      <c r="K160" s="53">
        <v>1719881380.1099999</v>
      </c>
      <c r="L160" s="49">
        <f t="shared" si="90"/>
        <v>3.5342089587495587E-2</v>
      </c>
      <c r="M160" s="49">
        <f t="shared" si="91"/>
        <v>-1.3626979029087142E-2</v>
      </c>
      <c r="N160" s="50">
        <f t="shared" si="92"/>
        <v>1.5783117553295368E-3</v>
      </c>
      <c r="O160" s="51">
        <f t="shared" si="93"/>
        <v>-6.2459656370679149E-3</v>
      </c>
      <c r="P160" s="65">
        <f t="shared" si="94"/>
        <v>1.6193689836587299</v>
      </c>
      <c r="Q160" s="65">
        <f t="shared" si="95"/>
        <v>-1.0114523025666022E-2</v>
      </c>
      <c r="R160" s="54">
        <v>1.62</v>
      </c>
      <c r="S160" s="54">
        <v>1.63</v>
      </c>
      <c r="T160" s="54">
        <v>1377</v>
      </c>
      <c r="U160" s="54">
        <v>1062389882</v>
      </c>
      <c r="V160" s="54">
        <v>1062068866</v>
      </c>
    </row>
    <row r="161" spans="1:22">
      <c r="A161" s="44">
        <v>139</v>
      </c>
      <c r="B161" s="68" t="s">
        <v>184</v>
      </c>
      <c r="C161" s="45" t="s">
        <v>92</v>
      </c>
      <c r="D161" s="46">
        <v>7360079003.0699997</v>
      </c>
      <c r="E161" s="59">
        <v>26269594.920000002</v>
      </c>
      <c r="F161" s="59">
        <v>216883595.69999999</v>
      </c>
      <c r="G161" s="59">
        <v>13167734.720000001</v>
      </c>
      <c r="H161" s="47">
        <f t="shared" si="83"/>
        <v>229985455.90000001</v>
      </c>
      <c r="I161" s="33">
        <v>8754379344.3500004</v>
      </c>
      <c r="J161" s="49">
        <f t="shared" si="89"/>
        <v>0.18230172626951263</v>
      </c>
      <c r="K161" s="59">
        <v>8646186876.1599998</v>
      </c>
      <c r="L161" s="49">
        <f t="shared" si="90"/>
        <v>0.17767173637750031</v>
      </c>
      <c r="M161" s="49">
        <f t="shared" si="91"/>
        <v>-1.2358668037366578E-2</v>
      </c>
      <c r="N161" s="50">
        <f t="shared" si="92"/>
        <v>1.5229528240139241E-3</v>
      </c>
      <c r="O161" s="51">
        <f t="shared" si="93"/>
        <v>2.6599639724898316E-2</v>
      </c>
      <c r="P161" s="65">
        <f t="shared" si="94"/>
        <v>473.10332730241589</v>
      </c>
      <c r="Q161" s="65">
        <f t="shared" si="95"/>
        <v>12.584378058894911</v>
      </c>
      <c r="R161" s="54">
        <v>469.99</v>
      </c>
      <c r="S161" s="54">
        <v>474.73</v>
      </c>
      <c r="T161" s="54">
        <v>33</v>
      </c>
      <c r="U161" s="74">
        <v>18274400.41</v>
      </c>
      <c r="V161" s="74">
        <v>18275472.559999999</v>
      </c>
    </row>
    <row r="162" spans="1:22">
      <c r="A162" s="44">
        <v>140</v>
      </c>
      <c r="B162" s="45" t="s">
        <v>185</v>
      </c>
      <c r="C162" s="45" t="s">
        <v>49</v>
      </c>
      <c r="D162" s="59">
        <v>464016182.63</v>
      </c>
      <c r="E162" s="59">
        <v>19154453</v>
      </c>
      <c r="F162" s="59">
        <v>2593677.98</v>
      </c>
      <c r="G162" s="76">
        <v>1584333</v>
      </c>
      <c r="H162" s="47">
        <f t="shared" si="83"/>
        <v>20163797.98</v>
      </c>
      <c r="I162" s="33">
        <v>1044764920</v>
      </c>
      <c r="J162" s="49">
        <f t="shared" si="89"/>
        <v>2.1756248041130643E-2</v>
      </c>
      <c r="K162" s="59">
        <v>1074786131</v>
      </c>
      <c r="L162" s="49">
        <f t="shared" si="90"/>
        <v>2.2085934628102266E-2</v>
      </c>
      <c r="M162" s="49">
        <f t="shared" si="91"/>
        <v>2.873489569309046E-2</v>
      </c>
      <c r="N162" s="50">
        <f t="shared" si="92"/>
        <v>1.4740914069349858E-3</v>
      </c>
      <c r="O162" s="51">
        <f t="shared" si="93"/>
        <v>1.8760753789443901E-2</v>
      </c>
      <c r="P162" s="65">
        <f t="shared" si="94"/>
        <v>1.3958265320868544</v>
      </c>
      <c r="Q162" s="65">
        <f t="shared" si="95"/>
        <v>2.6186757901254794E-2</v>
      </c>
      <c r="R162" s="54">
        <v>1.4</v>
      </c>
      <c r="S162" s="54">
        <v>1.41</v>
      </c>
      <c r="T162" s="54">
        <v>208</v>
      </c>
      <c r="U162" s="54">
        <v>767876768</v>
      </c>
      <c r="V162" s="54">
        <v>769999786</v>
      </c>
    </row>
    <row r="163" spans="1:22">
      <c r="A163" s="44">
        <v>141</v>
      </c>
      <c r="B163" s="45" t="s">
        <v>186</v>
      </c>
      <c r="C163" s="45" t="s">
        <v>43</v>
      </c>
      <c r="D163" s="48">
        <v>451743219.66000003</v>
      </c>
      <c r="E163" s="48">
        <v>-529336.48</v>
      </c>
      <c r="F163" s="48">
        <v>25708286.140000001</v>
      </c>
      <c r="G163" s="53">
        <v>963741.55</v>
      </c>
      <c r="H163" s="47">
        <f t="shared" si="83"/>
        <v>24215208.109999999</v>
      </c>
      <c r="I163" s="35">
        <v>448144697.27999997</v>
      </c>
      <c r="J163" s="49">
        <f t="shared" si="89"/>
        <v>9.3321923484386178E-3</v>
      </c>
      <c r="K163" s="53">
        <v>450021740.54000002</v>
      </c>
      <c r="L163" s="49">
        <f t="shared" si="90"/>
        <v>9.2475614041871556E-3</v>
      </c>
      <c r="M163" s="49">
        <f t="shared" si="91"/>
        <v>4.1884758904717706E-3</v>
      </c>
      <c r="N163" s="50">
        <f t="shared" si="92"/>
        <v>2.1415444259283252E-3</v>
      </c>
      <c r="O163" s="51">
        <f t="shared" si="93"/>
        <v>5.3808973941888126E-2</v>
      </c>
      <c r="P163" s="65">
        <f t="shared" si="94"/>
        <v>232.54497876450171</v>
      </c>
      <c r="Q163" s="65">
        <f t="shared" si="95"/>
        <v>12.513006702656</v>
      </c>
      <c r="R163" s="54">
        <v>232.54</v>
      </c>
      <c r="S163" s="54">
        <v>233.43</v>
      </c>
      <c r="T163" s="54">
        <v>697</v>
      </c>
      <c r="U163" s="54">
        <v>1908922</v>
      </c>
      <c r="V163" s="54">
        <v>1935203</v>
      </c>
    </row>
    <row r="164" spans="1:22">
      <c r="A164" s="44">
        <v>142</v>
      </c>
      <c r="B164" s="45" t="s">
        <v>187</v>
      </c>
      <c r="C164" s="45" t="s">
        <v>96</v>
      </c>
      <c r="D164" s="53">
        <v>3510725050.4899998</v>
      </c>
      <c r="E164" s="59">
        <v>22201398.109999999</v>
      </c>
      <c r="F164" s="59">
        <v>-82575449.349999994</v>
      </c>
      <c r="G164" s="46">
        <v>29454729.41</v>
      </c>
      <c r="H164" s="47">
        <f t="shared" si="83"/>
        <v>-89828780.649999991</v>
      </c>
      <c r="I164" s="113">
        <v>3594239854.1300001</v>
      </c>
      <c r="J164" s="49">
        <f t="shared" si="89"/>
        <v>7.4846668651326373E-2</v>
      </c>
      <c r="K164" s="83">
        <v>3514422848.0900002</v>
      </c>
      <c r="L164" s="49">
        <f t="shared" si="90"/>
        <v>7.2218380047578717E-2</v>
      </c>
      <c r="M164" s="49">
        <f t="shared" si="91"/>
        <v>-2.2206922542546893E-2</v>
      </c>
      <c r="N164" s="50">
        <f t="shared" si="92"/>
        <v>8.3811000221580903E-3</v>
      </c>
      <c r="O164" s="51">
        <f t="shared" si="93"/>
        <v>-2.5560037745264393E-2</v>
      </c>
      <c r="P164" s="65">
        <f t="shared" si="94"/>
        <v>19.925687630483786</v>
      </c>
      <c r="Q164" s="65">
        <f t="shared" si="95"/>
        <v>-0.5093013279355133</v>
      </c>
      <c r="R164" s="74">
        <v>19.925699999999999</v>
      </c>
      <c r="S164" s="74">
        <v>20.154299999999999</v>
      </c>
      <c r="T164" s="74">
        <v>6227</v>
      </c>
      <c r="U164" s="54">
        <v>176914664.69</v>
      </c>
      <c r="V164" s="54">
        <v>176376490.15000001</v>
      </c>
    </row>
    <row r="165" spans="1:22" ht="15" customHeight="1">
      <c r="A165" s="132" t="s">
        <v>50</v>
      </c>
      <c r="B165" s="132"/>
      <c r="C165" s="132"/>
      <c r="D165" s="132"/>
      <c r="E165" s="132"/>
      <c r="F165" s="132"/>
      <c r="G165" s="132"/>
      <c r="H165" s="132"/>
      <c r="I165" s="63">
        <f>SUM(I138:I164)</f>
        <v>48021373815.229996</v>
      </c>
      <c r="J165" s="61">
        <f>(I165/$I$194)</f>
        <v>1.6222455784897151E-2</v>
      </c>
      <c r="K165" s="63">
        <f>SUM(K138:K164)</f>
        <v>48663828318.699997</v>
      </c>
      <c r="L165" s="61">
        <f>(K165/$K$194)</f>
        <v>1.5106341590376892E-2</v>
      </c>
      <c r="M165" s="61">
        <f t="shared" ref="M165" si="96">((K165-I165)/I165)</f>
        <v>1.3378511534092067E-2</v>
      </c>
      <c r="N165" s="50"/>
      <c r="O165" s="50"/>
      <c r="P165" s="62"/>
      <c r="Q165" s="62"/>
      <c r="R165" s="64"/>
      <c r="S165" s="64"/>
      <c r="T165" s="64">
        <f>SUM(T138:T164)</f>
        <v>68914</v>
      </c>
      <c r="U165" s="64"/>
      <c r="V165" s="77"/>
    </row>
    <row r="166" spans="1:22" ht="6" customHeight="1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</row>
    <row r="167" spans="1:22">
      <c r="A167" s="135" t="s">
        <v>188</v>
      </c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</row>
    <row r="168" spans="1:22">
      <c r="A168" s="44">
        <v>143</v>
      </c>
      <c r="B168" s="55" t="s">
        <v>189</v>
      </c>
      <c r="C168" s="55" t="s">
        <v>25</v>
      </c>
      <c r="D168" s="53">
        <v>688725893.26999998</v>
      </c>
      <c r="E168" s="53">
        <v>5725402.6900000004</v>
      </c>
      <c r="F168" s="53">
        <v>-7943975.2599999998</v>
      </c>
      <c r="G168" s="46">
        <v>2520512.7400000002</v>
      </c>
      <c r="H168" s="47">
        <f t="shared" ref="H168:H170" si="97">(E168+F168)-G168</f>
        <v>-4739085.3099999996</v>
      </c>
      <c r="I168" s="35">
        <v>938414864</v>
      </c>
      <c r="J168" s="49">
        <f>(I168/$I$171)</f>
        <v>0.18096137602976056</v>
      </c>
      <c r="K168" s="53">
        <v>942259248</v>
      </c>
      <c r="L168" s="49">
        <f>(K168/$K$171)</f>
        <v>0.18318641039802486</v>
      </c>
      <c r="M168" s="49">
        <f t="shared" ref="M168:M171" si="98">((K168-I168)/I168)</f>
        <v>4.0966785027394875E-3</v>
      </c>
      <c r="N168" s="50">
        <f t="shared" ref="N168" si="99">(G168/K168)</f>
        <v>2.674967367367245E-3</v>
      </c>
      <c r="O168" s="51">
        <f t="shared" ref="O168" si="100">H168/K168</f>
        <v>-5.0294919578226308E-3</v>
      </c>
      <c r="P168" s="65">
        <f t="shared" ref="P168" si="101">K168/V168</f>
        <v>65.2987352647894</v>
      </c>
      <c r="Q168" s="65">
        <f t="shared" ref="Q168" si="102">H168/V168</f>
        <v>-0.32841946387024729</v>
      </c>
      <c r="R168" s="54">
        <v>64.972200000000001</v>
      </c>
      <c r="S168" s="54">
        <v>66.931200000000004</v>
      </c>
      <c r="T168" s="54">
        <v>1558</v>
      </c>
      <c r="U168" s="54">
        <v>14312335</v>
      </c>
      <c r="V168" s="54">
        <v>14429977</v>
      </c>
    </row>
    <row r="169" spans="1:22">
      <c r="A169" s="44">
        <v>144</v>
      </c>
      <c r="B169" s="55" t="s">
        <v>190</v>
      </c>
      <c r="C169" s="45" t="s">
        <v>45</v>
      </c>
      <c r="D169" s="83">
        <v>3329167746.5300002</v>
      </c>
      <c r="E169" s="83">
        <v>17144334.18</v>
      </c>
      <c r="F169" s="83">
        <v>-51963833.109999999</v>
      </c>
      <c r="G169" s="46">
        <v>10289904.710000001</v>
      </c>
      <c r="H169" s="47">
        <f t="shared" si="97"/>
        <v>-45109403.640000001</v>
      </c>
      <c r="I169" s="113">
        <v>3398639776.3699999</v>
      </c>
      <c r="J169" s="49">
        <f t="shared" ref="J169:J170" si="103">(I169/$I$171)</f>
        <v>0.65538447242817</v>
      </c>
      <c r="K169" s="83">
        <v>3337845701.21</v>
      </c>
      <c r="L169" s="49">
        <f t="shared" ref="L169:L170" si="104">(K169/$K$171)</f>
        <v>0.64891692362263564</v>
      </c>
      <c r="M169" s="49">
        <f t="shared" si="98"/>
        <v>-1.7887766624367717E-2</v>
      </c>
      <c r="N169" s="50">
        <f t="shared" ref="N169:N170" si="105">(G169/K169)</f>
        <v>3.082798197133503E-3</v>
      </c>
      <c r="O169" s="51">
        <f t="shared" ref="O169:O170" si="106">H169/K169</f>
        <v>-1.3514526337645693E-2</v>
      </c>
      <c r="P169" s="65">
        <f t="shared" ref="P169:P170" si="107">K169/V169</f>
        <v>2.4266804191141991</v>
      </c>
      <c r="Q169" s="65">
        <f t="shared" ref="Q169:Q170" si="108">H169/V169</f>
        <v>-3.2795436437167931E-2</v>
      </c>
      <c r="R169" s="54">
        <v>2.41</v>
      </c>
      <c r="S169" s="54">
        <v>2.44</v>
      </c>
      <c r="T169" s="54">
        <v>10113</v>
      </c>
      <c r="U169" s="102">
        <v>1381208226.9000001</v>
      </c>
      <c r="V169" s="102">
        <v>1375478070.75</v>
      </c>
    </row>
    <row r="170" spans="1:22">
      <c r="A170" s="44">
        <v>145</v>
      </c>
      <c r="B170" s="55" t="s">
        <v>191</v>
      </c>
      <c r="C170" s="45" t="s">
        <v>96</v>
      </c>
      <c r="D170" s="59">
        <v>857109949.94000006</v>
      </c>
      <c r="E170" s="59">
        <v>6036973.7800000003</v>
      </c>
      <c r="F170" s="59">
        <v>12565226.800000001</v>
      </c>
      <c r="G170" s="96">
        <v>6813852.7999999998</v>
      </c>
      <c r="H170" s="47">
        <f t="shared" si="97"/>
        <v>11788347.780000001</v>
      </c>
      <c r="I170" s="33">
        <v>848664459.40999997</v>
      </c>
      <c r="J170" s="49">
        <f t="shared" si="103"/>
        <v>0.16365415154206944</v>
      </c>
      <c r="K170" s="59">
        <v>863613113.46000004</v>
      </c>
      <c r="L170" s="49">
        <f t="shared" si="104"/>
        <v>0.16789666597933944</v>
      </c>
      <c r="M170" s="49">
        <f t="shared" si="98"/>
        <v>1.7614327882179166E-2</v>
      </c>
      <c r="N170" s="50">
        <f t="shared" si="105"/>
        <v>7.8899367017492578E-3</v>
      </c>
      <c r="O170" s="51">
        <f t="shared" si="106"/>
        <v>1.3650033326579405E-2</v>
      </c>
      <c r="P170" s="65">
        <f t="shared" si="107"/>
        <v>24.594490055606038</v>
      </c>
      <c r="Q170" s="65">
        <f t="shared" si="108"/>
        <v>0.33571560890924818</v>
      </c>
      <c r="R170" s="74">
        <v>24.5945</v>
      </c>
      <c r="S170" s="74">
        <v>24.817699999999999</v>
      </c>
      <c r="T170" s="74">
        <v>1493</v>
      </c>
      <c r="U170" s="74">
        <v>35122457.850000001</v>
      </c>
      <c r="V170" s="74">
        <v>35114089.030000001</v>
      </c>
    </row>
    <row r="171" spans="1:22" ht="15" customHeight="1">
      <c r="A171" s="132" t="s">
        <v>50</v>
      </c>
      <c r="B171" s="132"/>
      <c r="C171" s="132"/>
      <c r="D171" s="132"/>
      <c r="E171" s="132"/>
      <c r="F171" s="132"/>
      <c r="G171" s="132"/>
      <c r="H171" s="132"/>
      <c r="I171" s="63">
        <f>SUM(I168:I170)</f>
        <v>5185719099.7799997</v>
      </c>
      <c r="J171" s="61">
        <f>(I171/$I$194)</f>
        <v>1.7518261583427959E-3</v>
      </c>
      <c r="K171" s="63">
        <f>SUM(K168:K170)</f>
        <v>5143718062.6700001</v>
      </c>
      <c r="L171" s="61">
        <f>(K171/$K$194)</f>
        <v>1.5967252224878066E-3</v>
      </c>
      <c r="M171" s="61">
        <f t="shared" si="98"/>
        <v>-8.0993660284803155E-3</v>
      </c>
      <c r="N171" s="50"/>
      <c r="O171" s="78"/>
      <c r="P171" s="62"/>
      <c r="Q171" s="62"/>
      <c r="R171" s="64"/>
      <c r="S171" s="64"/>
      <c r="T171" s="64">
        <f>SUM(T168:T170)</f>
        <v>13164</v>
      </c>
      <c r="U171" s="64"/>
      <c r="V171" s="77"/>
    </row>
    <row r="172" spans="1:22" ht="8.1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</row>
    <row r="173" spans="1:22">
      <c r="A173" s="135" t="s">
        <v>192</v>
      </c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</row>
    <row r="174" spans="1:22" ht="12.9" customHeight="1">
      <c r="A174" s="136" t="s">
        <v>193</v>
      </c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</row>
    <row r="175" spans="1:22" ht="15" customHeight="1">
      <c r="A175" s="44">
        <v>146</v>
      </c>
      <c r="B175" s="55" t="s">
        <v>194</v>
      </c>
      <c r="C175" s="45" t="s">
        <v>119</v>
      </c>
      <c r="D175" s="79">
        <v>2864563275.8899999</v>
      </c>
      <c r="E175" s="48">
        <v>51596543.409999996</v>
      </c>
      <c r="F175" s="48">
        <v>-38960354.450000003</v>
      </c>
      <c r="G175" s="83">
        <v>1952159.66</v>
      </c>
      <c r="H175" s="47">
        <f t="shared" ref="H175:H176" si="109">(E175+F175)-G175</f>
        <v>10684029.299999993</v>
      </c>
      <c r="I175" s="112">
        <v>1017056633.17</v>
      </c>
      <c r="J175" s="49">
        <f>(I175/$I$193)</f>
        <v>2.1755321236705965E-2</v>
      </c>
      <c r="K175" s="48">
        <v>4244318255.9400001</v>
      </c>
      <c r="L175" s="49">
        <f>(K175/$K$193)</f>
        <v>8.5077574009191276E-2</v>
      </c>
      <c r="M175" s="49">
        <f t="shared" ref="M175" si="110">((K175-I175)/I175)</f>
        <v>3.1731385623150117</v>
      </c>
      <c r="N175" s="50">
        <f t="shared" ref="N175" si="111">(G175/K175)</f>
        <v>4.5994657852716799E-4</v>
      </c>
      <c r="O175" s="51">
        <f t="shared" ref="O175" si="112">H175/K175</f>
        <v>2.517254516681802E-3</v>
      </c>
      <c r="P175" s="65">
        <f t="shared" ref="P175" si="113">K175/V175</f>
        <v>2.0161791632115884</v>
      </c>
      <c r="Q175" s="65">
        <f t="shared" ref="Q175" si="114">H175/V175</f>
        <v>5.0752361050341067E-3</v>
      </c>
      <c r="R175" s="80">
        <v>2</v>
      </c>
      <c r="S175" s="80">
        <v>2.0299999999999998</v>
      </c>
      <c r="T175" s="80">
        <v>14982</v>
      </c>
      <c r="U175" s="54">
        <v>2097385871.75</v>
      </c>
      <c r="V175" s="54">
        <v>2105129511</v>
      </c>
    </row>
    <row r="176" spans="1:22">
      <c r="A176" s="44">
        <v>147</v>
      </c>
      <c r="B176" s="45" t="s">
        <v>195</v>
      </c>
      <c r="C176" s="45" t="s">
        <v>45</v>
      </c>
      <c r="D176" s="83">
        <v>637292418.28999996</v>
      </c>
      <c r="E176" s="83">
        <v>4596787.4800000004</v>
      </c>
      <c r="F176" s="83">
        <v>-21659208.32</v>
      </c>
      <c r="G176" s="83">
        <v>1707665.3</v>
      </c>
      <c r="H176" s="47">
        <f t="shared" si="109"/>
        <v>-18770086.140000001</v>
      </c>
      <c r="I176" s="113">
        <v>657070238.10000002</v>
      </c>
      <c r="J176" s="49">
        <f>(I176/$I$193)</f>
        <v>1.4055042402496203E-2</v>
      </c>
      <c r="K176" s="83">
        <v>661827230.25</v>
      </c>
      <c r="L176" s="49">
        <f>(K176/$K$193)</f>
        <v>1.3266360288625921E-2</v>
      </c>
      <c r="M176" s="49">
        <f t="shared" ref="M176" si="115">((K176-I176)/I176)</f>
        <v>7.2397011372108532E-3</v>
      </c>
      <c r="N176" s="50">
        <f t="shared" ref="N176" si="116">(G176/K176)</f>
        <v>2.5802282256578396E-3</v>
      </c>
      <c r="O176" s="51">
        <f t="shared" ref="O176" si="117">H176/K176</f>
        <v>-2.8361006138882726E-2</v>
      </c>
      <c r="P176" s="65">
        <f t="shared" ref="P176" si="118">K176/V176</f>
        <v>429.53031854353026</v>
      </c>
      <c r="Q176" s="65">
        <f t="shared" ref="Q176" si="119">H176/V176</f>
        <v>-12.181912001049314</v>
      </c>
      <c r="R176" s="54">
        <v>426.41</v>
      </c>
      <c r="S176" s="54">
        <v>431.67</v>
      </c>
      <c r="T176" s="102">
        <v>843</v>
      </c>
      <c r="U176" s="102">
        <v>1492459.32</v>
      </c>
      <c r="V176" s="102">
        <v>1540816.1</v>
      </c>
    </row>
    <row r="177" spans="1:22" ht="6.9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</row>
    <row r="178" spans="1:22">
      <c r="A178" s="136" t="s">
        <v>147</v>
      </c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</row>
    <row r="179" spans="1:22">
      <c r="A179" s="44">
        <v>148</v>
      </c>
      <c r="B179" s="55" t="s">
        <v>196</v>
      </c>
      <c r="C179" s="45" t="s">
        <v>197</v>
      </c>
      <c r="D179" s="109">
        <v>324191246</v>
      </c>
      <c r="E179" s="53">
        <v>3702536</v>
      </c>
      <c r="F179" s="53"/>
      <c r="G179" s="47">
        <v>923287</v>
      </c>
      <c r="H179" s="47">
        <f t="shared" ref="H179:H189" si="120">(E179+F179)-G179</f>
        <v>2779249</v>
      </c>
      <c r="I179" s="35">
        <v>406424208.32740623</v>
      </c>
      <c r="J179" s="49">
        <f t="shared" ref="J179:J189" si="121">(I179/$I$193)</f>
        <v>8.6936055694144584E-3</v>
      </c>
      <c r="K179" s="53">
        <v>405581562</v>
      </c>
      <c r="L179" s="49">
        <f t="shared" ref="L179:L189" si="122">(K179/$K$193)</f>
        <v>8.129902914214027E-3</v>
      </c>
      <c r="M179" s="49">
        <f t="shared" ref="M179:M189" si="123">((K179-I179)/I179)</f>
        <v>-2.0733172634426603E-3</v>
      </c>
      <c r="N179" s="50">
        <f t="shared" ref="N179" si="124">(G179/K179)</f>
        <v>2.2764521036091872E-3</v>
      </c>
      <c r="O179" s="51">
        <f t="shared" ref="O179" si="125">H179/K179</f>
        <v>6.8525033196652069E-3</v>
      </c>
      <c r="P179" s="65">
        <f t="shared" ref="P179" si="126">K179/V179</f>
        <v>1039.0814932095398</v>
      </c>
      <c r="Q179" s="65">
        <f t="shared" ref="Q179" si="127">H179/V179</f>
        <v>7.120309381621051</v>
      </c>
      <c r="R179" s="54">
        <v>1039.08</v>
      </c>
      <c r="S179" s="54">
        <v>1039.08</v>
      </c>
      <c r="T179" s="54">
        <v>21</v>
      </c>
      <c r="U179" s="54">
        <v>387962</v>
      </c>
      <c r="V179" s="102">
        <v>390327</v>
      </c>
    </row>
    <row r="180" spans="1:22" ht="15" customHeight="1">
      <c r="A180" s="44">
        <v>149</v>
      </c>
      <c r="B180" s="55" t="s">
        <v>198</v>
      </c>
      <c r="C180" s="58" t="s">
        <v>61</v>
      </c>
      <c r="D180" s="53">
        <v>72619633.239999995</v>
      </c>
      <c r="E180" s="53">
        <v>1669455.17</v>
      </c>
      <c r="F180" s="53">
        <v>0</v>
      </c>
      <c r="G180" s="53">
        <v>224935.26</v>
      </c>
      <c r="H180" s="47">
        <f t="shared" si="120"/>
        <v>1444519.91</v>
      </c>
      <c r="I180" s="114">
        <v>122066240.06999999</v>
      </c>
      <c r="J180" s="49">
        <f t="shared" si="121"/>
        <v>2.6110544666550937E-3</v>
      </c>
      <c r="K180" s="83">
        <v>123988742.89</v>
      </c>
      <c r="L180" s="49">
        <f t="shared" si="122"/>
        <v>2.4853606194039576E-3</v>
      </c>
      <c r="M180" s="49">
        <f t="shared" si="123"/>
        <v>1.5749668531590152E-2</v>
      </c>
      <c r="N180" s="50">
        <f t="shared" ref="N180:N189" si="128">(G180/K180)</f>
        <v>1.8141587272931501E-3</v>
      </c>
      <c r="O180" s="51">
        <f t="shared" ref="O180:O189" si="129">H180/K180</f>
        <v>1.1650411773926487E-2</v>
      </c>
      <c r="P180" s="65">
        <f t="shared" ref="P180:P189" si="130">K180/V180</f>
        <v>113.08580150910286</v>
      </c>
      <c r="Q180" s="65">
        <f t="shared" ref="Q180:Q189" si="131">H180/V180</f>
        <v>1.3174961533655656</v>
      </c>
      <c r="R180" s="54">
        <v>113.68</v>
      </c>
      <c r="S180" s="54">
        <v>113.68</v>
      </c>
      <c r="T180" s="54">
        <v>75</v>
      </c>
      <c r="U180" s="54">
        <v>1091861</v>
      </c>
      <c r="V180" s="54">
        <v>1096413</v>
      </c>
    </row>
    <row r="181" spans="1:22" ht="15" customHeight="1">
      <c r="A181" s="44">
        <v>150</v>
      </c>
      <c r="B181" s="55" t="s">
        <v>199</v>
      </c>
      <c r="C181" s="58" t="s">
        <v>172</v>
      </c>
      <c r="D181" s="53">
        <v>37460917.109999999</v>
      </c>
      <c r="E181" s="53">
        <v>601252.82999999996</v>
      </c>
      <c r="F181" s="53">
        <v>0</v>
      </c>
      <c r="G181" s="53">
        <v>253270.86</v>
      </c>
      <c r="H181" s="47">
        <f t="shared" si="120"/>
        <v>347981.97</v>
      </c>
      <c r="I181" s="35">
        <v>57694897.200000003</v>
      </c>
      <c r="J181" s="49">
        <f t="shared" si="121"/>
        <v>1.2341210718940633E-3</v>
      </c>
      <c r="K181" s="53">
        <v>58080302.850000001</v>
      </c>
      <c r="L181" s="49">
        <f t="shared" si="122"/>
        <v>1.1642226068418963E-3</v>
      </c>
      <c r="M181" s="49">
        <f t="shared" si="123"/>
        <v>6.6800647666289369E-3</v>
      </c>
      <c r="N181" s="50">
        <f t="shared" si="128"/>
        <v>4.360701435288745E-3</v>
      </c>
      <c r="O181" s="51">
        <f t="shared" si="129"/>
        <v>5.9913938620242569E-3</v>
      </c>
      <c r="P181" s="65">
        <f t="shared" si="130"/>
        <v>106.44260843509289</v>
      </c>
      <c r="Q181" s="65">
        <f t="shared" si="131"/>
        <v>0.63773959083586695</v>
      </c>
      <c r="R181" s="54">
        <v>103.74</v>
      </c>
      <c r="S181" s="54">
        <v>106.44</v>
      </c>
      <c r="T181" s="54">
        <v>13</v>
      </c>
      <c r="U181" s="54">
        <v>547740</v>
      </c>
      <c r="V181" s="54">
        <v>545649</v>
      </c>
    </row>
    <row r="182" spans="1:22" ht="15" customHeight="1">
      <c r="A182" s="44">
        <v>151</v>
      </c>
      <c r="B182" s="45" t="s">
        <v>200</v>
      </c>
      <c r="C182" s="45" t="s">
        <v>74</v>
      </c>
      <c r="D182" s="83">
        <v>9213105352.1700001</v>
      </c>
      <c r="E182" s="83">
        <v>132995684.11</v>
      </c>
      <c r="F182" s="83"/>
      <c r="G182" s="83">
        <v>15311728.92</v>
      </c>
      <c r="H182" s="47">
        <f t="shared" si="120"/>
        <v>117683955.19</v>
      </c>
      <c r="I182" s="33">
        <v>9205910661.8199997</v>
      </c>
      <c r="J182" s="49">
        <f t="shared" si="121"/>
        <v>0.19691877245820422</v>
      </c>
      <c r="K182" s="59">
        <v>8705544846.5</v>
      </c>
      <c r="L182" s="49">
        <f t="shared" si="122"/>
        <v>0.17450308655150662</v>
      </c>
      <c r="M182" s="49">
        <f t="shared" si="123"/>
        <v>-5.4352669029820659E-2</v>
      </c>
      <c r="N182" s="50">
        <f t="shared" si="128"/>
        <v>1.7588478596093807E-3</v>
      </c>
      <c r="O182" s="51">
        <f t="shared" si="129"/>
        <v>1.3518275681195758E-2</v>
      </c>
      <c r="P182" s="65">
        <f t="shared" si="130"/>
        <v>145.12339311531701</v>
      </c>
      <c r="Q182" s="65">
        <f t="shared" si="131"/>
        <v>1.9618180359234016</v>
      </c>
      <c r="R182" s="54">
        <v>145.12</v>
      </c>
      <c r="S182" s="54">
        <v>145.12</v>
      </c>
      <c r="T182" s="54">
        <v>696</v>
      </c>
      <c r="U182" s="74">
        <v>64286671</v>
      </c>
      <c r="V182" s="74">
        <v>59987192</v>
      </c>
    </row>
    <row r="183" spans="1:22" ht="15" customHeight="1">
      <c r="A183" s="44">
        <v>152</v>
      </c>
      <c r="B183" s="45" t="s">
        <v>234</v>
      </c>
      <c r="C183" s="45" t="s">
        <v>59</v>
      </c>
      <c r="D183" s="83">
        <v>304971413.74000001</v>
      </c>
      <c r="E183" s="83">
        <v>4553290.03</v>
      </c>
      <c r="F183" s="83"/>
      <c r="G183" s="83">
        <v>797519.94</v>
      </c>
      <c r="H183" s="47">
        <f t="shared" si="120"/>
        <v>3755770.0900000003</v>
      </c>
      <c r="I183" s="33">
        <v>296585872.19</v>
      </c>
      <c r="J183" s="49">
        <f t="shared" si="121"/>
        <v>6.3441117370733177E-3</v>
      </c>
      <c r="K183" s="59">
        <v>302548532.11000001</v>
      </c>
      <c r="L183" s="49">
        <f t="shared" si="122"/>
        <v>6.0646006212981274E-3</v>
      </c>
      <c r="M183" s="49">
        <f t="shared" si="123"/>
        <v>2.010432889460154E-2</v>
      </c>
      <c r="N183" s="50">
        <f t="shared" si="128"/>
        <v>2.6360066414403862E-3</v>
      </c>
      <c r="O183" s="51">
        <f t="shared" si="129"/>
        <v>1.2413777266764212E-2</v>
      </c>
      <c r="P183" s="65">
        <f t="shared" si="130"/>
        <v>1109.7155549571187</v>
      </c>
      <c r="Q183" s="65">
        <f t="shared" si="131"/>
        <v>13.77576172870131</v>
      </c>
      <c r="R183" s="54">
        <v>1109.72</v>
      </c>
      <c r="S183" s="54">
        <v>1109.72</v>
      </c>
      <c r="T183" s="54">
        <v>85</v>
      </c>
      <c r="U183" s="74">
        <v>270628.18</v>
      </c>
      <c r="V183" s="74">
        <v>272636.11</v>
      </c>
    </row>
    <row r="184" spans="1:22" ht="15" customHeight="1">
      <c r="A184" s="44">
        <v>153</v>
      </c>
      <c r="B184" s="55" t="s">
        <v>118</v>
      </c>
      <c r="C184" s="45" t="s">
        <v>119</v>
      </c>
      <c r="D184" s="53">
        <v>15526778813.799999</v>
      </c>
      <c r="E184" s="53">
        <v>269650412.05000001</v>
      </c>
      <c r="F184" s="70"/>
      <c r="G184" s="53">
        <v>9868345</v>
      </c>
      <c r="H184" s="47">
        <f>(E184+F184)-G184</f>
        <v>259782067.05000001</v>
      </c>
      <c r="I184" s="33">
        <v>22129361504.82</v>
      </c>
      <c r="J184" s="49">
        <f t="shared" si="121"/>
        <v>0.47335748334879918</v>
      </c>
      <c r="K184" s="53">
        <v>23029322586.23</v>
      </c>
      <c r="L184" s="49">
        <f t="shared" si="122"/>
        <v>0.46162393547408392</v>
      </c>
      <c r="M184" s="49">
        <f t="shared" si="123"/>
        <v>4.0668190142493683E-2</v>
      </c>
      <c r="N184" s="50">
        <f t="shared" si="128"/>
        <v>4.285121702147076E-4</v>
      </c>
      <c r="O184" s="51">
        <f t="shared" si="129"/>
        <v>1.1280491038209365E-2</v>
      </c>
      <c r="P184" s="65">
        <f t="shared" si="130"/>
        <v>1217.4564007120289</v>
      </c>
      <c r="Q184" s="65">
        <f t="shared" si="131"/>
        <v>13.73350601764267</v>
      </c>
      <c r="R184" s="47">
        <v>1217.46</v>
      </c>
      <c r="S184" s="47">
        <v>1217.46</v>
      </c>
      <c r="T184" s="54">
        <v>8472</v>
      </c>
      <c r="U184" s="102">
        <v>17902344.609999999</v>
      </c>
      <c r="V184" s="54">
        <v>18915932.079999998</v>
      </c>
    </row>
    <row r="185" spans="1:22" ht="15" customHeight="1">
      <c r="A185" s="44">
        <v>154</v>
      </c>
      <c r="B185" s="110" t="s">
        <v>235</v>
      </c>
      <c r="C185" s="111" t="s">
        <v>236</v>
      </c>
      <c r="D185" s="83">
        <v>329231149.05000001</v>
      </c>
      <c r="E185" s="83">
        <v>0</v>
      </c>
      <c r="F185" s="83">
        <v>69041554.060000002</v>
      </c>
      <c r="G185" s="83">
        <v>643482.51</v>
      </c>
      <c r="H185" s="47">
        <f t="shared" si="120"/>
        <v>68398071.549999997</v>
      </c>
      <c r="I185" s="33">
        <v>375319859.36000001</v>
      </c>
      <c r="J185" s="49">
        <f t="shared" si="121"/>
        <v>8.0282688697899673E-3</v>
      </c>
      <c r="K185" s="59">
        <v>383269028.56</v>
      </c>
      <c r="L185" s="49">
        <f t="shared" si="122"/>
        <v>7.6826470534129528E-3</v>
      </c>
      <c r="M185" s="49">
        <f t="shared" si="123"/>
        <v>2.1179719116262614E-2</v>
      </c>
      <c r="N185" s="50">
        <f t="shared" si="128"/>
        <v>1.6789316695316123E-3</v>
      </c>
      <c r="O185" s="51">
        <f t="shared" si="129"/>
        <v>0.17845968876478735</v>
      </c>
      <c r="P185" s="65">
        <f t="shared" si="130"/>
        <v>122.03354517612769</v>
      </c>
      <c r="Q185" s="65">
        <f t="shared" si="131"/>
        <v>21.778068490995366</v>
      </c>
      <c r="R185" s="54">
        <v>121.59310000000001</v>
      </c>
      <c r="S185" s="54">
        <v>122.26439999999999</v>
      </c>
      <c r="T185" s="54">
        <v>167</v>
      </c>
      <c r="U185" s="74">
        <v>3069294.85</v>
      </c>
      <c r="V185" s="74">
        <v>3140685.85</v>
      </c>
    </row>
    <row r="186" spans="1:22" ht="15" customHeight="1">
      <c r="A186" s="44">
        <v>155</v>
      </c>
      <c r="B186" s="110" t="s">
        <v>237</v>
      </c>
      <c r="C186" s="111" t="s">
        <v>236</v>
      </c>
      <c r="D186" s="83">
        <v>154578552.34</v>
      </c>
      <c r="E186" s="83">
        <v>0</v>
      </c>
      <c r="F186" s="83">
        <v>9878957.4299999997</v>
      </c>
      <c r="G186" s="83">
        <v>274915.65999999997</v>
      </c>
      <c r="H186" s="47">
        <f t="shared" si="120"/>
        <v>9604041.7699999996</v>
      </c>
      <c r="I186" s="33">
        <v>162592536.06999999</v>
      </c>
      <c r="J186" s="49">
        <f t="shared" si="121"/>
        <v>3.4779310586358502E-3</v>
      </c>
      <c r="K186" s="59">
        <v>158462945.41999999</v>
      </c>
      <c r="L186" s="49">
        <f t="shared" si="122"/>
        <v>3.1763977519397098E-3</v>
      </c>
      <c r="M186" s="49">
        <f t="shared" si="123"/>
        <v>-2.5398402348691566E-2</v>
      </c>
      <c r="N186" s="50">
        <f t="shared" si="128"/>
        <v>1.7348892466396261E-3</v>
      </c>
      <c r="O186" s="51">
        <f t="shared" si="129"/>
        <v>6.060749246169099E-2</v>
      </c>
      <c r="P186" s="65">
        <f t="shared" si="130"/>
        <v>107.23006953787444</v>
      </c>
      <c r="Q186" s="65">
        <f t="shared" si="131"/>
        <v>6.498945631183326</v>
      </c>
      <c r="R186" s="54">
        <v>107.23</v>
      </c>
      <c r="S186" s="54">
        <v>107.23</v>
      </c>
      <c r="T186" s="54">
        <v>77</v>
      </c>
      <c r="U186" s="74">
        <v>1529530.9</v>
      </c>
      <c r="V186" s="74">
        <v>1477784.6</v>
      </c>
    </row>
    <row r="187" spans="1:22" ht="15.6" customHeight="1">
      <c r="A187" s="44">
        <v>156</v>
      </c>
      <c r="B187" s="45" t="s">
        <v>201</v>
      </c>
      <c r="C187" s="45" t="s">
        <v>145</v>
      </c>
      <c r="D187" s="53">
        <v>836995304.40999997</v>
      </c>
      <c r="E187" s="83">
        <v>13612271.630000001</v>
      </c>
      <c r="F187" s="83"/>
      <c r="G187" s="53">
        <v>2187056.2999999998</v>
      </c>
      <c r="H187" s="47">
        <f t="shared" si="120"/>
        <v>11425215.330000002</v>
      </c>
      <c r="I187" s="35">
        <v>1085352030.1099999</v>
      </c>
      <c r="J187" s="49">
        <f t="shared" si="121"/>
        <v>2.3216191999415693E-2</v>
      </c>
      <c r="K187" s="53">
        <v>1039241659.5</v>
      </c>
      <c r="L187" s="49">
        <f t="shared" si="122"/>
        <v>2.0831651602894293E-2</v>
      </c>
      <c r="M187" s="49">
        <f t="shared" si="123"/>
        <v>-4.2484253339745107E-2</v>
      </c>
      <c r="N187" s="50">
        <f t="shared" si="128"/>
        <v>2.1044732762659228E-3</v>
      </c>
      <c r="O187" s="51">
        <f t="shared" si="129"/>
        <v>1.0993800359674672E-2</v>
      </c>
      <c r="P187" s="65">
        <f t="shared" si="130"/>
        <v>103.64001611780981</v>
      </c>
      <c r="Q187" s="65">
        <f t="shared" si="131"/>
        <v>1.1393976464726661</v>
      </c>
      <c r="R187" s="54">
        <v>103.64</v>
      </c>
      <c r="S187" s="54">
        <v>103.64</v>
      </c>
      <c r="T187" s="102">
        <v>567</v>
      </c>
      <c r="U187" s="54">
        <v>10281733</v>
      </c>
      <c r="V187" s="54">
        <v>10027417</v>
      </c>
    </row>
    <row r="188" spans="1:22">
      <c r="A188" s="44">
        <v>157</v>
      </c>
      <c r="B188" s="55" t="s">
        <v>202</v>
      </c>
      <c r="C188" s="55" t="s">
        <v>45</v>
      </c>
      <c r="D188" s="83">
        <v>6993420578.4300003</v>
      </c>
      <c r="E188" s="83">
        <v>61075232.469999999</v>
      </c>
      <c r="F188" s="83"/>
      <c r="G188" s="83">
        <v>11681190</v>
      </c>
      <c r="H188" s="47">
        <f t="shared" si="120"/>
        <v>49394042.469999999</v>
      </c>
      <c r="I188" s="113">
        <v>7175913854.6800003</v>
      </c>
      <c r="J188" s="49">
        <f t="shared" si="121"/>
        <v>0.15349618298924955</v>
      </c>
      <c r="K188" s="83">
        <v>7009416452.6899996</v>
      </c>
      <c r="L188" s="49">
        <f t="shared" si="122"/>
        <v>0.14050410715086739</v>
      </c>
      <c r="M188" s="49">
        <f t="shared" si="123"/>
        <v>-2.3202257630422104E-2</v>
      </c>
      <c r="N188" s="50">
        <f t="shared" si="128"/>
        <v>1.6664996407107636E-3</v>
      </c>
      <c r="O188" s="51">
        <f t="shared" si="129"/>
        <v>7.0468123564043734E-3</v>
      </c>
      <c r="P188" s="65">
        <f t="shared" si="130"/>
        <v>131.19343122088475</v>
      </c>
      <c r="Q188" s="65">
        <f t="shared" si="131"/>
        <v>0.9244954922064178</v>
      </c>
      <c r="R188" s="102">
        <v>131.19</v>
      </c>
      <c r="S188" s="102">
        <v>131.19</v>
      </c>
      <c r="T188" s="54">
        <v>1223</v>
      </c>
      <c r="U188" s="54">
        <v>54710335.409999996</v>
      </c>
      <c r="V188" s="54">
        <v>53428105.259999998</v>
      </c>
    </row>
    <row r="189" spans="1:22" ht="15" customHeight="1">
      <c r="A189" s="44">
        <v>158</v>
      </c>
      <c r="B189" s="45" t="s">
        <v>203</v>
      </c>
      <c r="C189" s="45" t="s">
        <v>49</v>
      </c>
      <c r="D189" s="59">
        <v>3089255976</v>
      </c>
      <c r="E189" s="59">
        <v>46386981</v>
      </c>
      <c r="F189" s="59"/>
      <c r="G189" s="66">
        <v>5953491</v>
      </c>
      <c r="H189" s="47">
        <f t="shared" si="120"/>
        <v>40433490</v>
      </c>
      <c r="I189" s="36">
        <v>3872620904</v>
      </c>
      <c r="J189" s="49">
        <f t="shared" si="121"/>
        <v>8.2837188261492153E-2</v>
      </c>
      <c r="K189" s="89">
        <v>3766024593</v>
      </c>
      <c r="L189" s="49">
        <f t="shared" si="122"/>
        <v>7.5490153355719833E-2</v>
      </c>
      <c r="M189" s="49">
        <f t="shared" si="123"/>
        <v>-2.7525625059219586E-2</v>
      </c>
      <c r="N189" s="50">
        <f t="shared" si="128"/>
        <v>1.5808423054554386E-3</v>
      </c>
      <c r="O189" s="51">
        <f t="shared" si="129"/>
        <v>1.0736385013298823E-2</v>
      </c>
      <c r="P189" s="65">
        <f t="shared" si="130"/>
        <v>1.1785012839061781</v>
      </c>
      <c r="Q189" s="65">
        <f t="shared" si="131"/>
        <v>1.2652843522683713E-2</v>
      </c>
      <c r="R189" s="47">
        <v>1.18</v>
      </c>
      <c r="S189" s="47">
        <v>1.18</v>
      </c>
      <c r="T189" s="54">
        <v>172</v>
      </c>
      <c r="U189" s="54">
        <v>3241479444</v>
      </c>
      <c r="V189" s="54">
        <v>3195604998</v>
      </c>
    </row>
    <row r="190" spans="1:22" ht="5.4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</row>
    <row r="191" spans="1:22" ht="15" customHeight="1">
      <c r="A191" s="136" t="s">
        <v>250</v>
      </c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</row>
    <row r="192" spans="1:22" ht="15" customHeight="1">
      <c r="A192" s="44">
        <v>159</v>
      </c>
      <c r="B192" s="55" t="s">
        <v>251</v>
      </c>
      <c r="C192" s="45" t="s">
        <v>119</v>
      </c>
      <c r="D192" s="59">
        <v>78000000</v>
      </c>
      <c r="E192" s="59">
        <v>3497466.43</v>
      </c>
      <c r="F192" s="59">
        <v>0</v>
      </c>
      <c r="G192" s="66">
        <v>1665205.13</v>
      </c>
      <c r="H192" s="47">
        <f t="shared" ref="H192" si="132">(E192+F192)-G192</f>
        <v>1832261.3000000003</v>
      </c>
      <c r="I192" s="36">
        <v>185817525.03</v>
      </c>
      <c r="J192" s="49">
        <f t="shared" ref="J192" si="133">(I192/$I$193)</f>
        <v>3.9747245301743174E-3</v>
      </c>
      <c r="K192" s="89">
        <v>186641861.13999999</v>
      </c>
      <c r="L192" s="49">
        <f t="shared" ref="L192" si="134">(K192/$K$193)</f>
        <v>3.7412455421146967E-3</v>
      </c>
      <c r="M192" s="49">
        <f t="shared" ref="M192" si="135">((K192-I192)/I192)</f>
        <v>4.4362667615279912E-3</v>
      </c>
      <c r="N192" s="50">
        <f t="shared" ref="N192" si="136">(G192/K192)</f>
        <v>8.9219273737895823E-3</v>
      </c>
      <c r="O192" s="51">
        <f t="shared" ref="O192" si="137">H192/K192</f>
        <v>9.8169900836212829E-3</v>
      </c>
      <c r="P192" s="65">
        <f t="shared" ref="P192" si="138">K192/V192</f>
        <v>1021.7154024360202</v>
      </c>
      <c r="Q192" s="65">
        <f t="shared" ref="Q192" si="139">H192/V192</f>
        <v>10.030169973997538</v>
      </c>
      <c r="R192" s="47">
        <v>1021.72</v>
      </c>
      <c r="S192" s="47">
        <v>1021.72</v>
      </c>
      <c r="T192" s="54">
        <v>72</v>
      </c>
      <c r="U192" s="54">
        <v>182345</v>
      </c>
      <c r="V192" s="54">
        <v>182675</v>
      </c>
    </row>
    <row r="193" spans="1:22" ht="15" customHeight="1">
      <c r="A193" s="132" t="s">
        <v>50</v>
      </c>
      <c r="B193" s="132"/>
      <c r="C193" s="132"/>
      <c r="D193" s="132"/>
      <c r="E193" s="132"/>
      <c r="F193" s="132"/>
      <c r="G193" s="132"/>
      <c r="H193" s="132"/>
      <c r="I193" s="63">
        <f>SUM(I175:I192)</f>
        <v>46749786964.947403</v>
      </c>
      <c r="J193" s="61">
        <f>(I193/$I$194)</f>
        <v>1.57928916176008E-2</v>
      </c>
      <c r="K193" s="63">
        <f>SUM(K175:K189)</f>
        <v>49887626737.940002</v>
      </c>
      <c r="L193" s="61">
        <f>(K193/$K$194)</f>
        <v>1.5486236012939178E-2</v>
      </c>
      <c r="M193" s="61">
        <f t="shared" ref="M193" si="140">((K193-I193)/I193)</f>
        <v>6.7119873195258098E-2</v>
      </c>
      <c r="N193" s="50"/>
      <c r="O193" s="50"/>
      <c r="P193" s="62"/>
      <c r="Q193" s="62"/>
      <c r="R193" s="63"/>
      <c r="S193" s="63"/>
      <c r="T193" s="64">
        <f>SUM(T175:T189)</f>
        <v>27393</v>
      </c>
      <c r="U193" s="64"/>
      <c r="V193" s="64"/>
    </row>
    <row r="194" spans="1:22" ht="15" customHeight="1">
      <c r="A194" s="133" t="s">
        <v>204</v>
      </c>
      <c r="B194" s="133"/>
      <c r="C194" s="133"/>
      <c r="D194" s="133"/>
      <c r="E194" s="133"/>
      <c r="F194" s="133"/>
      <c r="G194" s="133"/>
      <c r="H194" s="133"/>
      <c r="I194" s="39">
        <f>SUM(I22,I58,I94,I127,I135,I165,I171,I193)</f>
        <v>2960179053774.1602</v>
      </c>
      <c r="J194" s="40"/>
      <c r="K194" s="39">
        <f>SUM(K22,K58,K94,K127,K135,K165,K171,K193)</f>
        <v>3221417179504.2715</v>
      </c>
      <c r="L194" s="40"/>
      <c r="M194" s="40"/>
      <c r="N194" s="41"/>
      <c r="O194" s="41"/>
      <c r="P194" s="42"/>
      <c r="Q194" s="42"/>
      <c r="R194" s="39"/>
      <c r="S194" s="39"/>
      <c r="T194" s="43">
        <f>SUM(T22,T58,T94,T127,T135,T165,T171,T193)</f>
        <v>738617</v>
      </c>
      <c r="U194" s="43"/>
      <c r="V194" s="43"/>
    </row>
    <row r="195" spans="1:22" ht="5.0999999999999996" customHeight="1">
      <c r="A195" s="26"/>
      <c r="B195" s="26"/>
      <c r="C195" s="26"/>
      <c r="D195" s="25"/>
      <c r="E195" s="25"/>
      <c r="F195" s="25"/>
      <c r="G195" s="25"/>
      <c r="H195" s="27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</row>
    <row r="196" spans="1:22">
      <c r="A196" s="130" t="s">
        <v>205</v>
      </c>
      <c r="B196" s="131" t="s">
        <v>263</v>
      </c>
      <c r="C196" s="32"/>
      <c r="D196" s="25"/>
      <c r="E196" s="25"/>
      <c r="F196" s="25"/>
      <c r="G196" s="25"/>
      <c r="H196" s="27"/>
      <c r="I196" s="28"/>
      <c r="J196" s="25"/>
      <c r="K196" s="28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9"/>
    </row>
  </sheetData>
  <mergeCells count="34">
    <mergeCell ref="A1:V1"/>
    <mergeCell ref="A3:V3"/>
    <mergeCell ref="A4:V4"/>
    <mergeCell ref="A22:H22"/>
    <mergeCell ref="A23:V23"/>
    <mergeCell ref="A24:V24"/>
    <mergeCell ref="A58:H58"/>
    <mergeCell ref="A59:V59"/>
    <mergeCell ref="A60:V60"/>
    <mergeCell ref="A94:H94"/>
    <mergeCell ref="A95:V95"/>
    <mergeCell ref="A96:V96"/>
    <mergeCell ref="A97:V97"/>
    <mergeCell ref="A113:V113"/>
    <mergeCell ref="A114:V114"/>
    <mergeCell ref="A127:H127"/>
    <mergeCell ref="A128:V128"/>
    <mergeCell ref="A129:V129"/>
    <mergeCell ref="A135:H135"/>
    <mergeCell ref="A136:V136"/>
    <mergeCell ref="A137:V137"/>
    <mergeCell ref="A165:H165"/>
    <mergeCell ref="A166:V166"/>
    <mergeCell ref="A167:V167"/>
    <mergeCell ref="A171:H171"/>
    <mergeCell ref="A193:H193"/>
    <mergeCell ref="A194:H194"/>
    <mergeCell ref="A172:V172"/>
    <mergeCell ref="A173:V173"/>
    <mergeCell ref="A174:V174"/>
    <mergeCell ref="A177:V177"/>
    <mergeCell ref="A178:V178"/>
    <mergeCell ref="A190:V190"/>
    <mergeCell ref="A191:V191"/>
  </mergeCells>
  <pageMargins left="0.7" right="0.7" top="0.75" bottom="0.75" header="0.3" footer="0.3"/>
  <pageSetup orientation="portrait" r:id="rId1"/>
  <ignoredErrors>
    <ignoredError sqref="J171 J165 J135 J127 J94 J58 J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H6" sqref="H6"/>
    </sheetView>
  </sheetViews>
  <sheetFormatPr defaultColWidth="9" defaultRowHeight="14.4"/>
  <cols>
    <col min="1" max="1" width="34" customWidth="1"/>
    <col min="2" max="2" width="13.6640625" customWidth="1"/>
    <col min="3" max="3" width="15.88671875" customWidth="1"/>
  </cols>
  <sheetData>
    <row r="1" spans="1:5">
      <c r="A1" s="146"/>
      <c r="B1" s="146"/>
      <c r="C1" s="146"/>
      <c r="D1" s="146"/>
      <c r="E1" s="147"/>
    </row>
    <row r="2" spans="1:5">
      <c r="A2" s="146"/>
      <c r="B2" s="146"/>
      <c r="C2" s="146"/>
      <c r="D2" s="146"/>
      <c r="E2" s="147"/>
    </row>
    <row r="3" spans="1:5">
      <c r="A3" s="146"/>
      <c r="B3" s="146"/>
      <c r="C3" s="146"/>
      <c r="D3" s="146"/>
      <c r="E3" s="147"/>
    </row>
    <row r="4" spans="1:5" ht="33" customHeight="1">
      <c r="A4" s="18" t="s">
        <v>206</v>
      </c>
      <c r="B4" s="166" t="s">
        <v>265</v>
      </c>
      <c r="C4" s="166" t="s">
        <v>264</v>
      </c>
      <c r="D4" s="1"/>
      <c r="E4" s="147"/>
    </row>
    <row r="5" spans="1:5" ht="18.899999999999999" customHeight="1">
      <c r="A5" s="19" t="s">
        <v>19</v>
      </c>
      <c r="B5" s="167">
        <f>'[1]June 2024'!I22/1000000000</f>
        <v>27.745310432420002</v>
      </c>
      <c r="C5" s="167">
        <f>'July 2024'!K22/1000000000</f>
        <v>26.570099191139999</v>
      </c>
      <c r="D5" s="1"/>
      <c r="E5" s="147"/>
    </row>
    <row r="6" spans="1:5" ht="15.6">
      <c r="A6" s="18" t="s">
        <v>51</v>
      </c>
      <c r="B6" s="167">
        <f>'[1]June 2024'!I58/1000000000</f>
        <v>1009.6129393269802</v>
      </c>
      <c r="C6" s="167">
        <f>'July 2024'!K58/1000000000</f>
        <v>1191.3584606015797</v>
      </c>
      <c r="D6" s="1"/>
      <c r="E6" s="147"/>
    </row>
    <row r="7" spans="1:5" ht="15.6">
      <c r="A7" s="18" t="s">
        <v>207</v>
      </c>
      <c r="B7" s="167">
        <f>'[1]June 2024'!I93/1000000000</f>
        <v>246.55149026459</v>
      </c>
      <c r="C7" s="167">
        <f>'July 2024'!K94/1000000000</f>
        <v>222.01574734914996</v>
      </c>
      <c r="D7" s="1"/>
      <c r="E7" s="147"/>
    </row>
    <row r="8" spans="1:5" ht="15.6">
      <c r="A8" s="18" t="s">
        <v>208</v>
      </c>
      <c r="B8" s="167">
        <f>'[1]June 2024'!I125/1000000000</f>
        <v>1409.3785152316091</v>
      </c>
      <c r="C8" s="167">
        <f>'July 2024'!K127/1000000000</f>
        <v>1579.0380214774918</v>
      </c>
      <c r="D8" s="1"/>
      <c r="E8" s="147"/>
    </row>
    <row r="9" spans="1:5" ht="15.6">
      <c r="A9" s="18" t="s">
        <v>209</v>
      </c>
      <c r="B9" s="167">
        <f>'[1]June 2024'!I133/1000000000</f>
        <v>96.780336038469997</v>
      </c>
      <c r="C9" s="167">
        <f>'July 2024'!K135/1000000000</f>
        <v>98.739677765599993</v>
      </c>
      <c r="D9" s="1"/>
      <c r="E9" s="147"/>
    </row>
    <row r="10" spans="1:5" ht="15.6">
      <c r="A10" s="18" t="s">
        <v>163</v>
      </c>
      <c r="B10" s="167">
        <f>'[1]June 2024'!I163/1000000000</f>
        <v>48.750450955880005</v>
      </c>
      <c r="C10" s="167">
        <f>'July 2024'!K165/1000000000</f>
        <v>48.663828318699998</v>
      </c>
      <c r="D10" s="1"/>
      <c r="E10" s="147"/>
    </row>
    <row r="11" spans="1:5" ht="15.6">
      <c r="A11" s="18" t="s">
        <v>188</v>
      </c>
      <c r="B11" s="167">
        <f>'[1]June 2024'!I169/1000000000</f>
        <v>4.9049213739599997</v>
      </c>
      <c r="C11" s="167">
        <f>'July 2024'!K171/1000000000</f>
        <v>5.1437180626699996</v>
      </c>
      <c r="D11" s="1"/>
      <c r="E11" s="147"/>
    </row>
    <row r="12" spans="1:5" ht="15.6">
      <c r="A12" s="18" t="s">
        <v>210</v>
      </c>
      <c r="B12" s="167">
        <f>'[1]June 2024'!I191/1000000000</f>
        <v>51.241026579075928</v>
      </c>
      <c r="C12" s="167">
        <f>'July 2024'!K193/1000000000</f>
        <v>49.887626737940003</v>
      </c>
      <c r="D12" s="1"/>
      <c r="E12" s="147"/>
    </row>
    <row r="13" spans="1:5">
      <c r="A13" s="1"/>
      <c r="B13" s="1"/>
      <c r="C13" s="1"/>
      <c r="D13" s="1"/>
      <c r="E13" s="147"/>
    </row>
    <row r="14" spans="1:5">
      <c r="A14" s="1"/>
      <c r="B14" s="1"/>
      <c r="C14" s="1"/>
      <c r="D14" s="1"/>
      <c r="E14" s="147"/>
    </row>
    <row r="15" spans="1:5">
      <c r="A15" s="1"/>
      <c r="B15" s="1"/>
      <c r="C15" s="1"/>
      <c r="D15" s="1"/>
      <c r="E15" s="147"/>
    </row>
    <row r="16" spans="1:5">
      <c r="A16" s="146"/>
      <c r="B16" s="149"/>
      <c r="C16" s="150"/>
      <c r="D16" s="146"/>
      <c r="E16" s="147"/>
    </row>
    <row r="17" spans="1:5">
      <c r="A17" s="151"/>
      <c r="B17" s="152"/>
      <c r="C17" s="153"/>
      <c r="D17" s="146"/>
      <c r="E17" s="147"/>
    </row>
    <row r="18" spans="1:5" ht="15.6">
      <c r="A18" s="148"/>
      <c r="B18" s="16"/>
      <c r="C18" s="154"/>
      <c r="D18" s="146"/>
      <c r="E18" s="147"/>
    </row>
    <row r="19" spans="1:5">
      <c r="A19" s="155"/>
      <c r="B19" s="152"/>
      <c r="C19" s="156"/>
      <c r="D19" s="146"/>
      <c r="E19" s="147"/>
    </row>
    <row r="20" spans="1:5">
      <c r="A20" s="155"/>
      <c r="B20" s="16"/>
      <c r="C20" s="154"/>
      <c r="D20" s="146"/>
      <c r="E20" s="147"/>
    </row>
    <row r="21" spans="1:5">
      <c r="A21" s="155"/>
      <c r="B21" s="152"/>
      <c r="C21" s="156"/>
      <c r="D21" s="146"/>
      <c r="E21" s="147"/>
    </row>
    <row r="22" spans="1:5">
      <c r="A22" s="155"/>
      <c r="B22" s="157"/>
      <c r="C22" s="158"/>
      <c r="D22" s="146"/>
      <c r="E22" s="147"/>
    </row>
    <row r="23" spans="1:5">
      <c r="A23" s="15"/>
      <c r="B23" s="20"/>
      <c r="C23" s="21"/>
      <c r="D23" s="1"/>
    </row>
    <row r="24" spans="1:5">
      <c r="A24" s="15"/>
      <c r="B24" s="20"/>
      <c r="C24" s="20"/>
      <c r="D24" s="1"/>
    </row>
    <row r="25" spans="1:5">
      <c r="A25" s="15"/>
      <c r="B25" s="20"/>
      <c r="C25" s="20"/>
      <c r="D25" s="1"/>
    </row>
    <row r="26" spans="1:5">
      <c r="A26" s="15"/>
      <c r="B26" s="20"/>
      <c r="C26" s="20"/>
      <c r="D26" s="1"/>
    </row>
    <row r="27" spans="1:5">
      <c r="B27" s="22"/>
      <c r="C27" s="22"/>
    </row>
    <row r="28" spans="1:5">
      <c r="B28" s="22"/>
      <c r="C28" s="22"/>
    </row>
  </sheetData>
  <sheetProtection algorithmName="SHA-512" hashValue="Evlq0bIC0IR+Lw6DKsGy/WphDnRh/K7hOqsUAzmVsjKKEQaBBgS3fHeSaGcAWruIbutEz+ozfQaotfDWXj0e/g==" saltValue="F7D8seQo5pYTCxyFiCbII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K6" sqref="K6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4">
      <c r="A1" s="6" t="s">
        <v>206</v>
      </c>
      <c r="B1" s="30" t="s">
        <v>264</v>
      </c>
      <c r="C1" s="1"/>
      <c r="D1" s="146"/>
    </row>
    <row r="2" spans="1:4">
      <c r="A2" s="6" t="s">
        <v>188</v>
      </c>
      <c r="B2" s="7">
        <f>'July 2024'!K171</f>
        <v>5143718062.6700001</v>
      </c>
      <c r="C2" s="1"/>
      <c r="D2" s="146"/>
    </row>
    <row r="3" spans="1:4">
      <c r="A3" s="6" t="s">
        <v>19</v>
      </c>
      <c r="B3" s="8">
        <f>'July 2024'!K22</f>
        <v>26570099191.139999</v>
      </c>
      <c r="C3" s="1"/>
      <c r="D3" s="146"/>
    </row>
    <row r="4" spans="1:4">
      <c r="A4" s="6" t="s">
        <v>163</v>
      </c>
      <c r="B4" s="9">
        <f>'July 2024'!K165</f>
        <v>48663828318.699997</v>
      </c>
      <c r="C4" s="1"/>
      <c r="D4" s="146"/>
    </row>
    <row r="5" spans="1:4">
      <c r="A5" s="6" t="s">
        <v>210</v>
      </c>
      <c r="B5" s="9">
        <f>'July 2024'!K193</f>
        <v>49887626737.940002</v>
      </c>
      <c r="C5" s="1"/>
      <c r="D5" s="146"/>
    </row>
    <row r="6" spans="1:4">
      <c r="A6" s="6" t="s">
        <v>209</v>
      </c>
      <c r="B6" s="10">
        <f>'July 2024'!K135</f>
        <v>98739677765.599991</v>
      </c>
      <c r="C6" s="1"/>
      <c r="D6" s="146"/>
    </row>
    <row r="7" spans="1:4">
      <c r="A7" s="6" t="s">
        <v>207</v>
      </c>
      <c r="B7" s="10">
        <f>'July 2024'!K94</f>
        <v>222015747349.14996</v>
      </c>
      <c r="C7" s="1"/>
      <c r="D7" s="146"/>
    </row>
    <row r="8" spans="1:4">
      <c r="A8" s="6" t="s">
        <v>51</v>
      </c>
      <c r="B8" s="9">
        <f>'July 2024'!K58</f>
        <v>1191358460601.5798</v>
      </c>
      <c r="C8" s="1"/>
      <c r="D8" s="146"/>
    </row>
    <row r="9" spans="1:4">
      <c r="A9" s="6" t="s">
        <v>208</v>
      </c>
      <c r="B9" s="11">
        <f>'July 2024'!K127</f>
        <v>1579038021477.4919</v>
      </c>
      <c r="C9" s="1"/>
      <c r="D9" s="146"/>
    </row>
    <row r="10" spans="1:4">
      <c r="A10" s="1"/>
      <c r="B10" s="1"/>
      <c r="C10" s="1"/>
      <c r="D10" s="146"/>
    </row>
    <row r="11" spans="1:4">
      <c r="A11" s="4"/>
      <c r="B11" s="1"/>
      <c r="C11" s="1"/>
      <c r="D11" s="146"/>
    </row>
    <row r="12" spans="1:4">
      <c r="A12" s="12"/>
      <c r="B12" s="1"/>
      <c r="C12" s="1"/>
      <c r="D12" s="146"/>
    </row>
    <row r="13" spans="1:4" ht="15" customHeight="1">
      <c r="A13" s="13"/>
      <c r="B13" s="14"/>
      <c r="C13" s="1"/>
      <c r="D13" s="146"/>
    </row>
    <row r="14" spans="1:4">
      <c r="A14" s="161"/>
      <c r="B14" s="160"/>
      <c r="C14" s="146"/>
      <c r="D14" s="146"/>
    </row>
    <row r="15" spans="1:4">
      <c r="A15" s="161"/>
      <c r="B15" s="160"/>
      <c r="C15" s="146"/>
      <c r="D15" s="146"/>
    </row>
    <row r="16" spans="1:4">
      <c r="A16" s="162"/>
      <c r="B16" s="160"/>
      <c r="C16" s="146"/>
      <c r="D16" s="146"/>
    </row>
    <row r="17" spans="1:17">
      <c r="A17" s="162"/>
      <c r="B17" s="160"/>
      <c r="C17" s="146"/>
      <c r="D17" s="146"/>
    </row>
    <row r="18" spans="1:17">
      <c r="A18" s="161"/>
      <c r="B18" s="160"/>
      <c r="C18" s="146"/>
      <c r="D18" s="146"/>
    </row>
    <row r="19" spans="1:17">
      <c r="A19" s="163"/>
      <c r="B19" s="160"/>
      <c r="C19" s="146"/>
      <c r="D19" s="146"/>
    </row>
    <row r="20" spans="1:17">
      <c r="A20" s="164"/>
      <c r="B20" s="160"/>
      <c r="C20" s="146"/>
      <c r="D20" s="146"/>
    </row>
    <row r="21" spans="1:17">
      <c r="A21" s="155"/>
      <c r="B21" s="165"/>
      <c r="C21" s="146"/>
      <c r="D21" s="146"/>
    </row>
    <row r="22" spans="1:17">
      <c r="A22" s="159"/>
      <c r="B22" s="16"/>
      <c r="C22" s="146"/>
      <c r="D22" s="146"/>
    </row>
    <row r="23" spans="1:17">
      <c r="A23" s="159"/>
      <c r="B23" s="146"/>
      <c r="C23" s="146"/>
      <c r="D23" s="146"/>
    </row>
    <row r="24" spans="1:17">
      <c r="A24" s="146"/>
      <c r="B24" s="146"/>
      <c r="C24" s="146"/>
      <c r="D24" s="146"/>
    </row>
    <row r="25" spans="1:17">
      <c r="A25" s="146"/>
      <c r="B25" s="146"/>
      <c r="C25" s="146"/>
      <c r="D25" s="146"/>
    </row>
    <row r="32" spans="1:17" ht="15.9" customHeight="1">
      <c r="A32" s="145" t="s">
        <v>266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7"/>
    </row>
    <row r="33" spans="1:17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7"/>
    </row>
  </sheetData>
  <sheetProtection algorithmName="SHA-512" hashValue="b9tUUmX+eBx+F4htAna/scCAZMa/Ll2fPFnxaagqWGXxqXDm4UpdYJfwyacRzEU+xneoJG1GQ+t4C3bHzcoRXg==" saltValue="R4OZ00gAt8xxePeFUH/Xmg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G7" sqref="G7"/>
    </sheetView>
  </sheetViews>
  <sheetFormatPr defaultColWidth="9" defaultRowHeight="14.4"/>
  <cols>
    <col min="1" max="1" width="34.6640625" customWidth="1"/>
    <col min="2" max="2" width="15" customWidth="1"/>
  </cols>
  <sheetData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 ht="15.6">
      <c r="A5" s="2" t="s">
        <v>206</v>
      </c>
      <c r="B5" s="3" t="s">
        <v>211</v>
      </c>
      <c r="C5" s="1"/>
      <c r="D5" s="1"/>
    </row>
    <row r="6" spans="1:4">
      <c r="A6" s="4" t="s">
        <v>19</v>
      </c>
      <c r="B6" s="5">
        <f>'July 2024'!T22</f>
        <v>48911</v>
      </c>
      <c r="C6" s="1"/>
      <c r="D6" s="1"/>
    </row>
    <row r="7" spans="1:4">
      <c r="A7" s="4" t="s">
        <v>51</v>
      </c>
      <c r="B7" s="5">
        <f>'July 2024'!T58</f>
        <v>301693</v>
      </c>
      <c r="C7" s="1"/>
      <c r="D7" s="1"/>
    </row>
    <row r="8" spans="1:4">
      <c r="A8" s="4" t="s">
        <v>207</v>
      </c>
      <c r="B8" s="5">
        <f>'July 2024'!T94</f>
        <v>44966</v>
      </c>
      <c r="C8" s="1"/>
      <c r="D8" s="1"/>
    </row>
    <row r="9" spans="1:4">
      <c r="A9" s="4" t="s">
        <v>208</v>
      </c>
      <c r="B9" s="5">
        <f>'July 2024'!T127</f>
        <v>16569</v>
      </c>
      <c r="C9" s="1"/>
      <c r="D9" s="1"/>
    </row>
    <row r="10" spans="1:4">
      <c r="A10" s="4" t="s">
        <v>209</v>
      </c>
      <c r="B10" s="5">
        <f>'July 2024'!T135</f>
        <v>217007</v>
      </c>
      <c r="C10" s="1"/>
      <c r="D10" s="1"/>
    </row>
    <row r="11" spans="1:4">
      <c r="A11" s="4" t="s">
        <v>163</v>
      </c>
      <c r="B11" s="5">
        <f>'July 2024'!T165</f>
        <v>68914</v>
      </c>
      <c r="C11" s="1"/>
      <c r="D11" s="1"/>
    </row>
    <row r="12" spans="1:4">
      <c r="A12" s="4" t="s">
        <v>188</v>
      </c>
      <c r="B12" s="5">
        <v>11067</v>
      </c>
      <c r="C12" s="1"/>
      <c r="D12" s="1"/>
    </row>
    <row r="13" spans="1:4">
      <c r="A13" s="4" t="s">
        <v>210</v>
      </c>
      <c r="B13" s="5">
        <f>'July 2024'!T193</f>
        <v>27393</v>
      </c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46"/>
      <c r="B19" s="146"/>
      <c r="C19" s="146"/>
      <c r="D19" s="146"/>
    </row>
  </sheetData>
  <sheetProtection algorithmName="SHA-512" hashValue="KtnBZwakCCXL95dgYw48dpZfAZ0HjtlrC1PQlYnZZPNGvVklwCPB4mQqsBTT/YkVFfJVvVULkxSX/6iWO0YYTw==" saltValue="3ILrhINZQ5awLhkzHNFZC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July 2024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2025-02-03T15:22:13Z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