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Monthly Spreadsheet of Mutual Funds\Monthly Mutal Fund Updates 2023\"/>
    </mc:Choice>
  </mc:AlternateContent>
  <xr:revisionPtr revIDLastSave="0" documentId="13_ncr:1_{8E299302-FD8D-4E5B-8064-46CEA72BC3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uary 2023" sheetId="7" r:id="rId1"/>
    <sheet name="NAV Comparison" sheetId="2" r:id="rId2"/>
    <sheet name="Market Share" sheetId="3" r:id="rId3"/>
    <sheet name="Unitholders" sheetId="6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F102" i="7" l="1"/>
  <c r="S164" i="7" l="1"/>
  <c r="J164" i="7"/>
  <c r="H164" i="7"/>
  <c r="P163" i="7"/>
  <c r="O163" i="7"/>
  <c r="N163" i="7"/>
  <c r="M163" i="7"/>
  <c r="L163" i="7"/>
  <c r="K163" i="7"/>
  <c r="I163" i="7"/>
  <c r="P162" i="7"/>
  <c r="O162" i="7"/>
  <c r="N162" i="7"/>
  <c r="M162" i="7"/>
  <c r="L162" i="7"/>
  <c r="K162" i="7"/>
  <c r="I162" i="7"/>
  <c r="P161" i="7"/>
  <c r="O161" i="7"/>
  <c r="N161" i="7"/>
  <c r="M161" i="7"/>
  <c r="L161" i="7"/>
  <c r="K161" i="7"/>
  <c r="I161" i="7"/>
  <c r="P160" i="7"/>
  <c r="O160" i="7"/>
  <c r="N160" i="7"/>
  <c r="M160" i="7"/>
  <c r="L160" i="7"/>
  <c r="K160" i="7"/>
  <c r="I160" i="7"/>
  <c r="P159" i="7"/>
  <c r="O159" i="7"/>
  <c r="N159" i="7"/>
  <c r="M159" i="7"/>
  <c r="L159" i="7"/>
  <c r="K159" i="7"/>
  <c r="I159" i="7"/>
  <c r="P158" i="7"/>
  <c r="O158" i="7"/>
  <c r="N158" i="7"/>
  <c r="M158" i="7"/>
  <c r="L158" i="7"/>
  <c r="K158" i="7"/>
  <c r="I158" i="7"/>
  <c r="P157" i="7"/>
  <c r="O157" i="7"/>
  <c r="N157" i="7"/>
  <c r="M157" i="7"/>
  <c r="L157" i="7"/>
  <c r="K157" i="7"/>
  <c r="I157" i="7"/>
  <c r="P154" i="7"/>
  <c r="O154" i="7"/>
  <c r="N154" i="7"/>
  <c r="M154" i="7"/>
  <c r="L154" i="7"/>
  <c r="K154" i="7"/>
  <c r="I154" i="7"/>
  <c r="P153" i="7"/>
  <c r="O153" i="7"/>
  <c r="N153" i="7"/>
  <c r="M153" i="7"/>
  <c r="L153" i="7"/>
  <c r="K153" i="7"/>
  <c r="I153" i="7"/>
  <c r="S149" i="7"/>
  <c r="J149" i="7"/>
  <c r="H149" i="7"/>
  <c r="P148" i="7"/>
  <c r="O148" i="7"/>
  <c r="N148" i="7"/>
  <c r="M148" i="7"/>
  <c r="L148" i="7"/>
  <c r="K148" i="7"/>
  <c r="I148" i="7"/>
  <c r="P147" i="7"/>
  <c r="O147" i="7"/>
  <c r="N147" i="7"/>
  <c r="M147" i="7"/>
  <c r="L147" i="7"/>
  <c r="K147" i="7"/>
  <c r="I147" i="7"/>
  <c r="P146" i="7"/>
  <c r="O146" i="7"/>
  <c r="N146" i="7"/>
  <c r="M146" i="7"/>
  <c r="L146" i="7"/>
  <c r="K146" i="7"/>
  <c r="I146" i="7"/>
  <c r="S143" i="7"/>
  <c r="J143" i="7"/>
  <c r="H143" i="7"/>
  <c r="P142" i="7"/>
  <c r="O142" i="7"/>
  <c r="N142" i="7"/>
  <c r="M142" i="7"/>
  <c r="L142" i="7"/>
  <c r="K142" i="7"/>
  <c r="I142" i="7"/>
  <c r="P141" i="7"/>
  <c r="O141" i="7"/>
  <c r="N141" i="7"/>
  <c r="M141" i="7"/>
  <c r="L141" i="7"/>
  <c r="K141" i="7"/>
  <c r="I141" i="7"/>
  <c r="P140" i="7"/>
  <c r="O140" i="7"/>
  <c r="N140" i="7"/>
  <c r="M140" i="7"/>
  <c r="L140" i="7"/>
  <c r="K140" i="7"/>
  <c r="I140" i="7"/>
  <c r="P139" i="7"/>
  <c r="O139" i="7"/>
  <c r="N139" i="7"/>
  <c r="M139" i="7"/>
  <c r="L139" i="7"/>
  <c r="K139" i="7"/>
  <c r="I139" i="7"/>
  <c r="P138" i="7"/>
  <c r="O138" i="7"/>
  <c r="N138" i="7"/>
  <c r="M138" i="7"/>
  <c r="L138" i="7"/>
  <c r="K138" i="7"/>
  <c r="I138" i="7"/>
  <c r="P137" i="7"/>
  <c r="O137" i="7"/>
  <c r="N137" i="7"/>
  <c r="M137" i="7"/>
  <c r="L137" i="7"/>
  <c r="K137" i="7"/>
  <c r="I137" i="7"/>
  <c r="P136" i="7"/>
  <c r="O136" i="7"/>
  <c r="N136" i="7"/>
  <c r="M136" i="7"/>
  <c r="L136" i="7"/>
  <c r="K136" i="7"/>
  <c r="I136" i="7"/>
  <c r="P135" i="7"/>
  <c r="O135" i="7"/>
  <c r="N135" i="7"/>
  <c r="M135" i="7"/>
  <c r="L135" i="7"/>
  <c r="K135" i="7"/>
  <c r="I135" i="7"/>
  <c r="P134" i="7"/>
  <c r="O134" i="7"/>
  <c r="N134" i="7"/>
  <c r="M134" i="7"/>
  <c r="L134" i="7"/>
  <c r="K134" i="7"/>
  <c r="I134" i="7"/>
  <c r="P133" i="7"/>
  <c r="O133" i="7"/>
  <c r="N133" i="7"/>
  <c r="M133" i="7"/>
  <c r="L133" i="7"/>
  <c r="K133" i="7"/>
  <c r="I133" i="7"/>
  <c r="D133" i="7"/>
  <c r="P132" i="7"/>
  <c r="O132" i="7"/>
  <c r="N132" i="7"/>
  <c r="M132" i="7"/>
  <c r="L132" i="7"/>
  <c r="K132" i="7"/>
  <c r="I132" i="7"/>
  <c r="P131" i="7"/>
  <c r="O131" i="7"/>
  <c r="N131" i="7"/>
  <c r="M131" i="7"/>
  <c r="L131" i="7"/>
  <c r="K131" i="7"/>
  <c r="I131" i="7"/>
  <c r="P130" i="7"/>
  <c r="O130" i="7"/>
  <c r="N130" i="7"/>
  <c r="M130" i="7"/>
  <c r="L130" i="7"/>
  <c r="K130" i="7"/>
  <c r="I130" i="7"/>
  <c r="P129" i="7"/>
  <c r="O129" i="7"/>
  <c r="N129" i="7"/>
  <c r="M129" i="7"/>
  <c r="L129" i="7"/>
  <c r="K129" i="7"/>
  <c r="I129" i="7"/>
  <c r="P128" i="7"/>
  <c r="O128" i="7"/>
  <c r="N128" i="7"/>
  <c r="M128" i="7"/>
  <c r="L128" i="7"/>
  <c r="K128" i="7"/>
  <c r="I128" i="7"/>
  <c r="P127" i="7"/>
  <c r="O127" i="7"/>
  <c r="N127" i="7"/>
  <c r="M127" i="7"/>
  <c r="L127" i="7"/>
  <c r="K127" i="7"/>
  <c r="I127" i="7"/>
  <c r="P126" i="7"/>
  <c r="O126" i="7"/>
  <c r="N126" i="7"/>
  <c r="M126" i="7"/>
  <c r="L126" i="7"/>
  <c r="K126" i="7"/>
  <c r="I126" i="7"/>
  <c r="P125" i="7"/>
  <c r="O125" i="7"/>
  <c r="N125" i="7"/>
  <c r="M125" i="7"/>
  <c r="L125" i="7"/>
  <c r="K125" i="7"/>
  <c r="I125" i="7"/>
  <c r="P124" i="7"/>
  <c r="O124" i="7"/>
  <c r="N124" i="7"/>
  <c r="M124" i="7"/>
  <c r="L124" i="7"/>
  <c r="K124" i="7"/>
  <c r="I124" i="7"/>
  <c r="P123" i="7"/>
  <c r="O123" i="7"/>
  <c r="N123" i="7"/>
  <c r="M123" i="7"/>
  <c r="L123" i="7"/>
  <c r="K123" i="7"/>
  <c r="I123" i="7"/>
  <c r="P122" i="7"/>
  <c r="O122" i="7"/>
  <c r="N122" i="7"/>
  <c r="M122" i="7"/>
  <c r="L122" i="7"/>
  <c r="K122" i="7"/>
  <c r="I122" i="7"/>
  <c r="P121" i="7"/>
  <c r="O121" i="7"/>
  <c r="N121" i="7"/>
  <c r="M121" i="7"/>
  <c r="L121" i="7"/>
  <c r="K121" i="7"/>
  <c r="I121" i="7"/>
  <c r="P120" i="7"/>
  <c r="O120" i="7"/>
  <c r="N120" i="7"/>
  <c r="M120" i="7"/>
  <c r="L120" i="7"/>
  <c r="K120" i="7"/>
  <c r="I120" i="7"/>
  <c r="P119" i="7"/>
  <c r="O119" i="7"/>
  <c r="N119" i="7"/>
  <c r="M119" i="7"/>
  <c r="L119" i="7"/>
  <c r="K119" i="7"/>
  <c r="I119" i="7"/>
  <c r="S116" i="7"/>
  <c r="J116" i="7"/>
  <c r="H116" i="7"/>
  <c r="P115" i="7"/>
  <c r="O115" i="7"/>
  <c r="N115" i="7"/>
  <c r="M115" i="7"/>
  <c r="L115" i="7"/>
  <c r="K115" i="7"/>
  <c r="I115" i="7"/>
  <c r="P114" i="7"/>
  <c r="O114" i="7"/>
  <c r="N114" i="7"/>
  <c r="M114" i="7"/>
  <c r="L114" i="7"/>
  <c r="K114" i="7"/>
  <c r="I114" i="7"/>
  <c r="P113" i="7"/>
  <c r="O113" i="7"/>
  <c r="N113" i="7"/>
  <c r="M113" i="7"/>
  <c r="L113" i="7"/>
  <c r="K113" i="7"/>
  <c r="I113" i="7"/>
  <c r="P112" i="7"/>
  <c r="O112" i="7"/>
  <c r="N112" i="7"/>
  <c r="M112" i="7"/>
  <c r="L112" i="7"/>
  <c r="K112" i="7"/>
  <c r="I112" i="7"/>
  <c r="S109" i="7"/>
  <c r="R108" i="7"/>
  <c r="Q108" i="7"/>
  <c r="J108" i="7"/>
  <c r="H108" i="7"/>
  <c r="G108" i="7"/>
  <c r="F108" i="7"/>
  <c r="M108" i="7" s="1"/>
  <c r="E108" i="7"/>
  <c r="D108" i="7"/>
  <c r="R107" i="7"/>
  <c r="Q107" i="7"/>
  <c r="J107" i="7"/>
  <c r="H107" i="7"/>
  <c r="G107" i="7"/>
  <c r="F107" i="7"/>
  <c r="M107" i="7" s="1"/>
  <c r="E107" i="7"/>
  <c r="D107" i="7"/>
  <c r="R106" i="7"/>
  <c r="Q106" i="7"/>
  <c r="J106" i="7"/>
  <c r="G106" i="7"/>
  <c r="F106" i="7"/>
  <c r="M106" i="7" s="1"/>
  <c r="E106" i="7"/>
  <c r="D106" i="7"/>
  <c r="R105" i="7"/>
  <c r="Q105" i="7"/>
  <c r="J105" i="7"/>
  <c r="H105" i="7"/>
  <c r="G105" i="7"/>
  <c r="F105" i="7"/>
  <c r="M105" i="7" s="1"/>
  <c r="E105" i="7"/>
  <c r="D105" i="7"/>
  <c r="R104" i="7"/>
  <c r="Q104" i="7"/>
  <c r="J104" i="7"/>
  <c r="H104" i="7"/>
  <c r="G104" i="7"/>
  <c r="F104" i="7"/>
  <c r="M104" i="7" s="1"/>
  <c r="E104" i="7"/>
  <c r="D104" i="7"/>
  <c r="R103" i="7"/>
  <c r="Q103" i="7"/>
  <c r="J103" i="7"/>
  <c r="H103" i="7"/>
  <c r="G103" i="7"/>
  <c r="F103" i="7"/>
  <c r="M103" i="7" s="1"/>
  <c r="E103" i="7"/>
  <c r="D103" i="7"/>
  <c r="R102" i="7"/>
  <c r="Q102" i="7"/>
  <c r="J102" i="7"/>
  <c r="G102" i="7"/>
  <c r="M102" i="7"/>
  <c r="E102" i="7"/>
  <c r="D102" i="7"/>
  <c r="R101" i="7"/>
  <c r="Q101" i="7"/>
  <c r="J101" i="7"/>
  <c r="H101" i="7"/>
  <c r="G101" i="7"/>
  <c r="F101" i="7"/>
  <c r="M101" i="7" s="1"/>
  <c r="E101" i="7"/>
  <c r="D101" i="7"/>
  <c r="P98" i="7"/>
  <c r="O98" i="7"/>
  <c r="N98" i="7"/>
  <c r="M98" i="7"/>
  <c r="L98" i="7"/>
  <c r="R97" i="7"/>
  <c r="Q97" i="7"/>
  <c r="J97" i="7"/>
  <c r="H97" i="7"/>
  <c r="G97" i="7"/>
  <c r="F97" i="7"/>
  <c r="M97" i="7" s="1"/>
  <c r="E97" i="7"/>
  <c r="D97" i="7"/>
  <c r="R96" i="7"/>
  <c r="Q96" i="7"/>
  <c r="J96" i="7"/>
  <c r="H96" i="7"/>
  <c r="G96" i="7"/>
  <c r="F96" i="7"/>
  <c r="M96" i="7" s="1"/>
  <c r="E96" i="7"/>
  <c r="D96" i="7"/>
  <c r="R95" i="7"/>
  <c r="Q95" i="7"/>
  <c r="J95" i="7"/>
  <c r="H95" i="7"/>
  <c r="G95" i="7"/>
  <c r="F95" i="7"/>
  <c r="M95" i="7" s="1"/>
  <c r="E95" i="7"/>
  <c r="D95" i="7"/>
  <c r="P94" i="7"/>
  <c r="O94" i="7"/>
  <c r="N94" i="7"/>
  <c r="M94" i="7"/>
  <c r="L94" i="7"/>
  <c r="P93" i="7"/>
  <c r="O93" i="7"/>
  <c r="N93" i="7"/>
  <c r="M93" i="7"/>
  <c r="L93" i="7"/>
  <c r="P92" i="7"/>
  <c r="O92" i="7"/>
  <c r="N92" i="7"/>
  <c r="M92" i="7"/>
  <c r="L92" i="7"/>
  <c r="R91" i="7"/>
  <c r="Q91" i="7"/>
  <c r="J91" i="7"/>
  <c r="H91" i="7"/>
  <c r="G91" i="7"/>
  <c r="F91" i="7"/>
  <c r="M91" i="7" s="1"/>
  <c r="E91" i="7"/>
  <c r="D91" i="7"/>
  <c r="R90" i="7"/>
  <c r="Q90" i="7"/>
  <c r="P90" i="7"/>
  <c r="O90" i="7"/>
  <c r="N90" i="7"/>
  <c r="M90" i="7"/>
  <c r="L90" i="7"/>
  <c r="S86" i="7"/>
  <c r="J86" i="7"/>
  <c r="H86" i="7"/>
  <c r="P85" i="7"/>
  <c r="O85" i="7"/>
  <c r="N85" i="7"/>
  <c r="M85" i="7"/>
  <c r="L85" i="7"/>
  <c r="K85" i="7"/>
  <c r="I85" i="7"/>
  <c r="P84" i="7"/>
  <c r="O84" i="7"/>
  <c r="N84" i="7"/>
  <c r="M84" i="7"/>
  <c r="L84" i="7"/>
  <c r="K84" i="7"/>
  <c r="I84" i="7"/>
  <c r="P83" i="7"/>
  <c r="O83" i="7"/>
  <c r="N83" i="7"/>
  <c r="M83" i="7"/>
  <c r="L83" i="7"/>
  <c r="K83" i="7"/>
  <c r="I83" i="7"/>
  <c r="P82" i="7"/>
  <c r="O82" i="7"/>
  <c r="N82" i="7"/>
  <c r="M82" i="7"/>
  <c r="L82" i="7"/>
  <c r="K82" i="7"/>
  <c r="I82" i="7"/>
  <c r="P81" i="7"/>
  <c r="O81" i="7"/>
  <c r="N81" i="7"/>
  <c r="M81" i="7"/>
  <c r="L81" i="7"/>
  <c r="K81" i="7"/>
  <c r="I81" i="7"/>
  <c r="P80" i="7"/>
  <c r="O80" i="7"/>
  <c r="N80" i="7"/>
  <c r="M80" i="7"/>
  <c r="L80" i="7"/>
  <c r="K80" i="7"/>
  <c r="I80" i="7"/>
  <c r="P79" i="7"/>
  <c r="O79" i="7"/>
  <c r="N79" i="7"/>
  <c r="M79" i="7"/>
  <c r="L79" i="7"/>
  <c r="K79" i="7"/>
  <c r="I79" i="7"/>
  <c r="P78" i="7"/>
  <c r="O78" i="7"/>
  <c r="N78" i="7"/>
  <c r="M78" i="7"/>
  <c r="L78" i="7"/>
  <c r="K78" i="7"/>
  <c r="I78" i="7"/>
  <c r="P77" i="7"/>
  <c r="O77" i="7"/>
  <c r="N77" i="7"/>
  <c r="M77" i="7"/>
  <c r="L77" i="7"/>
  <c r="K77" i="7"/>
  <c r="I77" i="7"/>
  <c r="P76" i="7"/>
  <c r="O76" i="7"/>
  <c r="N76" i="7"/>
  <c r="M76" i="7"/>
  <c r="L76" i="7"/>
  <c r="K76" i="7"/>
  <c r="I76" i="7"/>
  <c r="P75" i="7"/>
  <c r="O75" i="7"/>
  <c r="N75" i="7"/>
  <c r="M75" i="7"/>
  <c r="L75" i="7"/>
  <c r="K75" i="7"/>
  <c r="I75" i="7"/>
  <c r="P74" i="7"/>
  <c r="O74" i="7"/>
  <c r="N74" i="7"/>
  <c r="M74" i="7"/>
  <c r="L74" i="7"/>
  <c r="K74" i="7"/>
  <c r="I74" i="7"/>
  <c r="P73" i="7"/>
  <c r="O73" i="7"/>
  <c r="N73" i="7"/>
  <c r="M73" i="7"/>
  <c r="L73" i="7"/>
  <c r="K73" i="7"/>
  <c r="I73" i="7"/>
  <c r="P72" i="7"/>
  <c r="O72" i="7"/>
  <c r="N72" i="7"/>
  <c r="M72" i="7"/>
  <c r="L72" i="7"/>
  <c r="K72" i="7"/>
  <c r="I72" i="7"/>
  <c r="P71" i="7"/>
  <c r="O71" i="7"/>
  <c r="N71" i="7"/>
  <c r="M71" i="7"/>
  <c r="L71" i="7"/>
  <c r="K71" i="7"/>
  <c r="I71" i="7"/>
  <c r="P70" i="7"/>
  <c r="O70" i="7"/>
  <c r="N70" i="7"/>
  <c r="M70" i="7"/>
  <c r="L70" i="7"/>
  <c r="K70" i="7"/>
  <c r="I70" i="7"/>
  <c r="P69" i="7"/>
  <c r="O69" i="7"/>
  <c r="N69" i="7"/>
  <c r="M69" i="7"/>
  <c r="L69" i="7"/>
  <c r="K69" i="7"/>
  <c r="I69" i="7"/>
  <c r="P68" i="7"/>
  <c r="O68" i="7"/>
  <c r="N68" i="7"/>
  <c r="M68" i="7"/>
  <c r="L68" i="7"/>
  <c r="K68" i="7"/>
  <c r="I68" i="7"/>
  <c r="P67" i="7"/>
  <c r="O67" i="7"/>
  <c r="N67" i="7"/>
  <c r="M67" i="7"/>
  <c r="L67" i="7"/>
  <c r="K67" i="7"/>
  <c r="I67" i="7"/>
  <c r="P66" i="7"/>
  <c r="O66" i="7"/>
  <c r="N66" i="7"/>
  <c r="M66" i="7"/>
  <c r="L66" i="7"/>
  <c r="K66" i="7"/>
  <c r="I66" i="7"/>
  <c r="D66" i="7"/>
  <c r="P65" i="7"/>
  <c r="O65" i="7"/>
  <c r="N65" i="7"/>
  <c r="M65" i="7"/>
  <c r="L65" i="7"/>
  <c r="K65" i="7"/>
  <c r="I65" i="7"/>
  <c r="P64" i="7"/>
  <c r="O64" i="7"/>
  <c r="N64" i="7"/>
  <c r="M64" i="7"/>
  <c r="L64" i="7"/>
  <c r="K64" i="7"/>
  <c r="I64" i="7"/>
  <c r="P63" i="7"/>
  <c r="O63" i="7"/>
  <c r="N63" i="7"/>
  <c r="M63" i="7"/>
  <c r="L63" i="7"/>
  <c r="K63" i="7"/>
  <c r="I63" i="7"/>
  <c r="P62" i="7"/>
  <c r="O62" i="7"/>
  <c r="N62" i="7"/>
  <c r="M62" i="7"/>
  <c r="L62" i="7"/>
  <c r="K62" i="7"/>
  <c r="I62" i="7"/>
  <c r="P61" i="7"/>
  <c r="O61" i="7"/>
  <c r="N61" i="7"/>
  <c r="M61" i="7"/>
  <c r="L61" i="7"/>
  <c r="K61" i="7"/>
  <c r="I61" i="7"/>
  <c r="P60" i="7"/>
  <c r="O60" i="7"/>
  <c r="N60" i="7"/>
  <c r="M60" i="7"/>
  <c r="L60" i="7"/>
  <c r="K60" i="7"/>
  <c r="I60" i="7"/>
  <c r="P59" i="7"/>
  <c r="O59" i="7"/>
  <c r="N59" i="7"/>
  <c r="M59" i="7"/>
  <c r="L59" i="7"/>
  <c r="K59" i="7"/>
  <c r="I59" i="7"/>
  <c r="P58" i="7"/>
  <c r="O58" i="7"/>
  <c r="N58" i="7"/>
  <c r="M58" i="7"/>
  <c r="L58" i="7"/>
  <c r="K58" i="7"/>
  <c r="I58" i="7"/>
  <c r="P57" i="7"/>
  <c r="O57" i="7"/>
  <c r="N57" i="7"/>
  <c r="M57" i="7"/>
  <c r="L57" i="7"/>
  <c r="K57" i="7"/>
  <c r="I57" i="7"/>
  <c r="P56" i="7"/>
  <c r="O56" i="7"/>
  <c r="N56" i="7"/>
  <c r="M56" i="7"/>
  <c r="L56" i="7"/>
  <c r="K56" i="7"/>
  <c r="I56" i="7"/>
  <c r="J53" i="7"/>
  <c r="H53" i="7"/>
  <c r="P52" i="7"/>
  <c r="O52" i="7"/>
  <c r="N52" i="7"/>
  <c r="M52" i="7"/>
  <c r="L52" i="7"/>
  <c r="K52" i="7"/>
  <c r="I52" i="7"/>
  <c r="P51" i="7"/>
  <c r="O51" i="7"/>
  <c r="N51" i="7"/>
  <c r="M51" i="7"/>
  <c r="L51" i="7"/>
  <c r="K51" i="7"/>
  <c r="I51" i="7"/>
  <c r="P50" i="7"/>
  <c r="O50" i="7"/>
  <c r="N50" i="7"/>
  <c r="M50" i="7"/>
  <c r="L50" i="7"/>
  <c r="K50" i="7"/>
  <c r="I50" i="7"/>
  <c r="P49" i="7"/>
  <c r="O49" i="7"/>
  <c r="N49" i="7"/>
  <c r="M49" i="7"/>
  <c r="L49" i="7"/>
  <c r="K49" i="7"/>
  <c r="I49" i="7"/>
  <c r="P48" i="7"/>
  <c r="O48" i="7"/>
  <c r="N48" i="7"/>
  <c r="M48" i="7"/>
  <c r="L48" i="7"/>
  <c r="K48" i="7"/>
  <c r="I48" i="7"/>
  <c r="P47" i="7"/>
  <c r="O47" i="7"/>
  <c r="N47" i="7"/>
  <c r="M47" i="7"/>
  <c r="L47" i="7"/>
  <c r="K47" i="7"/>
  <c r="I47" i="7"/>
  <c r="P46" i="7"/>
  <c r="O46" i="7"/>
  <c r="N46" i="7"/>
  <c r="M46" i="7"/>
  <c r="L46" i="7"/>
  <c r="K46" i="7"/>
  <c r="I46" i="7"/>
  <c r="P45" i="7"/>
  <c r="O45" i="7"/>
  <c r="N45" i="7"/>
  <c r="M45" i="7"/>
  <c r="L45" i="7"/>
  <c r="K45" i="7"/>
  <c r="I45" i="7"/>
  <c r="D45" i="7"/>
  <c r="P44" i="7"/>
  <c r="O44" i="7"/>
  <c r="N44" i="7"/>
  <c r="M44" i="7"/>
  <c r="L44" i="7"/>
  <c r="K44" i="7"/>
  <c r="I44" i="7"/>
  <c r="P43" i="7"/>
  <c r="O43" i="7"/>
  <c r="N43" i="7"/>
  <c r="M43" i="7"/>
  <c r="L43" i="7"/>
  <c r="K43" i="7"/>
  <c r="I43" i="7"/>
  <c r="P42" i="7"/>
  <c r="O42" i="7"/>
  <c r="N42" i="7"/>
  <c r="M42" i="7"/>
  <c r="L42" i="7"/>
  <c r="K42" i="7"/>
  <c r="I42" i="7"/>
  <c r="P41" i="7"/>
  <c r="O41" i="7"/>
  <c r="N41" i="7"/>
  <c r="M41" i="7"/>
  <c r="L41" i="7"/>
  <c r="K41" i="7"/>
  <c r="I41" i="7"/>
  <c r="P40" i="7"/>
  <c r="O40" i="7"/>
  <c r="N40" i="7"/>
  <c r="M40" i="7"/>
  <c r="L40" i="7"/>
  <c r="K40" i="7"/>
  <c r="I40" i="7"/>
  <c r="P39" i="7"/>
  <c r="O39" i="7"/>
  <c r="N39" i="7"/>
  <c r="M39" i="7"/>
  <c r="L39" i="7"/>
  <c r="K39" i="7"/>
  <c r="I39" i="7"/>
  <c r="P38" i="7"/>
  <c r="O38" i="7"/>
  <c r="N38" i="7"/>
  <c r="M38" i="7"/>
  <c r="L38" i="7"/>
  <c r="K38" i="7"/>
  <c r="I38" i="7"/>
  <c r="P37" i="7"/>
  <c r="O37" i="7"/>
  <c r="N37" i="7"/>
  <c r="M37" i="7"/>
  <c r="L37" i="7"/>
  <c r="K37" i="7"/>
  <c r="I37" i="7"/>
  <c r="P36" i="7"/>
  <c r="O36" i="7"/>
  <c r="N36" i="7"/>
  <c r="M36" i="7"/>
  <c r="L36" i="7"/>
  <c r="K36" i="7"/>
  <c r="I36" i="7"/>
  <c r="S35" i="7"/>
  <c r="S53" i="7" s="1"/>
  <c r="P35" i="7"/>
  <c r="O35" i="7"/>
  <c r="N35" i="7"/>
  <c r="M35" i="7"/>
  <c r="L35" i="7"/>
  <c r="K35" i="7"/>
  <c r="I35" i="7"/>
  <c r="P34" i="7"/>
  <c r="O34" i="7"/>
  <c r="N34" i="7"/>
  <c r="M34" i="7"/>
  <c r="L34" i="7"/>
  <c r="K34" i="7"/>
  <c r="I34" i="7"/>
  <c r="P33" i="7"/>
  <c r="O33" i="7"/>
  <c r="N33" i="7"/>
  <c r="M33" i="7"/>
  <c r="L33" i="7"/>
  <c r="K33" i="7"/>
  <c r="I33" i="7"/>
  <c r="P32" i="7"/>
  <c r="O32" i="7"/>
  <c r="N32" i="7"/>
  <c r="M32" i="7"/>
  <c r="L32" i="7"/>
  <c r="K32" i="7"/>
  <c r="I32" i="7"/>
  <c r="P31" i="7"/>
  <c r="O31" i="7"/>
  <c r="N31" i="7"/>
  <c r="M31" i="7"/>
  <c r="L31" i="7"/>
  <c r="K31" i="7"/>
  <c r="I31" i="7"/>
  <c r="P30" i="7"/>
  <c r="O30" i="7"/>
  <c r="N30" i="7"/>
  <c r="M30" i="7"/>
  <c r="L30" i="7"/>
  <c r="K30" i="7"/>
  <c r="I30" i="7"/>
  <c r="P29" i="7"/>
  <c r="O29" i="7"/>
  <c r="N29" i="7"/>
  <c r="M29" i="7"/>
  <c r="L29" i="7"/>
  <c r="K29" i="7"/>
  <c r="I29" i="7"/>
  <c r="P28" i="7"/>
  <c r="O28" i="7"/>
  <c r="N28" i="7"/>
  <c r="M28" i="7"/>
  <c r="L28" i="7"/>
  <c r="K28" i="7"/>
  <c r="I28" i="7"/>
  <c r="P27" i="7"/>
  <c r="O27" i="7"/>
  <c r="N27" i="7"/>
  <c r="M27" i="7"/>
  <c r="L27" i="7"/>
  <c r="K27" i="7"/>
  <c r="I27" i="7"/>
  <c r="P26" i="7"/>
  <c r="O26" i="7"/>
  <c r="N26" i="7"/>
  <c r="M26" i="7"/>
  <c r="L26" i="7"/>
  <c r="K26" i="7"/>
  <c r="I26" i="7"/>
  <c r="P25" i="7"/>
  <c r="O25" i="7"/>
  <c r="N25" i="7"/>
  <c r="M25" i="7"/>
  <c r="L25" i="7"/>
  <c r="K25" i="7"/>
  <c r="I25" i="7"/>
  <c r="P24" i="7"/>
  <c r="O24" i="7"/>
  <c r="N24" i="7"/>
  <c r="M24" i="7"/>
  <c r="L24" i="7"/>
  <c r="K24" i="7"/>
  <c r="I24" i="7"/>
  <c r="S21" i="7"/>
  <c r="S165" i="7" s="1"/>
  <c r="J21" i="7"/>
  <c r="H21" i="7"/>
  <c r="P20" i="7"/>
  <c r="O20" i="7"/>
  <c r="N20" i="7"/>
  <c r="M20" i="7"/>
  <c r="L20" i="7"/>
  <c r="K20" i="7"/>
  <c r="I20" i="7"/>
  <c r="P19" i="7"/>
  <c r="O19" i="7"/>
  <c r="N19" i="7"/>
  <c r="M19" i="7"/>
  <c r="L19" i="7"/>
  <c r="K19" i="7"/>
  <c r="I19" i="7"/>
  <c r="P18" i="7"/>
  <c r="O18" i="7"/>
  <c r="N18" i="7"/>
  <c r="M18" i="7"/>
  <c r="L18" i="7"/>
  <c r="K18" i="7"/>
  <c r="I18" i="7"/>
  <c r="D18" i="7"/>
  <c r="P17" i="7"/>
  <c r="O17" i="7"/>
  <c r="N17" i="7"/>
  <c r="M17" i="7"/>
  <c r="L17" i="7"/>
  <c r="K17" i="7"/>
  <c r="I17" i="7"/>
  <c r="P16" i="7"/>
  <c r="O16" i="7"/>
  <c r="N16" i="7"/>
  <c r="M16" i="7"/>
  <c r="L16" i="7"/>
  <c r="K16" i="7"/>
  <c r="I16" i="7"/>
  <c r="P15" i="7"/>
  <c r="O15" i="7"/>
  <c r="N15" i="7"/>
  <c r="M15" i="7"/>
  <c r="L15" i="7"/>
  <c r="K15" i="7"/>
  <c r="I15" i="7"/>
  <c r="P14" i="7"/>
  <c r="O14" i="7"/>
  <c r="N14" i="7"/>
  <c r="M14" i="7"/>
  <c r="L14" i="7"/>
  <c r="K14" i="7"/>
  <c r="I14" i="7"/>
  <c r="P13" i="7"/>
  <c r="O13" i="7"/>
  <c r="N13" i="7"/>
  <c r="M13" i="7"/>
  <c r="L13" i="7"/>
  <c r="K13" i="7"/>
  <c r="I13" i="7"/>
  <c r="P12" i="7"/>
  <c r="O12" i="7"/>
  <c r="N12" i="7"/>
  <c r="M12" i="7"/>
  <c r="L12" i="7"/>
  <c r="K12" i="7"/>
  <c r="I12" i="7"/>
  <c r="P11" i="7"/>
  <c r="O11" i="7"/>
  <c r="N11" i="7"/>
  <c r="M11" i="7"/>
  <c r="L11" i="7"/>
  <c r="K11" i="7"/>
  <c r="I11" i="7"/>
  <c r="P10" i="7"/>
  <c r="O10" i="7"/>
  <c r="N10" i="7"/>
  <c r="M10" i="7"/>
  <c r="L10" i="7"/>
  <c r="K10" i="7"/>
  <c r="I10" i="7"/>
  <c r="P9" i="7"/>
  <c r="O9" i="7"/>
  <c r="N9" i="7"/>
  <c r="M9" i="7"/>
  <c r="L9" i="7"/>
  <c r="K9" i="7"/>
  <c r="I9" i="7"/>
  <c r="P8" i="7"/>
  <c r="O8" i="7"/>
  <c r="N8" i="7"/>
  <c r="M8" i="7"/>
  <c r="L8" i="7"/>
  <c r="K8" i="7"/>
  <c r="I8" i="7"/>
  <c r="P7" i="7"/>
  <c r="O7" i="7"/>
  <c r="N7" i="7"/>
  <c r="M7" i="7"/>
  <c r="L7" i="7"/>
  <c r="K7" i="7"/>
  <c r="I7" i="7"/>
  <c r="P6" i="7"/>
  <c r="O6" i="7"/>
  <c r="N6" i="7"/>
  <c r="M6" i="7"/>
  <c r="L6" i="7"/>
  <c r="K6" i="7"/>
  <c r="I6" i="7"/>
  <c r="P5" i="7"/>
  <c r="O5" i="7"/>
  <c r="N5" i="7"/>
  <c r="M5" i="7"/>
  <c r="L5" i="7"/>
  <c r="K5" i="7"/>
  <c r="I5" i="7"/>
  <c r="L21" i="7" l="1"/>
  <c r="L53" i="7"/>
  <c r="L86" i="7"/>
  <c r="P91" i="7"/>
  <c r="N91" i="7"/>
  <c r="H109" i="7"/>
  <c r="I91" i="7"/>
  <c r="J109" i="7"/>
  <c r="O91" i="7"/>
  <c r="L91" i="7"/>
  <c r="K91" i="7"/>
  <c r="P95" i="7"/>
  <c r="N95" i="7"/>
  <c r="I95" i="7"/>
  <c r="O95" i="7"/>
  <c r="L95" i="7"/>
  <c r="K95" i="7"/>
  <c r="P96" i="7"/>
  <c r="N96" i="7"/>
  <c r="I96" i="7"/>
  <c r="O96" i="7"/>
  <c r="L96" i="7"/>
  <c r="K96" i="7"/>
  <c r="P97" i="7"/>
  <c r="N97" i="7"/>
  <c r="I97" i="7"/>
  <c r="O97" i="7"/>
  <c r="L97" i="7"/>
  <c r="K97" i="7"/>
  <c r="P101" i="7"/>
  <c r="N101" i="7"/>
  <c r="I101" i="7"/>
  <c r="O101" i="7"/>
  <c r="L101" i="7"/>
  <c r="K101" i="7"/>
  <c r="P102" i="7"/>
  <c r="N102" i="7"/>
  <c r="O102" i="7"/>
  <c r="L102" i="7"/>
  <c r="K102" i="7"/>
  <c r="P103" i="7"/>
  <c r="N103" i="7"/>
  <c r="I103" i="7"/>
  <c r="O103" i="7"/>
  <c r="L103" i="7"/>
  <c r="K103" i="7"/>
  <c r="P104" i="7"/>
  <c r="N104" i="7"/>
  <c r="I104" i="7"/>
  <c r="O104" i="7"/>
  <c r="L104" i="7"/>
  <c r="K104" i="7"/>
  <c r="P105" i="7"/>
  <c r="N105" i="7"/>
  <c r="I105" i="7"/>
  <c r="O105" i="7"/>
  <c r="L105" i="7"/>
  <c r="K105" i="7"/>
  <c r="P106" i="7"/>
  <c r="N106" i="7"/>
  <c r="O106" i="7"/>
  <c r="L106" i="7"/>
  <c r="K106" i="7"/>
  <c r="P107" i="7"/>
  <c r="N107" i="7"/>
  <c r="I107" i="7"/>
  <c r="O107" i="7"/>
  <c r="L107" i="7"/>
  <c r="K107" i="7"/>
  <c r="P108" i="7"/>
  <c r="N108" i="7"/>
  <c r="I108" i="7"/>
  <c r="O108" i="7"/>
  <c r="L108" i="7"/>
  <c r="K108" i="7"/>
  <c r="L116" i="7"/>
  <c r="L143" i="7"/>
  <c r="L149" i="7"/>
  <c r="L164" i="7"/>
  <c r="L109" i="7" l="1"/>
  <c r="K98" i="7"/>
  <c r="K94" i="7"/>
  <c r="K93" i="7"/>
  <c r="K92" i="7"/>
  <c r="K90" i="7"/>
  <c r="J165" i="7"/>
  <c r="I106" i="7"/>
  <c r="I102" i="7"/>
  <c r="I98" i="7"/>
  <c r="I94" i="7"/>
  <c r="I93" i="7"/>
  <c r="I92" i="7"/>
  <c r="I90" i="7"/>
  <c r="H165" i="7"/>
  <c r="I21" i="7" l="1"/>
  <c r="I53" i="7"/>
  <c r="I86" i="7"/>
  <c r="I116" i="7"/>
  <c r="I143" i="7"/>
  <c r="I149" i="7"/>
  <c r="I164" i="7"/>
  <c r="I109" i="7"/>
  <c r="K21" i="7"/>
  <c r="K53" i="7"/>
  <c r="K86" i="7"/>
  <c r="K116" i="7"/>
  <c r="K143" i="7"/>
  <c r="K149" i="7"/>
  <c r="K164" i="7"/>
  <c r="K109" i="7"/>
  <c r="C12" i="2" l="1"/>
  <c r="C11" i="2"/>
  <c r="C10" i="2"/>
  <c r="C9" i="2"/>
  <c r="C8" i="2"/>
  <c r="C7" i="2"/>
  <c r="C6" i="2"/>
  <c r="C5" i="2"/>
  <c r="B12" i="2"/>
  <c r="B11" i="2"/>
  <c r="B10" i="2"/>
  <c r="B9" i="2"/>
  <c r="B8" i="2"/>
  <c r="B6" i="2"/>
  <c r="B5" i="2"/>
</calcChain>
</file>

<file path=xl/sharedStrings.xml><?xml version="1.0" encoding="utf-8"?>
<sst xmlns="http://schemas.openxmlformats.org/spreadsheetml/2006/main" count="342" uniqueCount="227">
  <si>
    <t>EQUITY BASED FUNDS</t>
  </si>
  <si>
    <t>MONEY MARKET FUNDS</t>
  </si>
  <si>
    <t>DOLLAR FUNDS</t>
  </si>
  <si>
    <t>BALANCED FUNDS</t>
  </si>
  <si>
    <t>ETHICAL FUNDS</t>
  </si>
  <si>
    <t>FUNDS</t>
  </si>
  <si>
    <t>BONDS/FIXED INCOME FUNDS</t>
  </si>
  <si>
    <t>REAL ESTATE INVESTMENT TRUST</t>
  </si>
  <si>
    <t>SHARI'AH COMPLAINT FUNDS</t>
  </si>
  <si>
    <t>Jan 2023</t>
  </si>
  <si>
    <t>Dec 2022</t>
  </si>
  <si>
    <t>UNIT HOLDERS</t>
  </si>
  <si>
    <t>FUND</t>
  </si>
  <si>
    <t>FUND MANAGER</t>
  </si>
  <si>
    <t xml:space="preserve">TOTAL VALUE OF INVESTMENT (N)               </t>
  </si>
  <si>
    <t>TOTAL INCOME (N)</t>
  </si>
  <si>
    <t>TOTAL EXPENSES (N)</t>
  </si>
  <si>
    <t>NET INCOME/LOSS</t>
  </si>
  <si>
    <t>NET ASSET VALUE  (N) PREVIOUS DECEMBER</t>
  </si>
  <si>
    <t>% ON TOTAL</t>
  </si>
  <si>
    <t xml:space="preserve">NET ASSET VALUE  (N) </t>
  </si>
  <si>
    <t>% CHANGE IN NAV</t>
  </si>
  <si>
    <t>EXPENSE RATIO</t>
  </si>
  <si>
    <t>BID PRICE (N)</t>
  </si>
  <si>
    <t>OFFER PRICE (N)</t>
  </si>
  <si>
    <t>NUMBER OF UNIT HOLDERS</t>
  </si>
  <si>
    <t>OPENING NUMBER OF UNITS</t>
  </si>
  <si>
    <t>CLOSING NUMBER OF UNITS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</si>
  <si>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</si>
  <si>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</si>
  <si>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</si>
  <si>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</si>
  <si>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</si>
  <si>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</si>
  <si>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</si>
  <si>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</si>
  <si>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</si>
  <si>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</si>
  <si>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</si>
  <si>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</si>
  <si>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</si>
  <si>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</si>
  <si>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</si>
  <si>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</si>
  <si>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</si>
  <si>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</si>
  <si>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</si>
  <si>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</si>
  <si>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</si>
  <si>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</si>
  <si>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</si>
  <si>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</si>
  <si>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</si>
  <si>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UBA Nom-Cowry Equity Fund</t>
  </si>
  <si>
    <t>Cowry Treasurers Limited</t>
  </si>
  <si>
    <t>United Capital Equity Fund</t>
  </si>
  <si>
    <t>United Capital Asset Mgt. Ltd</t>
  </si>
  <si>
    <t>Vantage Equity Income Fund</t>
  </si>
  <si>
    <t>Investment One Funds Management Limited</t>
  </si>
  <si>
    <t>Sub Total</t>
  </si>
  <si>
    <t>Abacus Money Market Fund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</si>
  <si>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</si>
  <si>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</si>
  <si>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</si>
  <si>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</si>
  <si>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</si>
  <si>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</si>
  <si>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 xml:space="preserve">AXA Mansard Investments Limited </t>
  </si>
  <si>
    <t>Chapel Hill Denham Money Market Fund(Frml NGIF)</t>
  </si>
  <si>
    <t>Coral Money Market Fund (FSDH Treasury Bill Fund)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</si>
  <si>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</si>
  <si>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</si>
  <si>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</si>
  <si>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</si>
  <si>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</si>
  <si>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</si>
  <si>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</si>
  <si>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</si>
  <si>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</si>
  <si>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</si>
  <si>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</si>
  <si>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</si>
  <si>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</si>
  <si>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</si>
  <si>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</si>
  <si>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</si>
  <si>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</si>
  <si>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</si>
  <si>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</si>
  <si>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</si>
  <si>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Legacy Money Market Fund</t>
  </si>
  <si>
    <t>Meristem Money Market Fund</t>
  </si>
  <si>
    <t>Norrenberger Money Market Fund</t>
  </si>
  <si>
    <t>Norrenberger Investment and Capital Management Limited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</si>
  <si>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</si>
  <si>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</si>
  <si>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</si>
  <si>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</si>
  <si>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</si>
  <si>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</si>
  <si>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</si>
  <si>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</si>
  <si>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</si>
  <si>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</si>
  <si>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</si>
  <si>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</si>
  <si>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</si>
  <si>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</si>
  <si>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</si>
  <si>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</si>
  <si>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</si>
  <si>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</si>
  <si>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</si>
  <si>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</si>
  <si>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</si>
  <si>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</si>
  <si>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Fund(Frml BGL Sapphire)</t>
  </si>
  <si>
    <t>Capital Express Assset &amp; Trust Limited</t>
  </si>
  <si>
    <t>Chapel Hill Denham Nigeria Bond Fund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</si>
  <si>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</si>
  <si>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</si>
  <si>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</si>
  <si>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</si>
  <si>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</si>
  <si>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</si>
  <si>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</si>
  <si>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FBN Bond Fund (FBN Fixed Income Fund)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</si>
  <si>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</si>
  <si>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</si>
  <si>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</si>
  <si>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</si>
  <si>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</si>
  <si>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</si>
  <si>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</si>
  <si>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</si>
  <si>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</si>
  <si>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</si>
  <si>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</si>
  <si>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</si>
  <si>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</si>
  <si>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</si>
  <si>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</si>
  <si>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UBA Nom-Cowry Fixed Income Fund</t>
  </si>
  <si>
    <t>United Capital Fixed Income Fund</t>
  </si>
  <si>
    <t>Vantage Guaranteed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</si>
  <si>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</si>
  <si>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</si>
  <si>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</si>
  <si>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</si>
  <si>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</si>
  <si>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</si>
  <si>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</si>
  <si>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</si>
  <si>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</si>
  <si>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</si>
  <si>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</si>
  <si>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</si>
  <si>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</si>
  <si>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 xml:space="preserve">Nigerian Eurobond Fund 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</si>
  <si>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</si>
  <si>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</si>
  <si>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</si>
  <si>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</si>
  <si>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</si>
  <si>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</si>
  <si>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</si>
  <si>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</si>
  <si>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</si>
  <si>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Vantage Dollar Fund</t>
  </si>
  <si>
    <t>REAL ESTATE FUNDS</t>
  </si>
  <si>
    <t>Nigeria Real Estate Investment Trust</t>
  </si>
  <si>
    <t>SFS Real Estate Investment Trust Fund</t>
  </si>
  <si>
    <t>Union Homes REITS</t>
  </si>
  <si>
    <t>20,887,621.98</t>
  </si>
  <si>
    <t>UPDC Real Estate Investment Fund</t>
  </si>
  <si>
    <t>Stanbic IBTC Asset Management Limited</t>
  </si>
  <si>
    <t>MIXED FUNDS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</si>
  <si>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</si>
  <si>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</si>
  <si>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</si>
  <si>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</si>
  <si>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</si>
  <si>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</si>
  <si>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</si>
  <si>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</si>
  <si>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</si>
  <si>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Emerging Africa Balanced-Diversity Fund (Gender/Diversity)</t>
  </si>
  <si>
    <t>FBN Balanced Fund</t>
  </si>
  <si>
    <t>GDL Canary Balanced Fund</t>
  </si>
  <si>
    <t xml:space="preserve">Lead Balanced Fund </t>
  </si>
  <si>
    <t>Nigeria Energy Sector Fund</t>
  </si>
  <si>
    <t>Nigeria Entertainment Fund</t>
  </si>
  <si>
    <t>NOVA Hybrid Balanced Fund</t>
  </si>
  <si>
    <t>PACAM Balanced Fund</t>
  </si>
  <si>
    <t>Stanbic IBTC Balanced Fund</t>
  </si>
  <si>
    <t>UBA Nom-Cowry Balanced Fund</t>
  </si>
  <si>
    <t>United Capital Balanced Fund</t>
  </si>
  <si>
    <t>ValuAlliance Value Fund</t>
  </si>
  <si>
    <t>Vantage Balanced Fund</t>
  </si>
  <si>
    <t>Wealth For Women Fund</t>
  </si>
  <si>
    <t>Women's Balanced Fund</t>
  </si>
  <si>
    <t>Zenith Balanced Strategy Fund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</si>
  <si>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</si>
  <si>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</si>
  <si>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</si>
  <si>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</si>
  <si>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</si>
  <si>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</si>
  <si>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</si>
  <si>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</si>
  <si>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 xml:space="preserve">Capital Trust Investments &amp; Asset Mgt. Ltd </t>
  </si>
  <si>
    <t>Cordros Halal Fixed Income Fund</t>
  </si>
  <si>
    <t>EDC Halal Fund</t>
  </si>
  <si>
    <t>FBN Halal Fund</t>
  </si>
  <si>
    <t>Norrenberger Islamic Fund</t>
  </si>
  <si>
    <t>Norrenberger Investment &amp; Capital Management Limited</t>
  </si>
  <si>
    <t>Stanbic IBTC Shariah Fixed Income Fund</t>
  </si>
  <si>
    <t>United Capital Sukuk Fund</t>
  </si>
  <si>
    <t>Grand Total</t>
  </si>
  <si>
    <t>S/N</t>
  </si>
  <si>
    <t>Note: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</si>
  <si>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31st January</t>
    </r>
    <r>
      <rPr>
        <sz val="6"/>
        <color theme="0"/>
        <rFont val="Times New Roman"/>
        <family val="1"/>
      </rPr>
      <t xml:space="preserve">, 2023 = </t>
    </r>
    <r>
      <rPr>
        <strike/>
        <sz val="6"/>
        <color theme="0"/>
        <rFont val="Times New Roman"/>
        <family val="1"/>
      </rPr>
      <t>N461.50</t>
    </r>
  </si>
  <si>
    <t>RETURN ON EQUITY (ROE)</t>
  </si>
  <si>
    <t>NET ASSET PER UNIT</t>
  </si>
  <si>
    <t>EARNINGS PER UNIT (EPU)</t>
  </si>
  <si>
    <t>The chart above shows that the Money Market Fund has the highest share of the Aggregate Net Asset Value (NAV) at 47.00%, followed by Bond/Fixed Income Fund with 23.13%, Dollar Fund (Eurobonds and Fixed Income) at 21.77%, Real Estate Investment Trust at 3.13%.  Next is Balanced Fund at 2.07%, Shari'ah Compliant Fund at 1.55%, Equity Fund at 1.44% and Ethical Fund at 0.21%.</t>
  </si>
  <si>
    <t>MONTHLY UPDATE ON REGISTERED MUTUAL FUNDS AS AT 31ST JANUARY,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</si>
</sst>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 &quot;* #,##0&quot; &quot;;&quot;-&quot;* #,##0&quot; &quot;;&quot; &quot;* &quot;-&quot;??&quot; &quot;"/>
    <numFmt numFmtId="167" formatCode="&quot; &quot;* #,##0.00&quot; &quot;;&quot;-&quot;* #,##0.00&quot; &quot;;&quot; &quot;* &quot;-&quot;??&quot; &quot;"/>
    <numFmt numFmtId="168" formatCode="&quot; &quot;* #,##0.00&quot; &quot;;&quot; &quot;* \(#,##0.00\);&quot; &quot;* &quot;-&quot;??&quot; &quot;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"/>
      <color theme="0"/>
      <name val="Calibri"/>
      <family val="2"/>
      <scheme val="minor"/>
    </font>
    <font>
      <b/>
      <sz val="11"/>
      <name val="Arial Narrow"/>
      <family val="2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2"/>
      <color theme="0"/>
      <name val="Segoe UI Black"/>
      <family val="2"/>
    </font>
    <font>
      <b/>
      <sz val="10"/>
      <color indexed="8"/>
      <name val="Century Gothic"/>
      <family val="2"/>
    </font>
    <font>
      <sz val="8"/>
      <name val="Century Gothic"/>
      <family val="2"/>
    </font>
    <font>
      <sz val="8"/>
      <color indexed="8"/>
      <name val="Century Gothic"/>
      <family val="2"/>
    </font>
    <font>
      <b/>
      <sz val="8"/>
      <name val="Century Gothic"/>
      <family val="2"/>
    </font>
    <font>
      <b/>
      <sz val="8"/>
      <color indexed="8"/>
      <name val="Century Gothic"/>
      <family val="2"/>
    </font>
    <font>
      <b/>
      <sz val="8"/>
      <color rgb="FF00B050"/>
      <name val="Century Gothic"/>
      <family val="2"/>
    </font>
    <font>
      <sz val="8"/>
      <color rgb="FFFF0000"/>
      <name val="Century Gothic"/>
      <family val="2"/>
    </font>
    <font>
      <b/>
      <sz val="12"/>
      <color indexed="8"/>
      <name val="Calibri"/>
      <family val="2"/>
    </font>
    <font>
      <sz val="10"/>
      <color indexed="8"/>
      <name val="Arial Narrow"/>
      <family val="2"/>
    </font>
    <font>
      <sz val="12"/>
      <color indexed="8"/>
      <name val="Calibri"/>
      <family val="2"/>
    </font>
    <font>
      <sz val="10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12" fillId="0" borderId="0"/>
  </cellStyleXfs>
  <cellXfs count="110">
    <xf numFmtId="0" fontId="0" fillId="0" borderId="0" xfId="0"/>
    <xf numFmtId="0" fontId="2" fillId="0" borderId="1" xfId="0" applyFont="1" applyBorder="1" applyAlignment="1">
      <alignment horizontal="right"/>
    </xf>
    <xf numFmtId="16" fontId="3" fillId="2" borderId="1" xfId="0" applyNumberFormat="1" applyFont="1" applyFill="1" applyBorder="1"/>
    <xf numFmtId="0" fontId="3" fillId="0" borderId="1" xfId="0" applyFont="1" applyBorder="1" applyAlignment="1">
      <alignment horizontal="right"/>
    </xf>
    <xf numFmtId="4" fontId="4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0" xfId="0" applyFont="1"/>
    <xf numFmtId="0" fontId="9" fillId="0" borderId="0" xfId="0" applyFont="1"/>
    <xf numFmtId="4" fontId="5" fillId="2" borderId="0" xfId="0" applyNumberFormat="1" applyFont="1" applyFill="1"/>
    <xf numFmtId="0" fontId="6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4" fontId="4" fillId="2" borderId="0" xfId="0" applyNumberFormat="1" applyFont="1" applyFill="1"/>
    <xf numFmtId="0" fontId="4" fillId="2" borderId="0" xfId="0" applyFont="1" applyFill="1" applyAlignment="1">
      <alignment wrapText="1"/>
    </xf>
    <xf numFmtId="16" fontId="3" fillId="2" borderId="0" xfId="0" applyNumberFormat="1" applyFont="1" applyFill="1"/>
    <xf numFmtId="4" fontId="4" fillId="2" borderId="0" xfId="0" applyNumberFormat="1" applyFont="1" applyFill="1" applyAlignment="1">
      <alignment horizontal="right"/>
    </xf>
    <xf numFmtId="164" fontId="5" fillId="2" borderId="0" xfId="1" applyFont="1" applyFill="1" applyBorder="1" applyAlignment="1">
      <alignment horizontal="right" vertical="top" wrapText="1"/>
    </xf>
    <xf numFmtId="4" fontId="4" fillId="2" borderId="2" xfId="0" applyNumberFormat="1" applyFont="1" applyFill="1" applyBorder="1"/>
    <xf numFmtId="43" fontId="0" fillId="0" borderId="0" xfId="6" applyFont="1"/>
    <xf numFmtId="16" fontId="6" fillId="2" borderId="1" xfId="0" quotePrefix="1" applyNumberFormat="1" applyFont="1" applyFill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43" fontId="14" fillId="0" borderId="0" xfId="6" applyFont="1"/>
    <xf numFmtId="0" fontId="13" fillId="0" borderId="0" xfId="0" applyFont="1" applyAlignment="1">
      <alignment horizontal="right"/>
    </xf>
    <xf numFmtId="165" fontId="0" fillId="0" borderId="0" xfId="6" applyNumberFormat="1" applyFont="1"/>
    <xf numFmtId="0" fontId="5" fillId="0" borderId="0" xfId="0" applyFont="1" applyAlignment="1">
      <alignment horizontal="right"/>
    </xf>
    <xf numFmtId="164" fontId="5" fillId="0" borderId="0" xfId="1" applyFont="1" applyAlignment="1">
      <alignment horizontal="right"/>
    </xf>
    <xf numFmtId="16" fontId="8" fillId="2" borderId="1" xfId="0" quotePrefix="1" applyNumberFormat="1" applyFont="1" applyFill="1" applyBorder="1" applyAlignment="1">
      <alignment horizontal="right"/>
    </xf>
    <xf numFmtId="166" fontId="17" fillId="2" borderId="3" xfId="0" applyNumberFormat="1" applyFont="1" applyFill="1" applyBorder="1" applyAlignment="1">
      <alignment horizontal="center" wrapText="1"/>
    </xf>
    <xf numFmtId="49" fontId="17" fillId="2" borderId="3" xfId="0" applyNumberFormat="1" applyFont="1" applyFill="1" applyBorder="1" applyAlignment="1">
      <alignment wrapText="1"/>
    </xf>
    <xf numFmtId="4" fontId="18" fillId="2" borderId="3" xfId="0" applyNumberFormat="1" applyFont="1" applyFill="1" applyBorder="1"/>
    <xf numFmtId="164" fontId="18" fillId="2" borderId="3" xfId="1" applyFont="1" applyFill="1" applyBorder="1" applyAlignment="1"/>
    <xf numFmtId="167" fontId="18" fillId="2" borderId="3" xfId="0" applyNumberFormat="1" applyFont="1" applyFill="1" applyBorder="1" applyAlignment="1">
      <alignment horizontal="left"/>
    </xf>
    <xf numFmtId="10" fontId="19" fillId="5" borderId="3" xfId="0" applyNumberFormat="1" applyFont="1" applyFill="1" applyBorder="1" applyAlignment="1">
      <alignment horizontal="center" vertical="center"/>
    </xf>
    <xf numFmtId="10" fontId="18" fillId="5" borderId="3" xfId="0" applyNumberFormat="1" applyFont="1" applyFill="1" applyBorder="1" applyAlignment="1">
      <alignment horizontal="center" vertical="center"/>
    </xf>
    <xf numFmtId="167" fontId="18" fillId="5" borderId="3" xfId="0" applyNumberFormat="1" applyFont="1" applyFill="1" applyBorder="1" applyAlignment="1">
      <alignment horizontal="right" vertical="center"/>
    </xf>
    <xf numFmtId="167" fontId="18" fillId="0" borderId="3" xfId="0" applyNumberFormat="1" applyFont="1" applyBorder="1"/>
    <xf numFmtId="164" fontId="18" fillId="2" borderId="3" xfId="1" applyFont="1" applyFill="1" applyBorder="1"/>
    <xf numFmtId="164" fontId="18" fillId="0" borderId="3" xfId="1" applyFont="1" applyFill="1" applyBorder="1"/>
    <xf numFmtId="49" fontId="17" fillId="2" borderId="3" xfId="0" applyNumberFormat="1" applyFont="1" applyFill="1" applyBorder="1"/>
    <xf numFmtId="167" fontId="18" fillId="2" borderId="3" xfId="0" applyNumberFormat="1" applyFont="1" applyFill="1" applyBorder="1"/>
    <xf numFmtId="49" fontId="17" fillId="2" borderId="3" xfId="0" applyNumberFormat="1" applyFont="1" applyFill="1" applyBorder="1" applyAlignment="1">
      <alignment vertical="center" wrapText="1"/>
    </xf>
    <xf numFmtId="167" fontId="17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0" fontId="17" fillId="2" borderId="3" xfId="0" applyFont="1" applyFill="1" applyBorder="1" applyAlignment="1">
      <alignment wrapText="1"/>
    </xf>
    <xf numFmtId="10" fontId="19" fillId="5" borderId="3" xfId="0" applyNumberFormat="1" applyFont="1" applyFill="1" applyBorder="1" applyAlignment="1">
      <alignment horizontal="right" vertical="center"/>
    </xf>
    <xf numFmtId="10" fontId="17" fillId="5" borderId="3" xfId="0" applyNumberFormat="1" applyFont="1" applyFill="1" applyBorder="1" applyAlignment="1">
      <alignment horizontal="center" vertical="center"/>
    </xf>
    <xf numFmtId="167" fontId="17" fillId="5" borderId="3" xfId="0" applyNumberFormat="1" applyFont="1" applyFill="1" applyBorder="1" applyAlignment="1">
      <alignment horizontal="right" vertical="center"/>
    </xf>
    <xf numFmtId="167" fontId="20" fillId="2" borderId="3" xfId="0" applyNumberFormat="1" applyFont="1" applyFill="1" applyBorder="1"/>
    <xf numFmtId="167" fontId="19" fillId="5" borderId="3" xfId="0" applyNumberFormat="1" applyFont="1" applyFill="1" applyBorder="1" applyAlignment="1">
      <alignment horizontal="right" vertical="center"/>
    </xf>
    <xf numFmtId="2" fontId="18" fillId="2" borderId="3" xfId="0" applyNumberFormat="1" applyFont="1" applyFill="1" applyBorder="1"/>
    <xf numFmtId="164" fontId="18" fillId="2" borderId="3" xfId="1" applyFont="1" applyFill="1" applyBorder="1" applyAlignment="1">
      <alignment horizontal="left"/>
    </xf>
    <xf numFmtId="10" fontId="17" fillId="5" borderId="3" xfId="0" applyNumberFormat="1" applyFont="1" applyFill="1" applyBorder="1" applyAlignment="1">
      <alignment horizontal="right" vertical="center"/>
    </xf>
    <xf numFmtId="164" fontId="18" fillId="2" borderId="3" xfId="1" applyFont="1" applyFill="1" applyBorder="1" applyAlignment="1">
      <alignment horizontal="right"/>
    </xf>
    <xf numFmtId="10" fontId="18" fillId="5" borderId="3" xfId="0" applyNumberFormat="1" applyFont="1" applyFill="1" applyBorder="1" applyAlignment="1">
      <alignment horizontal="right" vertical="center"/>
    </xf>
    <xf numFmtId="10" fontId="22" fillId="5" borderId="3" xfId="0" applyNumberFormat="1" applyFont="1" applyFill="1" applyBorder="1" applyAlignment="1">
      <alignment horizontal="right" vertical="center"/>
    </xf>
    <xf numFmtId="49" fontId="27" fillId="4" borderId="3" xfId="0" applyNumberFormat="1" applyFont="1" applyFill="1" applyBorder="1" applyAlignment="1">
      <alignment horizontal="center" vertical="top" wrapText="1"/>
    </xf>
    <xf numFmtId="164" fontId="27" fillId="4" borderId="3" xfId="1" applyFont="1" applyFill="1" applyBorder="1" applyAlignment="1">
      <alignment horizontal="center" vertical="top" wrapText="1"/>
    </xf>
    <xf numFmtId="164" fontId="17" fillId="2" borderId="3" xfId="1" applyFont="1" applyFill="1" applyBorder="1"/>
    <xf numFmtId="167" fontId="18" fillId="2" borderId="3" xfId="0" applyNumberFormat="1" applyFont="1" applyFill="1" applyBorder="1" applyAlignment="1">
      <alignment horizontal="right"/>
    </xf>
    <xf numFmtId="49" fontId="17" fillId="2" borderId="3" xfId="0" applyNumberFormat="1" applyFont="1" applyFill="1" applyBorder="1" applyAlignment="1">
      <alignment vertical="top" wrapText="1"/>
    </xf>
    <xf numFmtId="166" fontId="17" fillId="2" borderId="3" xfId="0" applyNumberFormat="1" applyFont="1" applyFill="1" applyBorder="1" applyAlignment="1">
      <alignment horizontal="right" wrapText="1"/>
    </xf>
    <xf numFmtId="3" fontId="18" fillId="2" borderId="3" xfId="0" applyNumberFormat="1" applyFont="1" applyFill="1" applyBorder="1"/>
    <xf numFmtId="49" fontId="18" fillId="2" borderId="3" xfId="0" applyNumberFormat="1" applyFont="1" applyFill="1" applyBorder="1" applyAlignment="1">
      <alignment horizontal="right"/>
    </xf>
    <xf numFmtId="4" fontId="18" fillId="2" borderId="3" xfId="0" applyNumberFormat="1" applyFont="1" applyFill="1" applyBorder="1" applyAlignment="1">
      <alignment horizontal="right"/>
    </xf>
    <xf numFmtId="0" fontId="18" fillId="2" borderId="3" xfId="0" applyFont="1" applyFill="1" applyBorder="1"/>
    <xf numFmtId="0" fontId="17" fillId="2" borderId="3" xfId="0" applyFont="1" applyFill="1" applyBorder="1"/>
    <xf numFmtId="164" fontId="18" fillId="2" borderId="3" xfId="1" applyFont="1" applyFill="1" applyBorder="1" applyAlignment="1">
      <alignment wrapText="1"/>
    </xf>
    <xf numFmtId="167" fontId="18" fillId="2" borderId="3" xfId="0" applyNumberFormat="1" applyFont="1" applyFill="1" applyBorder="1" applyAlignment="1">
      <alignment horizontal="left" wrapText="1"/>
    </xf>
    <xf numFmtId="164" fontId="20" fillId="2" borderId="3" xfId="1" applyFont="1" applyFill="1" applyBorder="1"/>
    <xf numFmtId="0" fontId="23" fillId="2" borderId="0" xfId="0" applyFont="1" applyFill="1"/>
    <xf numFmtId="0" fontId="0" fillId="2" borderId="0" xfId="0" applyFill="1"/>
    <xf numFmtId="164" fontId="0" fillId="2" borderId="0" xfId="1" applyFont="1" applyFill="1" applyBorder="1" applyAlignment="1"/>
    <xf numFmtId="0" fontId="24" fillId="2" borderId="0" xfId="0" applyFont="1" applyFill="1"/>
    <xf numFmtId="167" fontId="25" fillId="2" borderId="0" xfId="0" applyNumberFormat="1" applyFont="1" applyFill="1"/>
    <xf numFmtId="168" fontId="25" fillId="2" borderId="0" xfId="0" applyNumberFormat="1" applyFont="1" applyFill="1"/>
    <xf numFmtId="10" fontId="18" fillId="2" borderId="3" xfId="0" applyNumberFormat="1" applyFont="1" applyFill="1" applyBorder="1" applyAlignment="1">
      <alignment horizontal="center"/>
    </xf>
    <xf numFmtId="167" fontId="16" fillId="4" borderId="3" xfId="0" applyNumberFormat="1" applyFont="1" applyFill="1" applyBorder="1"/>
    <xf numFmtId="10" fontId="16" fillId="4" borderId="3" xfId="0" applyNumberFormat="1" applyFont="1" applyFill="1" applyBorder="1"/>
    <xf numFmtId="10" fontId="29" fillId="4" borderId="3" xfId="0" applyNumberFormat="1" applyFont="1" applyFill="1" applyBorder="1" applyAlignment="1">
      <alignment horizontal="right" vertical="center"/>
    </xf>
    <xf numFmtId="10" fontId="16" fillId="4" borderId="3" xfId="0" applyNumberFormat="1" applyFont="1" applyFill="1" applyBorder="1" applyAlignment="1">
      <alignment horizontal="right" vertical="center"/>
    </xf>
    <xf numFmtId="167" fontId="16" fillId="4" borderId="3" xfId="0" applyNumberFormat="1" applyFont="1" applyFill="1" applyBorder="1" applyAlignment="1">
      <alignment horizontal="right" vertical="center"/>
    </xf>
    <xf numFmtId="164" fontId="16" fillId="4" borderId="3" xfId="1" applyFont="1" applyFill="1" applyBorder="1"/>
    <xf numFmtId="0" fontId="30" fillId="7" borderId="0" xfId="0" applyFont="1" applyFill="1" applyAlignment="1">
      <alignment horizontal="right" vertical="center"/>
    </xf>
    <xf numFmtId="0" fontId="30" fillId="7" borderId="0" xfId="0" applyFont="1" applyFill="1" applyAlignment="1">
      <alignment horizontal="left"/>
    </xf>
    <xf numFmtId="167" fontId="20" fillId="2" borderId="3" xfId="0" applyNumberFormat="1" applyFont="1" applyFill="1" applyBorder="1" applyAlignment="1">
      <alignment horizontal="left"/>
    </xf>
    <xf numFmtId="10" fontId="21" fillId="2" borderId="3" xfId="0" applyNumberFormat="1" applyFont="1" applyFill="1" applyBorder="1" applyAlignment="1">
      <alignment horizontal="center"/>
    </xf>
    <xf numFmtId="10" fontId="20" fillId="2" borderId="3" xfId="0" applyNumberFormat="1" applyFont="1" applyFill="1" applyBorder="1" applyAlignment="1">
      <alignment horizontal="center"/>
    </xf>
    <xf numFmtId="164" fontId="20" fillId="2" borderId="3" xfId="1" applyFont="1" applyFill="1" applyBorder="1" applyAlignment="1"/>
    <xf numFmtId="164" fontId="0" fillId="0" borderId="0" xfId="1" applyFont="1"/>
    <xf numFmtId="49" fontId="16" fillId="4" borderId="3" xfId="0" applyNumberFormat="1" applyFont="1" applyFill="1" applyBorder="1" applyAlignment="1">
      <alignment horizontal="right"/>
    </xf>
    <xf numFmtId="49" fontId="19" fillId="2" borderId="3" xfId="0" applyNumberFormat="1" applyFont="1" applyFill="1" applyBorder="1" applyAlignment="1">
      <alignment horizontal="right"/>
    </xf>
    <xf numFmtId="49" fontId="28" fillId="2" borderId="3" xfId="0" applyNumberFormat="1" applyFont="1" applyFill="1" applyBorder="1" applyAlignment="1">
      <alignment horizontal="center" vertical="top" wrapText="1"/>
    </xf>
    <xf numFmtId="0" fontId="28" fillId="2" borderId="3" xfId="0" applyFont="1" applyFill="1" applyBorder="1" applyAlignment="1">
      <alignment horizontal="center" wrapText="1"/>
    </xf>
    <xf numFmtId="49" fontId="17" fillId="2" borderId="4" xfId="0" applyNumberFormat="1" applyFont="1" applyFill="1" applyBorder="1" applyAlignment="1">
      <alignment horizontal="center"/>
    </xf>
    <xf numFmtId="49" fontId="17" fillId="2" borderId="5" xfId="0" applyNumberFormat="1" applyFont="1" applyFill="1" applyBorder="1" applyAlignment="1">
      <alignment horizontal="center"/>
    </xf>
    <xf numFmtId="49" fontId="17" fillId="2" borderId="6" xfId="0" applyNumberFormat="1" applyFont="1" applyFill="1" applyBorder="1" applyAlignment="1">
      <alignment horizontal="center"/>
    </xf>
    <xf numFmtId="167" fontId="28" fillId="2" borderId="3" xfId="0" applyNumberFormat="1" applyFont="1" applyFill="1" applyBorder="1" applyAlignment="1">
      <alignment horizontal="center" wrapText="1"/>
    </xf>
    <xf numFmtId="49" fontId="15" fillId="6" borderId="7" xfId="0" applyNumberFormat="1" applyFont="1" applyFill="1" applyBorder="1" applyAlignment="1">
      <alignment horizontal="center"/>
    </xf>
    <xf numFmtId="0" fontId="15" fillId="6" borderId="7" xfId="0" applyFont="1" applyFill="1" applyBorder="1" applyAlignment="1">
      <alignment horizontal="center"/>
    </xf>
    <xf numFmtId="166" fontId="22" fillId="2" borderId="4" xfId="0" applyNumberFormat="1" applyFont="1" applyFill="1" applyBorder="1" applyAlignment="1">
      <alignment horizontal="center" wrapText="1"/>
    </xf>
    <xf numFmtId="166" fontId="22" fillId="2" borderId="5" xfId="0" applyNumberFormat="1" applyFont="1" applyFill="1" applyBorder="1" applyAlignment="1">
      <alignment horizontal="center" wrapText="1"/>
    </xf>
    <xf numFmtId="166" fontId="22" fillId="2" borderId="6" xfId="0" applyNumberFormat="1" applyFont="1" applyFill="1" applyBorder="1" applyAlignment="1">
      <alignment horizontal="center" wrapText="1"/>
    </xf>
    <xf numFmtId="166" fontId="17" fillId="2" borderId="4" xfId="0" applyNumberFormat="1" applyFont="1" applyFill="1" applyBorder="1" applyAlignment="1">
      <alignment horizontal="center" wrapText="1"/>
    </xf>
    <xf numFmtId="166" fontId="17" fillId="2" borderId="5" xfId="0" applyNumberFormat="1" applyFont="1" applyFill="1" applyBorder="1" applyAlignment="1">
      <alignment horizontal="center" wrapText="1"/>
    </xf>
    <xf numFmtId="166" fontId="17" fillId="2" borderId="6" xfId="0" applyNumberFormat="1" applyFont="1" applyFill="1" applyBorder="1" applyAlignment="1">
      <alignment horizontal="center" wrapText="1"/>
    </xf>
    <xf numFmtId="49" fontId="26" fillId="2" borderId="3" xfId="0" applyNumberFormat="1" applyFont="1" applyFill="1" applyBorder="1" applyAlignment="1">
      <alignment horizontal="center" vertical="top" wrapText="1"/>
    </xf>
    <xf numFmtId="49" fontId="16" fillId="2" borderId="3" xfId="0" applyNumberFormat="1" applyFont="1" applyFill="1" applyBorder="1" applyAlignment="1">
      <alignment horizontal="center" vertical="top" wrapText="1"/>
    </xf>
    <xf numFmtId="0" fontId="11" fillId="3" borderId="0" xfId="0" applyFont="1" applyFill="1" applyAlignment="1">
      <alignment horizontal="center" wrapText="1"/>
    </xf>
  </cellXfs>
  <cellStyles count="8">
    <cellStyle name="Comma" xfId="1" builtinId="3"/>
    <cellStyle name="Comma 10 13" xfId="2" xr:uid="{00000000-0005-0000-0000-000001000000}"/>
    <cellStyle name="Comma 2" xfId="6" xr:uid="{00000000-0005-0000-0000-000002000000}"/>
    <cellStyle name="Comma 3 2" xfId="3" xr:uid="{00000000-0005-0000-0000-000003000000}"/>
    <cellStyle name="Normal" xfId="0" builtinId="0"/>
    <cellStyle name="Normal 2" xfId="7" xr:uid="{6E835889-8A32-48B2-8C41-226AFE52856D}"/>
    <cellStyle name="Normal 27 2" xfId="5" xr:uid="{00000000-0005-0000-0000-000005000000}"/>
    <cellStyle name="Percent 2 2" xfId="4" xr:uid="{00000000-0005-0000-0000-000007000000}"/>
  </cellStyles>
  <dxfs count="0"/>
  <tableStyles count="0" defaultTableStyle="TableStyleMedium2" defaultPivotStyle="PivotStyleLight16"/>
  <colors>
    <mruColors>
      <color rgb="FF0C685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779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Dec 2022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16.142783399100001</c:v>
                </c:pt>
                <c:pt idx="1">
                  <c:v>624.79205500497994</c:v>
                </c:pt>
                <c:pt idx="2">
                  <c:v>347.37379602212002</c:v>
                </c:pt>
                <c:pt idx="3">
                  <c:v>325.96844610193</c:v>
                </c:pt>
                <c:pt idx="4">
                  <c:v>45.688239118309994</c:v>
                </c:pt>
                <c:pt idx="5">
                  <c:v>30.274803491250001</c:v>
                </c:pt>
                <c:pt idx="6">
                  <c:v>2.9725528787399997</c:v>
                </c:pt>
                <c:pt idx="7">
                  <c:v>22.62378840873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Jan 2023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16.908516222279999</c:v>
                </c:pt>
                <c:pt idx="1">
                  <c:v>695.06269248001001</c:v>
                </c:pt>
                <c:pt idx="2">
                  <c:v>353.82214594098997</c:v>
                </c:pt>
                <c:pt idx="3">
                  <c:v>321.92234233432004</c:v>
                </c:pt>
                <c:pt idx="4">
                  <c:v>46.357532510620004</c:v>
                </c:pt>
                <c:pt idx="5">
                  <c:v>30.595879635870201</c:v>
                </c:pt>
                <c:pt idx="6">
                  <c:v>3.0550927124899996</c:v>
                </c:pt>
                <c:pt idx="7">
                  <c:v>22.969877180849998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0970869278"/>
          <c:y val="9.337714848108929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Jan 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DOLLAR FUNDS</c:v>
                </c:pt>
                <c:pt idx="6">
                  <c:v>BONDS/FIXED INCOME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_(* #,##0.00_);_(* \(#,##0.00\);_(* "-"??_);_(@_)</c:formatCode>
                <c:ptCount val="8"/>
                <c:pt idx="0">
                  <c:v>3055092712.4900002</c:v>
                </c:pt>
                <c:pt idx="1">
                  <c:v>16908516222.280001</c:v>
                </c:pt>
                <c:pt idx="2">
                  <c:v>22969877180.849998</c:v>
                </c:pt>
                <c:pt idx="3">
                  <c:v>30615522296.290199</c:v>
                </c:pt>
                <c:pt idx="4">
                  <c:v>46357532510.620003</c:v>
                </c:pt>
                <c:pt idx="5">
                  <c:v>321922342334.32001</c:v>
                </c:pt>
                <c:pt idx="6">
                  <c:v>341992915893.80994</c:v>
                </c:pt>
                <c:pt idx="7">
                  <c:v>695062692480.01001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UNITHOLDERS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39877</c:v>
                </c:pt>
                <c:pt idx="1">
                  <c:v>210963</c:v>
                </c:pt>
                <c:pt idx="2">
                  <c:v>48842</c:v>
                </c:pt>
                <c:pt idx="3">
                  <c:v>10308</c:v>
                </c:pt>
                <c:pt idx="4">
                  <c:v>36845</c:v>
                </c:pt>
                <c:pt idx="5">
                  <c:v>47258</c:v>
                </c:pt>
                <c:pt idx="6">
                  <c:v>11019</c:v>
                </c:pt>
                <c:pt idx="7">
                  <c:v>17765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0-443E-8C73-1420CF4870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014904000"/>
        <c:axId val="1014895840"/>
      </c:barChart>
      <c:catAx>
        <c:axId val="1014904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895840"/>
        <c:crosses val="autoZero"/>
        <c:auto val="1"/>
        <c:lblAlgn val="ctr"/>
        <c:lblOffset val="100"/>
        <c:noMultiLvlLbl val="0"/>
      </c:catAx>
      <c:valAx>
        <c:axId val="1014895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90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UNITHOLDERS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39877</c:v>
                </c:pt>
                <c:pt idx="1">
                  <c:v>210963</c:v>
                </c:pt>
                <c:pt idx="2">
                  <c:v>48842</c:v>
                </c:pt>
                <c:pt idx="3">
                  <c:v>10308</c:v>
                </c:pt>
                <c:pt idx="4">
                  <c:v>36845</c:v>
                </c:pt>
                <c:pt idx="5">
                  <c:v>47258</c:v>
                </c:pt>
                <c:pt idx="6">
                  <c:v>11019</c:v>
                </c:pt>
                <c:pt idx="7">
                  <c:v>17765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6-4A8D-BA1E-5052EB45CB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627446192"/>
        <c:axId val="1627445712"/>
      </c:barChart>
      <c:catAx>
        <c:axId val="162744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CLASSES OF FUNDS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44441097145832"/>
              <c:y val="0.936238322854479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45712"/>
        <c:crosses val="autoZero"/>
        <c:auto val="1"/>
        <c:lblAlgn val="ctr"/>
        <c:lblOffset val="100"/>
        <c:noMultiLvlLbl val="0"/>
      </c:catAx>
      <c:valAx>
        <c:axId val="1627445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6274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13</xdr:col>
      <xdr:colOff>91440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593912</xdr:colOff>
      <xdr:row>30</xdr:row>
      <xdr:rowOff>100853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171450</xdr:rowOff>
    </xdr:from>
    <xdr:to>
      <xdr:col>4</xdr:col>
      <xdr:colOff>581026</xdr:colOff>
      <xdr:row>14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05D71D-361A-0FF5-C768-7F3E5CAB58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9525</xdr:rowOff>
    </xdr:from>
    <xdr:to>
      <xdr:col>11</xdr:col>
      <xdr:colOff>28574</xdr:colOff>
      <xdr:row>19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947CFF-A8A0-93E9-35CE-6704322BB7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E9361-D689-40A0-9638-323CAB7B0054}">
  <dimension ref="A1:U167"/>
  <sheetViews>
    <sheetView tabSelected="1" zoomScaleNormal="100" workbookViewId="0">
      <pane ySplit="2" topLeftCell="A3" activePane="bottomLeft" state="frozen"/>
      <selection activeCell="N1" sqref="N1"/>
      <selection pane="bottomLeft" activeCell="A5" sqref="A5"/>
    </sheetView>
  </sheetViews>
  <sheetFormatPr defaultRowHeight="15"/>
  <cols>
    <col min="1" max="1" width="6.7109375" customWidth="1"/>
    <col min="2" max="2" width="53.7109375" customWidth="1"/>
    <col min="3" max="3" width="47.7109375" customWidth="1"/>
    <col min="4" max="4" width="21.5703125" customWidth="1"/>
    <col min="5" max="5" width="19.28515625" customWidth="1"/>
    <col min="6" max="6" width="19.7109375" customWidth="1"/>
    <col min="7" max="7" width="20" customWidth="1"/>
    <col min="8" max="8" width="22" customWidth="1"/>
    <col min="10" max="10" width="23" customWidth="1"/>
    <col min="12" max="12" width="11.5703125" customWidth="1"/>
    <col min="13" max="13" width="12.140625" customWidth="1"/>
    <col min="14" max="14" width="12.5703125" customWidth="1"/>
    <col min="15" max="15" width="12.28515625" customWidth="1"/>
    <col min="16" max="16" width="12.7109375" customWidth="1"/>
    <col min="17" max="18" width="14.42578125" customWidth="1"/>
    <col min="19" max="19" width="13.7109375" customWidth="1"/>
    <col min="20" max="21" width="20.140625" customWidth="1"/>
  </cols>
  <sheetData>
    <row r="1" spans="1:21" ht="40.5" customHeight="1">
      <c r="A1" s="99" t="s">
        <v>226</v>
      </c>
      <c r="B1" s="99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</row>
    <row r="2" spans="1:21" ht="48" customHeight="1">
      <c r="A2" s="57" t="s">
        <v>219</v>
      </c>
      <c r="B2" s="57" t="s">
        <v>12</v>
      </c>
      <c r="C2" s="57" t="s">
        <v>13</v>
      </c>
      <c r="D2" s="57" t="s">
        <v>14</v>
      </c>
      <c r="E2" s="57" t="s">
        <v>15</v>
      </c>
      <c r="F2" s="57" t="s">
        <v>16</v>
      </c>
      <c r="G2" s="58" t="s">
        <v>17</v>
      </c>
      <c r="H2" s="57" t="s">
        <v>18</v>
      </c>
      <c r="I2" s="57" t="s">
        <v>19</v>
      </c>
      <c r="J2" s="57" t="s">
        <v>20</v>
      </c>
      <c r="K2" s="57" t="s">
        <v>19</v>
      </c>
      <c r="L2" s="57" t="s">
        <v>21</v>
      </c>
      <c r="M2" s="57" t="s">
        <v>22</v>
      </c>
      <c r="N2" s="57" t="s">
        <v>222</v>
      </c>
      <c r="O2" s="57" t="s">
        <v>223</v>
      </c>
      <c r="P2" s="57" t="s">
        <v>224</v>
      </c>
      <c r="Q2" s="57" t="s">
        <v>23</v>
      </c>
      <c r="R2" s="57" t="s">
        <v>24</v>
      </c>
      <c r="S2" s="57" t="s">
        <v>25</v>
      </c>
      <c r="T2" s="57" t="s">
        <v>26</v>
      </c>
      <c r="U2" s="57" t="s">
        <v>27</v>
      </c>
    </row>
    <row r="3" spans="1:21" ht="6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1">
      <c r="A4" s="108" t="s">
        <v>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</row>
    <row r="5" spans="1:21" ht="15.75">
      <c r="A5" s="29">
        <v>1</v>
      </c>
      <c r="B5" s="30" t="s">
        <v>28</v>
      </c>
      <c r="C5" s="30" t="s">
        <v>29</v>
      </c>
      <c r="D5" s="31">
        <v>424557009.74000001</v>
      </c>
      <c r="E5" s="31">
        <v>804960.88</v>
      </c>
      <c r="F5" s="31">
        <v>867290</v>
      </c>
      <c r="G5" s="32">
        <v>62329.120000000003</v>
      </c>
      <c r="H5" s="33">
        <v>403685700.44</v>
      </c>
      <c r="I5" s="77">
        <f t="shared" ref="I5:I20" si="0">(H5/$H$21)</f>
        <v>2.5007193026111377E-2</v>
      </c>
      <c r="J5" s="33">
        <v>421526181.61000001</v>
      </c>
      <c r="K5" s="77">
        <f>(J5/$J$21)</f>
        <v>2.4929815015617026E-2</v>
      </c>
      <c r="L5" s="77">
        <f>((J5-H5)/H5)</f>
        <v>4.4193988418600567E-2</v>
      </c>
      <c r="M5" s="34">
        <f t="shared" ref="M5:M20" si="1">(F5/J5)</f>
        <v>2.0574997184929899E-3</v>
      </c>
      <c r="N5" s="35">
        <f t="shared" ref="N5:N20" si="2">G5/J5</f>
        <v>1.4786535859276112E-4</v>
      </c>
      <c r="O5" s="36">
        <f t="shared" ref="O5:O20" si="3">J5/U5</f>
        <v>196.84198431513633</v>
      </c>
      <c r="P5" s="36">
        <f t="shared" ref="P5:P20" si="4">G5/U5</f>
        <v>2.9106110596868295E-2</v>
      </c>
      <c r="Q5" s="37">
        <v>196.84200000000001</v>
      </c>
      <c r="R5" s="37">
        <v>199.2236</v>
      </c>
      <c r="S5" s="38">
        <v>1715</v>
      </c>
      <c r="T5" s="38">
        <v>2141444.4844</v>
      </c>
      <c r="U5" s="38">
        <v>2141444.4844</v>
      </c>
    </row>
    <row r="6" spans="1:21" ht="15.75">
      <c r="A6" s="29">
        <v>2</v>
      </c>
      <c r="B6" s="30" t="s">
        <v>30</v>
      </c>
      <c r="C6" s="30" t="s">
        <v>31</v>
      </c>
      <c r="D6" s="31">
        <v>444568948.47000003</v>
      </c>
      <c r="E6" s="31">
        <v>721220.91</v>
      </c>
      <c r="F6" s="31">
        <v>4597795.63</v>
      </c>
      <c r="G6" s="32">
        <v>-3876574.72</v>
      </c>
      <c r="H6" s="33">
        <v>434430344.44999999</v>
      </c>
      <c r="I6" s="77">
        <f t="shared" si="0"/>
        <v>2.6911737196091016E-2</v>
      </c>
      <c r="J6" s="33">
        <v>454429384.68000001</v>
      </c>
      <c r="K6" s="77">
        <f t="shared" ref="K6:K20" si="5">(J6/$J$21)</f>
        <v>2.6875769506091128E-2</v>
      </c>
      <c r="L6" s="77">
        <f t="shared" ref="L6:L20" si="6">((J6-H6)/H6)</f>
        <v>4.6035090516799236E-2</v>
      </c>
      <c r="M6" s="34">
        <f t="shared" si="1"/>
        <v>1.0117733986849628E-2</v>
      </c>
      <c r="N6" s="35">
        <f t="shared" si="2"/>
        <v>-8.5306427152148315E-3</v>
      </c>
      <c r="O6" s="36">
        <f t="shared" si="3"/>
        <v>152.54787699765674</v>
      </c>
      <c r="P6" s="36">
        <f t="shared" si="4"/>
        <v>-1.3013314356315486</v>
      </c>
      <c r="Q6" s="37">
        <v>152.05000000000001</v>
      </c>
      <c r="R6" s="37">
        <v>153.71</v>
      </c>
      <c r="S6" s="39">
        <v>302</v>
      </c>
      <c r="T6" s="39">
        <v>2981048.04</v>
      </c>
      <c r="U6" s="39">
        <v>2978929.59</v>
      </c>
    </row>
    <row r="7" spans="1:21" ht="15.75">
      <c r="A7" s="29">
        <v>3</v>
      </c>
      <c r="B7" s="30" t="s">
        <v>32</v>
      </c>
      <c r="C7" s="40" t="s">
        <v>33</v>
      </c>
      <c r="D7" s="41">
        <v>2012034807.74</v>
      </c>
      <c r="E7" s="31">
        <v>5530706.5599999996</v>
      </c>
      <c r="F7" s="31">
        <v>5226202.0599999996</v>
      </c>
      <c r="G7" s="32">
        <v>73661074.189999998</v>
      </c>
      <c r="H7" s="33">
        <v>2325533074</v>
      </c>
      <c r="I7" s="77">
        <f t="shared" si="0"/>
        <v>0.14406022905130811</v>
      </c>
      <c r="J7" s="33">
        <v>2397804091</v>
      </c>
      <c r="K7" s="77">
        <f t="shared" si="5"/>
        <v>0.14181043797565532</v>
      </c>
      <c r="L7" s="77">
        <f t="shared" si="6"/>
        <v>3.107718303730304E-2</v>
      </c>
      <c r="M7" s="34">
        <f t="shared" si="1"/>
        <v>2.1795784232816204E-3</v>
      </c>
      <c r="N7" s="35">
        <f t="shared" si="2"/>
        <v>3.0720222084231984E-2</v>
      </c>
      <c r="O7" s="36">
        <f t="shared" si="3"/>
        <v>22.984494311601384</v>
      </c>
      <c r="P7" s="36">
        <f t="shared" si="4"/>
        <v>0.70608876974616119</v>
      </c>
      <c r="Q7" s="37">
        <v>22.869599999999998</v>
      </c>
      <c r="R7" s="37">
        <v>23.559100000000001</v>
      </c>
      <c r="S7" s="39">
        <v>729</v>
      </c>
      <c r="T7" s="39">
        <v>104400180</v>
      </c>
      <c r="U7" s="39">
        <v>104322682</v>
      </c>
    </row>
    <row r="8" spans="1:21" ht="15.75">
      <c r="A8" s="29">
        <v>4</v>
      </c>
      <c r="B8" s="42" t="s">
        <v>34</v>
      </c>
      <c r="C8" s="42" t="s">
        <v>35</v>
      </c>
      <c r="D8" s="31">
        <v>187728975.12</v>
      </c>
      <c r="E8" s="31">
        <v>1714703.63</v>
      </c>
      <c r="F8" s="31">
        <v>588987.73</v>
      </c>
      <c r="G8" s="32">
        <v>1125715.8999999999</v>
      </c>
      <c r="H8" s="33">
        <v>240468425.49000001</v>
      </c>
      <c r="I8" s="77">
        <f t="shared" si="0"/>
        <v>1.4896342194829099E-2</v>
      </c>
      <c r="J8" s="33">
        <v>262302907.44999999</v>
      </c>
      <c r="K8" s="77">
        <f t="shared" si="5"/>
        <v>1.5513064777639619E-2</v>
      </c>
      <c r="L8" s="77">
        <f t="shared" si="6"/>
        <v>9.0799787604165003E-2</v>
      </c>
      <c r="M8" s="34">
        <f t="shared" si="1"/>
        <v>2.2454487284410771E-3</v>
      </c>
      <c r="N8" s="35">
        <f t="shared" si="2"/>
        <v>4.2916638284483492E-3</v>
      </c>
      <c r="O8" s="36">
        <f t="shared" si="3"/>
        <v>139.55685865409197</v>
      </c>
      <c r="P8" s="36">
        <f t="shared" si="4"/>
        <v>0.59893112229764545</v>
      </c>
      <c r="Q8" s="37">
        <v>139.26</v>
      </c>
      <c r="R8" s="37">
        <v>140.24</v>
      </c>
      <c r="S8" s="39">
        <v>613</v>
      </c>
      <c r="T8" s="39">
        <v>1854923.24</v>
      </c>
      <c r="U8" s="39">
        <v>1879541.5</v>
      </c>
    </row>
    <row r="9" spans="1:21" ht="15.75">
      <c r="A9" s="29">
        <v>5</v>
      </c>
      <c r="B9" s="30" t="s">
        <v>36</v>
      </c>
      <c r="C9" s="30" t="s">
        <v>37</v>
      </c>
      <c r="D9" s="31">
        <v>381463676.47000003</v>
      </c>
      <c r="E9" s="31">
        <v>922667.3</v>
      </c>
      <c r="F9" s="31">
        <v>893694.84</v>
      </c>
      <c r="G9" s="32">
        <v>21931922.27</v>
      </c>
      <c r="H9" s="33">
        <v>360409637.19</v>
      </c>
      <c r="I9" s="77">
        <f t="shared" si="0"/>
        <v>2.2326362702115781E-2</v>
      </c>
      <c r="J9" s="33">
        <v>381463676.47000003</v>
      </c>
      <c r="K9" s="77">
        <f t="shared" si="5"/>
        <v>2.2560446549848841E-2</v>
      </c>
      <c r="L9" s="77">
        <f t="shared" si="6"/>
        <v>5.8416970878336437E-2</v>
      </c>
      <c r="M9" s="34">
        <f t="shared" si="1"/>
        <v>2.3428045581432551E-3</v>
      </c>
      <c r="N9" s="35">
        <f t="shared" si="2"/>
        <v>5.7494130169756338E-2</v>
      </c>
      <c r="O9" s="36">
        <f t="shared" si="3"/>
        <v>175.65081091173985</v>
      </c>
      <c r="P9" s="36">
        <f t="shared" si="4"/>
        <v>10.098890586982828</v>
      </c>
      <c r="Q9" s="37">
        <v>175.65</v>
      </c>
      <c r="R9" s="37">
        <v>178.24</v>
      </c>
      <c r="S9" s="39">
        <v>1444</v>
      </c>
      <c r="T9" s="39">
        <v>2176360</v>
      </c>
      <c r="U9" s="39">
        <v>2171716</v>
      </c>
    </row>
    <row r="10" spans="1:21" ht="15.75">
      <c r="A10" s="29">
        <v>6</v>
      </c>
      <c r="B10" s="30" t="s">
        <v>38</v>
      </c>
      <c r="C10" s="40" t="s">
        <v>39</v>
      </c>
      <c r="D10" s="31">
        <v>263770414.05000001</v>
      </c>
      <c r="E10" s="31">
        <v>709915.24</v>
      </c>
      <c r="F10" s="31">
        <v>891081.27</v>
      </c>
      <c r="G10" s="32">
        <v>181166.03</v>
      </c>
      <c r="H10" s="33">
        <v>250215915.84</v>
      </c>
      <c r="I10" s="77">
        <f t="shared" si="0"/>
        <v>1.5500171789082556E-2</v>
      </c>
      <c r="J10" s="33">
        <v>259620758.94999999</v>
      </c>
      <c r="K10" s="77">
        <f t="shared" si="5"/>
        <v>1.5354437700920386E-2</v>
      </c>
      <c r="L10" s="77">
        <f t="shared" si="6"/>
        <v>3.7586910003014715E-2</v>
      </c>
      <c r="M10" s="34">
        <f t="shared" si="1"/>
        <v>3.4322419886755363E-3</v>
      </c>
      <c r="N10" s="35">
        <f t="shared" si="2"/>
        <v>6.9781026267969016E-4</v>
      </c>
      <c r="O10" s="36">
        <f t="shared" si="3"/>
        <v>130.43916145278314</v>
      </c>
      <c r="P10" s="36">
        <f t="shared" si="4"/>
        <v>9.1021785517085105E-2</v>
      </c>
      <c r="Q10" s="37">
        <v>130.44</v>
      </c>
      <c r="R10" s="37">
        <v>133.47</v>
      </c>
      <c r="S10" s="39">
        <v>2470</v>
      </c>
      <c r="T10" s="39">
        <v>1990416</v>
      </c>
      <c r="U10" s="39">
        <v>1990359</v>
      </c>
    </row>
    <row r="11" spans="1:21" ht="15.75">
      <c r="A11" s="29">
        <v>7</v>
      </c>
      <c r="B11" s="30" t="s">
        <v>40</v>
      </c>
      <c r="C11" s="30" t="s">
        <v>41</v>
      </c>
      <c r="D11" s="41">
        <v>26524607.149999999</v>
      </c>
      <c r="E11" s="31">
        <v>70663.009999999995</v>
      </c>
      <c r="F11" s="31">
        <v>29748.53</v>
      </c>
      <c r="G11" s="32">
        <v>40914.480000000003</v>
      </c>
      <c r="H11" s="33">
        <v>24787446.41</v>
      </c>
      <c r="I11" s="77">
        <f t="shared" si="0"/>
        <v>1.5355125443473375E-3</v>
      </c>
      <c r="J11" s="33">
        <v>25970763.989999998</v>
      </c>
      <c r="K11" s="77">
        <f t="shared" si="5"/>
        <v>1.5359575996253805E-3</v>
      </c>
      <c r="L11" s="77">
        <f t="shared" si="6"/>
        <v>4.7738583492110444E-2</v>
      </c>
      <c r="M11" s="34">
        <f t="shared" si="1"/>
        <v>1.1454622594643201E-3</v>
      </c>
      <c r="N11" s="35">
        <f t="shared" si="2"/>
        <v>1.5754053294602369E-3</v>
      </c>
      <c r="O11" s="36">
        <f t="shared" si="3"/>
        <v>103.05858726190476</v>
      </c>
      <c r="P11" s="36">
        <f t="shared" si="4"/>
        <v>0.16235904761904763</v>
      </c>
      <c r="Q11" s="41">
        <v>101.27</v>
      </c>
      <c r="R11" s="41">
        <v>104.58</v>
      </c>
      <c r="S11" s="38">
        <v>2</v>
      </c>
      <c r="T11" s="38">
        <v>253000</v>
      </c>
      <c r="U11" s="38">
        <v>252000</v>
      </c>
    </row>
    <row r="12" spans="1:21" ht="15.75">
      <c r="A12" s="29">
        <v>8</v>
      </c>
      <c r="B12" s="30" t="s">
        <v>42</v>
      </c>
      <c r="C12" s="40" t="s">
        <v>43</v>
      </c>
      <c r="D12" s="31">
        <v>1021130334.01</v>
      </c>
      <c r="E12" s="32">
        <v>2312081.09</v>
      </c>
      <c r="F12" s="31">
        <v>1554168.93</v>
      </c>
      <c r="G12" s="32">
        <v>757912.16</v>
      </c>
      <c r="H12" s="33">
        <v>982643161.75</v>
      </c>
      <c r="I12" s="77">
        <f t="shared" si="0"/>
        <v>6.0871978360608175E-2</v>
      </c>
      <c r="J12" s="33">
        <v>1017719560.76</v>
      </c>
      <c r="K12" s="77">
        <f t="shared" si="5"/>
        <v>6.0189761619589784E-2</v>
      </c>
      <c r="L12" s="77">
        <f t="shared" si="6"/>
        <v>3.5695968155451313E-2</v>
      </c>
      <c r="M12" s="34">
        <f t="shared" si="1"/>
        <v>1.5271092252952248E-3</v>
      </c>
      <c r="N12" s="35">
        <f t="shared" si="2"/>
        <v>7.4471611750688549E-4</v>
      </c>
      <c r="O12" s="36">
        <f t="shared" si="3"/>
        <v>2.0717830440855844</v>
      </c>
      <c r="P12" s="36">
        <f t="shared" si="4"/>
        <v>1.5428902249080129E-3</v>
      </c>
      <c r="Q12" s="41">
        <v>2.0499999999999998</v>
      </c>
      <c r="R12" s="41">
        <v>2.09</v>
      </c>
      <c r="S12" s="38">
        <v>3677</v>
      </c>
      <c r="T12" s="38">
        <v>491132971</v>
      </c>
      <c r="U12" s="38">
        <v>491228830</v>
      </c>
    </row>
    <row r="13" spans="1:21" ht="15.75">
      <c r="A13" s="29">
        <v>9</v>
      </c>
      <c r="B13" s="30" t="s">
        <v>44</v>
      </c>
      <c r="C13" s="30" t="s">
        <v>45</v>
      </c>
      <c r="D13" s="31">
        <v>296517846.95999998</v>
      </c>
      <c r="E13" s="31">
        <v>577799.15</v>
      </c>
      <c r="F13" s="31">
        <v>557328.17000000004</v>
      </c>
      <c r="G13" s="32">
        <v>11282298.6</v>
      </c>
      <c r="H13" s="33">
        <v>282704074.83999997</v>
      </c>
      <c r="I13" s="77">
        <f t="shared" si="0"/>
        <v>1.7512721805817047E-2</v>
      </c>
      <c r="J13" s="33">
        <v>299571015.79000002</v>
      </c>
      <c r="K13" s="77">
        <f t="shared" si="5"/>
        <v>1.7717167600742018E-2</v>
      </c>
      <c r="L13" s="77">
        <f t="shared" si="6"/>
        <v>5.9662885862349566E-2</v>
      </c>
      <c r="M13" s="34">
        <f t="shared" si="1"/>
        <v>1.8604208705914607E-3</v>
      </c>
      <c r="N13" s="35">
        <f t="shared" si="2"/>
        <v>3.7661515985608289E-2</v>
      </c>
      <c r="O13" s="36">
        <f t="shared" si="3"/>
        <v>12.75106513607918</v>
      </c>
      <c r="P13" s="36">
        <f t="shared" si="4"/>
        <v>0.48022444345597859</v>
      </c>
      <c r="Q13" s="41">
        <v>12.69</v>
      </c>
      <c r="R13" s="41">
        <v>12.73</v>
      </c>
      <c r="S13" s="38">
        <v>199</v>
      </c>
      <c r="T13" s="38">
        <v>23283143.260000002</v>
      </c>
      <c r="U13" s="38">
        <v>23493803.27</v>
      </c>
    </row>
    <row r="14" spans="1:21" ht="15.75">
      <c r="A14" s="29">
        <v>10</v>
      </c>
      <c r="B14" s="42" t="s">
        <v>46</v>
      </c>
      <c r="C14" s="42" t="s">
        <v>47</v>
      </c>
      <c r="D14" s="31">
        <v>298658713.49000001</v>
      </c>
      <c r="E14" s="31">
        <v>506786.32</v>
      </c>
      <c r="F14" s="31">
        <v>460688.09</v>
      </c>
      <c r="G14" s="32">
        <v>46098.23</v>
      </c>
      <c r="H14" s="33">
        <v>288451914.19999999</v>
      </c>
      <c r="I14" s="77">
        <f t="shared" si="0"/>
        <v>1.7868784277690421E-2</v>
      </c>
      <c r="J14" s="33">
        <v>298245066.41000003</v>
      </c>
      <c r="K14" s="77">
        <f t="shared" si="5"/>
        <v>1.7638748574343187E-2</v>
      </c>
      <c r="L14" s="77">
        <f t="shared" si="6"/>
        <v>3.3950727063679298E-2</v>
      </c>
      <c r="M14" s="34">
        <f t="shared" si="1"/>
        <v>1.5446629027106461E-3</v>
      </c>
      <c r="N14" s="35">
        <f t="shared" si="2"/>
        <v>1.5456493733454881E-4</v>
      </c>
      <c r="O14" s="36">
        <f t="shared" si="3"/>
        <v>1.5161196991244874</v>
      </c>
      <c r="P14" s="36">
        <f t="shared" si="4"/>
        <v>2.343389462868514E-4</v>
      </c>
      <c r="Q14" s="41">
        <v>1.49</v>
      </c>
      <c r="R14" s="41">
        <v>1.52</v>
      </c>
      <c r="S14" s="38">
        <v>16</v>
      </c>
      <c r="T14" s="38">
        <v>196716042</v>
      </c>
      <c r="U14" s="38">
        <v>196716042</v>
      </c>
    </row>
    <row r="15" spans="1:21" ht="15.75">
      <c r="A15" s="29">
        <v>11</v>
      </c>
      <c r="B15" s="30" t="s">
        <v>48</v>
      </c>
      <c r="C15" s="30" t="s">
        <v>49</v>
      </c>
      <c r="D15" s="31">
        <v>737232105.24000001</v>
      </c>
      <c r="E15" s="31">
        <v>1142535.1399999999</v>
      </c>
      <c r="F15" s="31">
        <v>1314804.72</v>
      </c>
      <c r="G15" s="32">
        <v>-172269.58</v>
      </c>
      <c r="H15" s="33">
        <v>710665569.27999997</v>
      </c>
      <c r="I15" s="77">
        <f t="shared" si="0"/>
        <v>4.4023731949449398E-2</v>
      </c>
      <c r="J15" s="33">
        <v>731450439</v>
      </c>
      <c r="K15" s="77">
        <f t="shared" si="5"/>
        <v>4.3259291908546237E-2</v>
      </c>
      <c r="L15" s="77">
        <f t="shared" si="6"/>
        <v>2.9247047582532954E-2</v>
      </c>
      <c r="M15" s="34">
        <f t="shared" si="1"/>
        <v>1.7975308372191708E-3</v>
      </c>
      <c r="N15" s="35">
        <f t="shared" si="2"/>
        <v>-2.3551777511476754E-4</v>
      </c>
      <c r="O15" s="36">
        <f t="shared" si="3"/>
        <v>19.416576624940308</v>
      </c>
      <c r="P15" s="36">
        <f t="shared" si="4"/>
        <v>-4.572948927051344E-3</v>
      </c>
      <c r="Q15" s="41">
        <v>19.149999999999999</v>
      </c>
      <c r="R15" s="41">
        <v>19.5</v>
      </c>
      <c r="S15" s="38">
        <v>8836</v>
      </c>
      <c r="T15" s="38">
        <v>37782939.939999998</v>
      </c>
      <c r="U15" s="38">
        <v>37671441.939999998</v>
      </c>
    </row>
    <row r="16" spans="1:21" ht="15.75">
      <c r="A16" s="29">
        <v>12</v>
      </c>
      <c r="B16" s="40" t="s">
        <v>50</v>
      </c>
      <c r="C16" s="30" t="s">
        <v>51</v>
      </c>
      <c r="D16" s="43">
        <v>350751792.45999998</v>
      </c>
      <c r="E16" s="43">
        <v>1621032.54</v>
      </c>
      <c r="F16" s="43">
        <v>943045.82</v>
      </c>
      <c r="G16" s="43">
        <v>17769387.789999999</v>
      </c>
      <c r="H16" s="33">
        <v>336582869.81</v>
      </c>
      <c r="I16" s="77">
        <f t="shared" si="0"/>
        <v>2.0850361519982073E-2</v>
      </c>
      <c r="J16" s="41">
        <v>355643366.76999998</v>
      </c>
      <c r="K16" s="77">
        <f t="shared" si="5"/>
        <v>2.1033387086997975E-2</v>
      </c>
      <c r="L16" s="77">
        <f t="shared" si="6"/>
        <v>5.6629432658767125E-2</v>
      </c>
      <c r="M16" s="34">
        <f t="shared" si="1"/>
        <v>2.6516614904556401E-3</v>
      </c>
      <c r="N16" s="35">
        <f t="shared" si="2"/>
        <v>4.9964063582526294E-2</v>
      </c>
      <c r="O16" s="36">
        <f t="shared" si="3"/>
        <v>3443.1979067793295</v>
      </c>
      <c r="P16" s="36">
        <f t="shared" si="4"/>
        <v>172.03615914154389</v>
      </c>
      <c r="Q16" s="43">
        <v>3417.51</v>
      </c>
      <c r="R16" s="43">
        <v>3460.8</v>
      </c>
      <c r="S16" s="59">
        <v>19</v>
      </c>
      <c r="T16" s="59">
        <v>103288.68</v>
      </c>
      <c r="U16" s="59">
        <v>103288.68</v>
      </c>
    </row>
    <row r="17" spans="1:21" ht="15.75">
      <c r="A17" s="29">
        <v>13</v>
      </c>
      <c r="B17" s="30" t="s">
        <v>52</v>
      </c>
      <c r="C17" s="30" t="s">
        <v>51</v>
      </c>
      <c r="D17" s="43">
        <v>7539604028.8199997</v>
      </c>
      <c r="E17" s="43">
        <v>39662262.289999999</v>
      </c>
      <c r="F17" s="43">
        <v>29913719.870000001</v>
      </c>
      <c r="G17" s="43">
        <v>280088891.29000002</v>
      </c>
      <c r="H17" s="33">
        <v>7251351406.2399998</v>
      </c>
      <c r="I17" s="77">
        <f t="shared" si="0"/>
        <v>0.44920081171653964</v>
      </c>
      <c r="J17" s="41">
        <v>7618225299.9099998</v>
      </c>
      <c r="K17" s="77">
        <f t="shared" si="5"/>
        <v>0.45055551887347883</v>
      </c>
      <c r="L17" s="77">
        <f t="shared" si="6"/>
        <v>5.0593864938650521E-2</v>
      </c>
      <c r="M17" s="34">
        <f t="shared" si="1"/>
        <v>3.9265995284168609E-3</v>
      </c>
      <c r="N17" s="35">
        <f t="shared" si="2"/>
        <v>3.6765635074261838E-2</v>
      </c>
      <c r="O17" s="36">
        <f t="shared" si="3"/>
        <v>12944.409398644448</v>
      </c>
      <c r="P17" s="36">
        <f t="shared" si="4"/>
        <v>475.90943220240695</v>
      </c>
      <c r="Q17" s="43">
        <v>12856.88</v>
      </c>
      <c r="R17" s="43">
        <v>13004.4</v>
      </c>
      <c r="S17" s="59">
        <v>16927</v>
      </c>
      <c r="T17" s="59">
        <v>588856.25</v>
      </c>
      <c r="U17" s="59">
        <v>588534.02</v>
      </c>
    </row>
    <row r="18" spans="1:21" ht="15.75">
      <c r="A18" s="29">
        <v>14</v>
      </c>
      <c r="B18" s="44" t="s">
        <v>53</v>
      </c>
      <c r="C18" s="45" t="s">
        <v>54</v>
      </c>
      <c r="D18" s="43">
        <f>27433415.9+4607123.76</f>
        <v>32040539.659999996</v>
      </c>
      <c r="E18" s="43">
        <v>389855.92</v>
      </c>
      <c r="F18" s="43">
        <v>87307.199999999997</v>
      </c>
      <c r="G18" s="43">
        <v>302548.71999999997</v>
      </c>
      <c r="H18" s="33">
        <v>55469485.829999998</v>
      </c>
      <c r="I18" s="77">
        <f t="shared" si="0"/>
        <v>3.4361785361682151E-3</v>
      </c>
      <c r="J18" s="41">
        <v>53362635.869999997</v>
      </c>
      <c r="K18" s="77">
        <f t="shared" si="5"/>
        <v>3.1559620707395462E-3</v>
      </c>
      <c r="L18" s="77">
        <f t="shared" si="6"/>
        <v>-3.7982143307709132E-2</v>
      </c>
      <c r="M18" s="34">
        <f t="shared" si="1"/>
        <v>1.6361110836558832E-3</v>
      </c>
      <c r="N18" s="35">
        <f t="shared" si="2"/>
        <v>5.6696734534826491E-3</v>
      </c>
      <c r="O18" s="36">
        <f t="shared" si="3"/>
        <v>101.29359131197518</v>
      </c>
      <c r="P18" s="36">
        <f t="shared" si="4"/>
        <v>0.57430158566942635</v>
      </c>
      <c r="Q18" s="43">
        <v>101.76</v>
      </c>
      <c r="R18" s="43">
        <v>102.1895</v>
      </c>
      <c r="S18" s="59">
        <v>11</v>
      </c>
      <c r="T18" s="59">
        <v>523750.12</v>
      </c>
      <c r="U18" s="59">
        <v>526811.56999999995</v>
      </c>
    </row>
    <row r="19" spans="1:21" ht="15.75">
      <c r="A19" s="29">
        <v>15</v>
      </c>
      <c r="B19" s="30" t="s">
        <v>55</v>
      </c>
      <c r="C19" s="30" t="s">
        <v>56</v>
      </c>
      <c r="D19" s="31">
        <v>1463549200</v>
      </c>
      <c r="E19" s="31">
        <v>38554037</v>
      </c>
      <c r="F19" s="31">
        <v>3394991</v>
      </c>
      <c r="G19" s="32">
        <v>99486709</v>
      </c>
      <c r="H19" s="33">
        <v>1866653055</v>
      </c>
      <c r="I19" s="77">
        <f t="shared" si="0"/>
        <v>0.11563390332698577</v>
      </c>
      <c r="J19" s="33">
        <v>1983169234</v>
      </c>
      <c r="K19" s="77">
        <f t="shared" si="5"/>
        <v>0.11728818826733117</v>
      </c>
      <c r="L19" s="77">
        <f t="shared" si="6"/>
        <v>6.2419836770363307E-2</v>
      </c>
      <c r="M19" s="34">
        <f t="shared" si="1"/>
        <v>1.7119018093843623E-3</v>
      </c>
      <c r="N19" s="35">
        <f t="shared" si="2"/>
        <v>5.0165516535035155E-2</v>
      </c>
      <c r="O19" s="36">
        <f t="shared" si="3"/>
        <v>1.0386547858944604</v>
      </c>
      <c r="P19" s="36">
        <f t="shared" si="4"/>
        <v>5.2104653835981951E-2</v>
      </c>
      <c r="Q19" s="37">
        <v>1.04</v>
      </c>
      <c r="R19" s="37">
        <v>1.06</v>
      </c>
      <c r="S19" s="39">
        <v>2764</v>
      </c>
      <c r="T19" s="39">
        <v>1909787862</v>
      </c>
      <c r="U19" s="39">
        <v>1909363208</v>
      </c>
    </row>
    <row r="20" spans="1:21" ht="15.75">
      <c r="A20" s="29">
        <v>16</v>
      </c>
      <c r="B20" s="40" t="s">
        <v>57</v>
      </c>
      <c r="C20" s="30" t="s">
        <v>58</v>
      </c>
      <c r="D20" s="31">
        <v>337875916.81</v>
      </c>
      <c r="E20" s="31">
        <v>7368106.4100000001</v>
      </c>
      <c r="F20" s="31">
        <v>700192.52</v>
      </c>
      <c r="G20" s="32">
        <v>306642.83</v>
      </c>
      <c r="H20" s="33">
        <v>328731318.32999998</v>
      </c>
      <c r="I20" s="77">
        <f t="shared" si="0"/>
        <v>2.0363980002874076E-2</v>
      </c>
      <c r="J20" s="33">
        <v>348011839.62</v>
      </c>
      <c r="K20" s="77">
        <f t="shared" si="5"/>
        <v>2.058204487283349E-2</v>
      </c>
      <c r="L20" s="77">
        <f t="shared" si="6"/>
        <v>5.8651306446698491E-2</v>
      </c>
      <c r="M20" s="34">
        <f t="shared" si="1"/>
        <v>2.0119790199222879E-3</v>
      </c>
      <c r="N20" s="35">
        <f t="shared" si="2"/>
        <v>8.8112757983989419E-4</v>
      </c>
      <c r="O20" s="36">
        <f t="shared" si="3"/>
        <v>1.3611582711830856</v>
      </c>
      <c r="P20" s="36">
        <f t="shared" si="4"/>
        <v>1.1993540932666068E-3</v>
      </c>
      <c r="Q20" s="37">
        <v>1.27</v>
      </c>
      <c r="R20" s="37">
        <v>1.3</v>
      </c>
      <c r="S20" s="39">
        <v>153</v>
      </c>
      <c r="T20" s="39">
        <v>255269385.03999999</v>
      </c>
      <c r="U20" s="39">
        <v>255673309.25999999</v>
      </c>
    </row>
    <row r="21" spans="1:21" ht="15.75">
      <c r="A21" s="92" t="s">
        <v>59</v>
      </c>
      <c r="B21" s="92"/>
      <c r="C21" s="92"/>
      <c r="D21" s="92"/>
      <c r="E21" s="92"/>
      <c r="F21" s="92"/>
      <c r="G21" s="92"/>
      <c r="H21" s="86">
        <f>SUM(H5:H20)</f>
        <v>16142783399.099998</v>
      </c>
      <c r="I21" s="87">
        <f>(H21/$H$165)</f>
        <v>1.1401587545390772E-2</v>
      </c>
      <c r="J21" s="86">
        <f>SUM(J5:J20)</f>
        <v>16908516222.280001</v>
      </c>
      <c r="K21" s="87">
        <f>(J21/$J$165)</f>
        <v>1.143329064438026E-2</v>
      </c>
      <c r="L21" s="77">
        <f>((J21-H21)/H21)</f>
        <v>4.7434993349578972E-2</v>
      </c>
      <c r="M21" s="53"/>
      <c r="N21" s="55"/>
      <c r="O21" s="36"/>
      <c r="P21" s="36"/>
      <c r="Q21" s="41"/>
      <c r="R21" s="41"/>
      <c r="S21" s="70">
        <f>SUM(S5:S20)</f>
        <v>39877</v>
      </c>
      <c r="T21" s="38"/>
      <c r="U21" s="38"/>
    </row>
    <row r="22" spans="1:21" ht="5.25" customHeight="1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7"/>
    </row>
    <row r="23" spans="1:21">
      <c r="A23" s="93" t="s">
        <v>1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</row>
    <row r="24" spans="1:21" ht="15.75">
      <c r="A24" s="29">
        <v>17</v>
      </c>
      <c r="B24" s="30" t="s">
        <v>60</v>
      </c>
      <c r="C24" s="30" t="s">
        <v>58</v>
      </c>
      <c r="D24" s="41">
        <v>12190462491.139999</v>
      </c>
      <c r="E24" s="41">
        <v>117299836.41</v>
      </c>
      <c r="F24" s="41">
        <v>15008333.369999999</v>
      </c>
      <c r="G24" s="32">
        <v>102291503.04000001</v>
      </c>
      <c r="H24" s="41">
        <v>10646968954.77</v>
      </c>
      <c r="I24" s="77">
        <f t="shared" ref="I24:I52" si="7">(H24/$H$53)</f>
        <v>1.7040820012804322E-2</v>
      </c>
      <c r="J24" s="41">
        <v>11987630796.76</v>
      </c>
      <c r="K24" s="77">
        <f>(J24/$J$53)</f>
        <v>1.7246833884850991E-2</v>
      </c>
      <c r="L24" s="77">
        <f>((J24-H24)/H24)</f>
        <v>0.12591957839694493</v>
      </c>
      <c r="M24" s="34">
        <f t="shared" ref="M24:M52" si="8">(F24/J24)</f>
        <v>1.2519849521939255E-3</v>
      </c>
      <c r="N24" s="47">
        <f t="shared" ref="N24:N52" si="9">G24/J24</f>
        <v>8.5330875445085615E-3</v>
      </c>
      <c r="O24" s="48">
        <f t="shared" ref="O24:O52" si="10">J24/U24</f>
        <v>99.999999997997932</v>
      </c>
      <c r="P24" s="48">
        <f t="shared" ref="P24:P52" si="11">G24/U24</f>
        <v>0.85330875443377241</v>
      </c>
      <c r="Q24" s="41">
        <v>100</v>
      </c>
      <c r="R24" s="41">
        <v>100</v>
      </c>
      <c r="S24" s="38">
        <v>6334</v>
      </c>
      <c r="T24" s="38">
        <v>106469689.55</v>
      </c>
      <c r="U24" s="38">
        <v>119876307.97</v>
      </c>
    </row>
    <row r="25" spans="1:21" ht="15.75">
      <c r="A25" s="29">
        <v>18</v>
      </c>
      <c r="B25" s="30" t="s">
        <v>61</v>
      </c>
      <c r="C25" s="30" t="s">
        <v>29</v>
      </c>
      <c r="D25" s="41">
        <v>678848812.89999998</v>
      </c>
      <c r="E25" s="41">
        <v>8051940.9500000002</v>
      </c>
      <c r="F25" s="41">
        <v>1454039.29</v>
      </c>
      <c r="G25" s="32">
        <v>6597901.6600000001</v>
      </c>
      <c r="H25" s="41">
        <v>640517206.04999995</v>
      </c>
      <c r="I25" s="77">
        <f t="shared" si="7"/>
        <v>1.0251686155722558E-3</v>
      </c>
      <c r="J25" s="41">
        <v>680809455.86000001</v>
      </c>
      <c r="K25" s="77">
        <f t="shared" ref="K25:K52" si="12">(J25/$J$53)</f>
        <v>9.7949359565084127E-4</v>
      </c>
      <c r="L25" s="77">
        <f t="shared" ref="L25:L52" si="13">((J25-H25)/H25)</f>
        <v>6.2905803980626826E-2</v>
      </c>
      <c r="M25" s="34">
        <f t="shared" si="8"/>
        <v>2.1357507265571899E-3</v>
      </c>
      <c r="N25" s="47">
        <f t="shared" si="9"/>
        <v>9.691260312572357E-3</v>
      </c>
      <c r="O25" s="48">
        <f t="shared" si="10"/>
        <v>102.13209118252858</v>
      </c>
      <c r="P25" s="48">
        <f t="shared" si="11"/>
        <v>0.98978868191726033</v>
      </c>
      <c r="Q25" s="41">
        <v>100</v>
      </c>
      <c r="R25" s="41">
        <v>100</v>
      </c>
      <c r="S25" s="38">
        <v>675</v>
      </c>
      <c r="T25" s="38">
        <v>6355070</v>
      </c>
      <c r="U25" s="38">
        <v>6665970</v>
      </c>
    </row>
    <row r="26" spans="1:21" ht="15.75">
      <c r="A26" s="29">
        <v>19</v>
      </c>
      <c r="B26" s="30" t="s">
        <v>62</v>
      </c>
      <c r="C26" s="30" t="s">
        <v>63</v>
      </c>
      <c r="D26" s="41">
        <v>1712314195.49</v>
      </c>
      <c r="E26" s="41">
        <v>20093061.649999999</v>
      </c>
      <c r="F26" s="41">
        <v>2698628.46</v>
      </c>
      <c r="G26" s="32">
        <v>17394433.190000001</v>
      </c>
      <c r="H26" s="41">
        <v>1311048400.1800001</v>
      </c>
      <c r="I26" s="77">
        <f t="shared" si="7"/>
        <v>2.0983755950122487E-3</v>
      </c>
      <c r="J26" s="41">
        <v>1685753107.79</v>
      </c>
      <c r="K26" s="77">
        <f t="shared" si="12"/>
        <v>2.4253252635027338E-3</v>
      </c>
      <c r="L26" s="77">
        <f t="shared" si="13"/>
        <v>0.28580539632141339</v>
      </c>
      <c r="M26" s="34">
        <f t="shared" si="8"/>
        <v>1.6008444223115604E-3</v>
      </c>
      <c r="N26" s="47">
        <f t="shared" si="9"/>
        <v>1.0318493918011443E-2</v>
      </c>
      <c r="O26" s="48">
        <f t="shared" si="10"/>
        <v>101.16940998531371</v>
      </c>
      <c r="P26" s="48">
        <f t="shared" si="11"/>
        <v>1.0439159416222656</v>
      </c>
      <c r="Q26" s="41">
        <v>100</v>
      </c>
      <c r="R26" s="41">
        <v>100</v>
      </c>
      <c r="S26" s="38">
        <v>850</v>
      </c>
      <c r="T26" s="38">
        <v>12769233.91</v>
      </c>
      <c r="U26" s="38">
        <v>16662676.08</v>
      </c>
    </row>
    <row r="27" spans="1:21" ht="15.75">
      <c r="A27" s="29">
        <v>20</v>
      </c>
      <c r="B27" s="30" t="s">
        <v>64</v>
      </c>
      <c r="C27" s="30" t="s">
        <v>31</v>
      </c>
      <c r="D27" s="41">
        <v>369339806.72000003</v>
      </c>
      <c r="E27" s="41">
        <v>3943463.42</v>
      </c>
      <c r="F27" s="41">
        <v>617381.96</v>
      </c>
      <c r="G27" s="32">
        <v>3326081.46</v>
      </c>
      <c r="H27" s="41">
        <v>401946951.97000003</v>
      </c>
      <c r="I27" s="77">
        <f t="shared" si="7"/>
        <v>6.433291664805122E-4</v>
      </c>
      <c r="J27" s="41">
        <v>427396722.19</v>
      </c>
      <c r="K27" s="77">
        <f t="shared" si="12"/>
        <v>6.1490384509781744E-4</v>
      </c>
      <c r="L27" s="77">
        <f t="shared" si="13"/>
        <v>6.3316241347936522E-2</v>
      </c>
      <c r="M27" s="34">
        <f t="shared" si="8"/>
        <v>1.4445173019495964E-3</v>
      </c>
      <c r="N27" s="47">
        <f t="shared" si="9"/>
        <v>7.7821875726070367E-3</v>
      </c>
      <c r="O27" s="48">
        <f t="shared" si="10"/>
        <v>103.35255809397172</v>
      </c>
      <c r="P27" s="48">
        <f t="shared" si="11"/>
        <v>0.80430899319605353</v>
      </c>
      <c r="Q27" s="41">
        <v>100</v>
      </c>
      <c r="R27" s="41">
        <v>100</v>
      </c>
      <c r="S27" s="38">
        <v>1085</v>
      </c>
      <c r="T27" s="38">
        <v>3916901.26</v>
      </c>
      <c r="U27" s="38">
        <v>4135327.95</v>
      </c>
    </row>
    <row r="28" spans="1:21" ht="15.75">
      <c r="A28" s="29">
        <v>21</v>
      </c>
      <c r="B28" s="30" t="s">
        <v>65</v>
      </c>
      <c r="C28" s="40" t="s">
        <v>33</v>
      </c>
      <c r="D28" s="41">
        <v>19113247371.810001</v>
      </c>
      <c r="E28" s="41">
        <v>801646665.55999994</v>
      </c>
      <c r="F28" s="41">
        <v>175016217.22</v>
      </c>
      <c r="G28" s="32">
        <v>626630448.34000003</v>
      </c>
      <c r="H28" s="41">
        <v>68025901215</v>
      </c>
      <c r="I28" s="77">
        <f t="shared" si="7"/>
        <v>0.10887766684942529</v>
      </c>
      <c r="J28" s="41">
        <v>74709531259</v>
      </c>
      <c r="K28" s="77">
        <f t="shared" si="12"/>
        <v>0.10748603265186564</v>
      </c>
      <c r="L28" s="77">
        <f t="shared" si="13"/>
        <v>9.8251253193632537E-2</v>
      </c>
      <c r="M28" s="34">
        <f t="shared" si="8"/>
        <v>2.3426223437711157E-3</v>
      </c>
      <c r="N28" s="47">
        <f t="shared" si="9"/>
        <v>8.3875569526413278E-3</v>
      </c>
      <c r="O28" s="48">
        <f t="shared" si="10"/>
        <v>1.0148080348599038</v>
      </c>
      <c r="P28" s="48">
        <f t="shared" si="11"/>
        <v>8.5117601883854688E-3</v>
      </c>
      <c r="Q28" s="41">
        <v>1</v>
      </c>
      <c r="R28" s="41">
        <v>1</v>
      </c>
      <c r="S28" s="38">
        <v>29464</v>
      </c>
      <c r="T28" s="38">
        <v>68025901215</v>
      </c>
      <c r="U28" s="38">
        <v>73619373017</v>
      </c>
    </row>
    <row r="29" spans="1:21" ht="15.75">
      <c r="A29" s="29">
        <v>22</v>
      </c>
      <c r="B29" s="30" t="s">
        <v>66</v>
      </c>
      <c r="C29" s="30" t="s">
        <v>67</v>
      </c>
      <c r="D29" s="41">
        <v>13983833378.98</v>
      </c>
      <c r="E29" s="41">
        <v>375860138.85000002</v>
      </c>
      <c r="F29" s="41">
        <v>42618747.780000001</v>
      </c>
      <c r="G29" s="32">
        <v>333241391.06999999</v>
      </c>
      <c r="H29" s="41">
        <v>32551749889.360001</v>
      </c>
      <c r="I29" s="77">
        <f t="shared" si="7"/>
        <v>5.2100134162398316E-2</v>
      </c>
      <c r="J29" s="41">
        <v>35094256852.889999</v>
      </c>
      <c r="K29" s="77">
        <f t="shared" si="12"/>
        <v>5.0490779080189674E-2</v>
      </c>
      <c r="L29" s="77">
        <f t="shared" si="13"/>
        <v>7.8106613996842392E-2</v>
      </c>
      <c r="M29" s="34">
        <f t="shared" si="8"/>
        <v>1.2144080428501897E-3</v>
      </c>
      <c r="N29" s="47">
        <f t="shared" si="9"/>
        <v>9.4956104204428453E-3</v>
      </c>
      <c r="O29" s="48">
        <f t="shared" si="10"/>
        <v>1.0093317314595724</v>
      </c>
      <c r="P29" s="48">
        <f t="shared" si="11"/>
        <v>9.5842209069311353E-3</v>
      </c>
      <c r="Q29" s="41">
        <v>1</v>
      </c>
      <c r="R29" s="41">
        <v>1</v>
      </c>
      <c r="S29" s="38">
        <v>21955</v>
      </c>
      <c r="T29" s="38">
        <v>31668364395.970001</v>
      </c>
      <c r="U29" s="38">
        <v>34769794468.010002</v>
      </c>
    </row>
    <row r="30" spans="1:21" ht="15.75">
      <c r="A30" s="29">
        <v>23</v>
      </c>
      <c r="B30" s="40" t="s">
        <v>68</v>
      </c>
      <c r="C30" s="40" t="s">
        <v>49</v>
      </c>
      <c r="D30" s="41">
        <v>4422501570.4200001</v>
      </c>
      <c r="E30" s="41">
        <v>49210700</v>
      </c>
      <c r="F30" s="41">
        <v>7304318.1299999999</v>
      </c>
      <c r="G30" s="32">
        <v>41906381.869999997</v>
      </c>
      <c r="H30" s="41">
        <v>4141990994.2800002</v>
      </c>
      <c r="I30" s="77">
        <f t="shared" si="7"/>
        <v>6.6293912688230117E-3</v>
      </c>
      <c r="J30" s="41">
        <v>4374181165.1400003</v>
      </c>
      <c r="K30" s="77">
        <f t="shared" si="12"/>
        <v>6.2932181693319727E-3</v>
      </c>
      <c r="L30" s="77">
        <f t="shared" si="13"/>
        <v>5.6057623297744906E-2</v>
      </c>
      <c r="M30" s="34">
        <f t="shared" si="8"/>
        <v>1.6698709665277929E-3</v>
      </c>
      <c r="N30" s="47">
        <f t="shared" si="9"/>
        <v>9.5803946585414773E-3</v>
      </c>
      <c r="O30" s="48">
        <f t="shared" si="10"/>
        <v>100.00000000320061</v>
      </c>
      <c r="P30" s="48">
        <f t="shared" si="11"/>
        <v>0.95803946588481093</v>
      </c>
      <c r="Q30" s="41">
        <v>100</v>
      </c>
      <c r="R30" s="41">
        <v>100</v>
      </c>
      <c r="S30" s="38">
        <v>1763</v>
      </c>
      <c r="T30" s="38">
        <v>41419909.939999998</v>
      </c>
      <c r="U30" s="38">
        <v>43741811.649999999</v>
      </c>
    </row>
    <row r="31" spans="1:21" ht="15.75">
      <c r="A31" s="29">
        <v>24</v>
      </c>
      <c r="B31" s="30" t="s">
        <v>69</v>
      </c>
      <c r="C31" s="30" t="s">
        <v>70</v>
      </c>
      <c r="D31" s="60">
        <v>8549476884.1400003</v>
      </c>
      <c r="E31" s="41">
        <v>112345799.64</v>
      </c>
      <c r="F31" s="41">
        <v>14460342.189999999</v>
      </c>
      <c r="G31" s="32">
        <v>99297902.049999997</v>
      </c>
      <c r="H31" s="41">
        <v>7557726874.8299999</v>
      </c>
      <c r="I31" s="77">
        <f t="shared" si="7"/>
        <v>1.2096387612947098E-2</v>
      </c>
      <c r="J31" s="41">
        <v>8370353409.5900002</v>
      </c>
      <c r="K31" s="77">
        <f t="shared" si="12"/>
        <v>1.2042587668925608E-2</v>
      </c>
      <c r="L31" s="77">
        <f t="shared" si="13"/>
        <v>0.10752261205235457</v>
      </c>
      <c r="M31" s="34">
        <f t="shared" si="8"/>
        <v>1.7275665055471417E-3</v>
      </c>
      <c r="N31" s="47">
        <f t="shared" si="9"/>
        <v>1.186304773418926E-2</v>
      </c>
      <c r="O31" s="48">
        <f t="shared" si="10"/>
        <v>99.999999995101774</v>
      </c>
      <c r="P31" s="48">
        <f t="shared" si="11"/>
        <v>1.1863047733608181</v>
      </c>
      <c r="Q31" s="41">
        <v>100</v>
      </c>
      <c r="R31" s="41">
        <v>100</v>
      </c>
      <c r="S31" s="38">
        <v>1500</v>
      </c>
      <c r="T31" s="38">
        <v>75577268.75</v>
      </c>
      <c r="U31" s="38">
        <v>83703534.099999994</v>
      </c>
    </row>
    <row r="32" spans="1:21" ht="15.75">
      <c r="A32" s="29">
        <v>25</v>
      </c>
      <c r="B32" s="30" t="s">
        <v>71</v>
      </c>
      <c r="C32" s="30" t="s">
        <v>72</v>
      </c>
      <c r="D32" s="41">
        <v>2324457957.5500002</v>
      </c>
      <c r="E32" s="41">
        <v>51341153.25</v>
      </c>
      <c r="F32" s="41">
        <v>5790910.5700000003</v>
      </c>
      <c r="G32" s="32">
        <v>45550242.68</v>
      </c>
      <c r="H32" s="41">
        <v>4609806314.8599997</v>
      </c>
      <c r="I32" s="77">
        <f t="shared" si="7"/>
        <v>7.3781449010635351E-3</v>
      </c>
      <c r="J32" s="41">
        <v>5407900027.4200001</v>
      </c>
      <c r="K32" s="77">
        <f t="shared" si="12"/>
        <v>7.780449283106259E-3</v>
      </c>
      <c r="L32" s="77">
        <f t="shared" si="13"/>
        <v>0.17312955426940504</v>
      </c>
      <c r="M32" s="34">
        <f t="shared" si="8"/>
        <v>1.0708242646199078E-3</v>
      </c>
      <c r="N32" s="47">
        <f t="shared" si="9"/>
        <v>8.422907681178253E-3</v>
      </c>
      <c r="O32" s="48">
        <f t="shared" si="10"/>
        <v>100.00001530021122</v>
      </c>
      <c r="P32" s="48">
        <f t="shared" si="11"/>
        <v>0.84229089699009185</v>
      </c>
      <c r="Q32" s="41">
        <v>100</v>
      </c>
      <c r="R32" s="41">
        <v>100</v>
      </c>
      <c r="S32" s="38">
        <v>5308</v>
      </c>
      <c r="T32" s="38">
        <v>46098063</v>
      </c>
      <c r="U32" s="38">
        <v>54078992</v>
      </c>
    </row>
    <row r="33" spans="1:21" ht="15.75">
      <c r="A33" s="29">
        <v>26</v>
      </c>
      <c r="B33" s="30" t="s">
        <v>73</v>
      </c>
      <c r="C33" s="40" t="s">
        <v>74</v>
      </c>
      <c r="D33" s="41">
        <v>39263942.280000001</v>
      </c>
      <c r="E33" s="31">
        <v>275433.01</v>
      </c>
      <c r="F33" s="31">
        <v>41437.480000000003</v>
      </c>
      <c r="G33" s="32">
        <v>233995.53</v>
      </c>
      <c r="H33" s="41">
        <v>39203248.560000002</v>
      </c>
      <c r="I33" s="77">
        <f t="shared" si="7"/>
        <v>6.2746074067295129E-5</v>
      </c>
      <c r="J33" s="41">
        <v>39203248.560000002</v>
      </c>
      <c r="K33" s="77">
        <f t="shared" si="12"/>
        <v>5.6402464100211345E-5</v>
      </c>
      <c r="L33" s="77">
        <f t="shared" si="13"/>
        <v>0</v>
      </c>
      <c r="M33" s="34">
        <f t="shared" si="8"/>
        <v>1.056990977076314E-3</v>
      </c>
      <c r="N33" s="47">
        <f t="shared" si="9"/>
        <v>5.9687790832403404E-3</v>
      </c>
      <c r="O33" s="48">
        <f t="shared" si="10"/>
        <v>101.87107246798604</v>
      </c>
      <c r="P33" s="48">
        <f t="shared" si="11"/>
        <v>0.608045926534176</v>
      </c>
      <c r="Q33" s="41">
        <v>10</v>
      </c>
      <c r="R33" s="41">
        <v>10</v>
      </c>
      <c r="S33" s="38">
        <v>86</v>
      </c>
      <c r="T33" s="38">
        <v>333972.73</v>
      </c>
      <c r="U33" s="38">
        <v>384832</v>
      </c>
    </row>
    <row r="34" spans="1:21" ht="15.75">
      <c r="A34" s="29">
        <v>27</v>
      </c>
      <c r="B34" s="30" t="s">
        <v>75</v>
      </c>
      <c r="C34" s="30" t="s">
        <v>76</v>
      </c>
      <c r="D34" s="41">
        <v>2163186287.79</v>
      </c>
      <c r="E34" s="41">
        <v>45251966.859999999</v>
      </c>
      <c r="F34" s="41">
        <v>5038935.66</v>
      </c>
      <c r="G34" s="32">
        <v>40213031.200000003</v>
      </c>
      <c r="H34" s="41">
        <v>4048845674.8299999</v>
      </c>
      <c r="I34" s="77">
        <f t="shared" si="7"/>
        <v>6.4803091562963761E-3</v>
      </c>
      <c r="J34" s="41">
        <v>4054413370.0300002</v>
      </c>
      <c r="K34" s="77">
        <f t="shared" si="12"/>
        <v>5.8331621217701957E-3</v>
      </c>
      <c r="L34" s="77">
        <f t="shared" si="13"/>
        <v>1.3751314935544089E-3</v>
      </c>
      <c r="M34" s="34">
        <f t="shared" si="8"/>
        <v>1.2428273094321201E-3</v>
      </c>
      <c r="N34" s="47">
        <f t="shared" si="9"/>
        <v>9.9183352879734735E-3</v>
      </c>
      <c r="O34" s="48">
        <f t="shared" si="10"/>
        <v>1.0054230509077158</v>
      </c>
      <c r="P34" s="48">
        <f t="shared" si="11"/>
        <v>9.9721229251599468E-3</v>
      </c>
      <c r="Q34" s="41">
        <v>1</v>
      </c>
      <c r="R34" s="41">
        <v>1</v>
      </c>
      <c r="S34" s="38">
        <v>1793</v>
      </c>
      <c r="T34" s="38">
        <v>3937516874.8600001</v>
      </c>
      <c r="U34" s="38">
        <v>4032544674.9699998</v>
      </c>
    </row>
    <row r="35" spans="1:21" ht="15.75">
      <c r="A35" s="29">
        <v>28</v>
      </c>
      <c r="B35" s="30" t="s">
        <v>77</v>
      </c>
      <c r="C35" s="30" t="s">
        <v>78</v>
      </c>
      <c r="D35" s="41">
        <v>11117454580.85</v>
      </c>
      <c r="E35" s="41">
        <v>118975666.89</v>
      </c>
      <c r="F35" s="41">
        <v>17286416.219999999</v>
      </c>
      <c r="G35" s="32">
        <v>100022087.13</v>
      </c>
      <c r="H35" s="41">
        <v>10983534706.84</v>
      </c>
      <c r="I35" s="77">
        <f t="shared" si="7"/>
        <v>1.7579504442886133E-2</v>
      </c>
      <c r="J35" s="41">
        <v>10979139433.1</v>
      </c>
      <c r="K35" s="77">
        <f t="shared" si="12"/>
        <v>1.5795898056225714E-2</v>
      </c>
      <c r="L35" s="77">
        <f t="shared" si="13"/>
        <v>-4.0016933139589507E-4</v>
      </c>
      <c r="M35" s="34">
        <f t="shared" si="8"/>
        <v>1.5744782480751423E-3</v>
      </c>
      <c r="N35" s="47">
        <f t="shared" si="9"/>
        <v>9.1101937214179626E-3</v>
      </c>
      <c r="O35" s="48">
        <f t="shared" si="10"/>
        <v>99.959983129110526</v>
      </c>
      <c r="P35" s="48">
        <f t="shared" si="11"/>
        <v>0.91065481069586818</v>
      </c>
      <c r="Q35" s="41">
        <v>100</v>
      </c>
      <c r="R35" s="41">
        <v>100</v>
      </c>
      <c r="S35" s="38">
        <f>4445+93+96</f>
        <v>4634</v>
      </c>
      <c r="T35" s="38">
        <v>109385347</v>
      </c>
      <c r="U35" s="38">
        <v>109835347</v>
      </c>
    </row>
    <row r="36" spans="1:21" ht="15.75">
      <c r="A36" s="29">
        <v>29</v>
      </c>
      <c r="B36" s="30" t="s">
        <v>79</v>
      </c>
      <c r="C36" s="30" t="s">
        <v>78</v>
      </c>
      <c r="D36" s="41">
        <v>92920346.5</v>
      </c>
      <c r="E36" s="41">
        <v>4583660.1399999997</v>
      </c>
      <c r="F36" s="41">
        <v>449859.7</v>
      </c>
      <c r="G36" s="32">
        <v>4133800.44</v>
      </c>
      <c r="H36" s="41">
        <v>431149698.73000002</v>
      </c>
      <c r="I36" s="77">
        <f t="shared" si="7"/>
        <v>6.9006911223697229E-4</v>
      </c>
      <c r="J36" s="41">
        <v>564718558.27999997</v>
      </c>
      <c r="K36" s="77">
        <f t="shared" si="12"/>
        <v>8.1247139918424159E-4</v>
      </c>
      <c r="L36" s="77">
        <f t="shared" si="13"/>
        <v>0.30979694510617095</v>
      </c>
      <c r="M36" s="34">
        <f t="shared" si="8"/>
        <v>7.9660867064501465E-4</v>
      </c>
      <c r="N36" s="47">
        <f t="shared" si="9"/>
        <v>7.3201072983869785E-3</v>
      </c>
      <c r="O36" s="48">
        <f t="shared" si="10"/>
        <v>1310251.8753596288</v>
      </c>
      <c r="P36" s="48">
        <f t="shared" si="11"/>
        <v>9591.1843155452443</v>
      </c>
      <c r="Q36" s="41">
        <v>1000000</v>
      </c>
      <c r="R36" s="41">
        <v>1000000</v>
      </c>
      <c r="S36" s="38">
        <v>15</v>
      </c>
      <c r="T36" s="38">
        <v>431</v>
      </c>
      <c r="U36" s="38">
        <v>431</v>
      </c>
    </row>
    <row r="37" spans="1:21" ht="15.75">
      <c r="A37" s="29">
        <v>30</v>
      </c>
      <c r="B37" s="40" t="s">
        <v>80</v>
      </c>
      <c r="C37" s="40" t="s">
        <v>81</v>
      </c>
      <c r="D37" s="41">
        <v>415490671.69999999</v>
      </c>
      <c r="E37" s="41">
        <v>13789491.710000001</v>
      </c>
      <c r="F37" s="41">
        <v>1996196.42</v>
      </c>
      <c r="G37" s="32">
        <v>11793295.289999999</v>
      </c>
      <c r="H37" s="41">
        <v>1025267907.79</v>
      </c>
      <c r="I37" s="77">
        <f t="shared" si="7"/>
        <v>1.6409746244001584E-3</v>
      </c>
      <c r="J37" s="41">
        <v>1032860256.4</v>
      </c>
      <c r="K37" s="77">
        <f t="shared" si="12"/>
        <v>1.4859958210599903E-3</v>
      </c>
      <c r="L37" s="77">
        <f t="shared" si="13"/>
        <v>7.4052338440647979E-3</v>
      </c>
      <c r="M37" s="34">
        <f t="shared" si="8"/>
        <v>1.9326878032442415E-3</v>
      </c>
      <c r="N37" s="47">
        <f t="shared" si="9"/>
        <v>1.1418093800128525E-2</v>
      </c>
      <c r="O37" s="48">
        <f t="shared" si="10"/>
        <v>1.000463210505999</v>
      </c>
      <c r="P37" s="48">
        <f t="shared" si="11"/>
        <v>1.1423382781135227E-2</v>
      </c>
      <c r="Q37" s="41">
        <v>1</v>
      </c>
      <c r="R37" s="41">
        <v>1</v>
      </c>
      <c r="S37" s="38">
        <v>316</v>
      </c>
      <c r="T37" s="38">
        <v>1024414008.33</v>
      </c>
      <c r="U37" s="38">
        <v>1032382046.1900001</v>
      </c>
    </row>
    <row r="38" spans="1:21" ht="15.75">
      <c r="A38" s="29">
        <v>31</v>
      </c>
      <c r="B38" s="30" t="s">
        <v>82</v>
      </c>
      <c r="C38" s="30" t="s">
        <v>83</v>
      </c>
      <c r="D38" s="41">
        <v>102956068.34</v>
      </c>
      <c r="E38" s="41">
        <v>2259876.29</v>
      </c>
      <c r="F38" s="41">
        <v>681118.71</v>
      </c>
      <c r="G38" s="32">
        <v>1578757.58</v>
      </c>
      <c r="H38" s="41">
        <v>269730707.69</v>
      </c>
      <c r="I38" s="77">
        <f t="shared" si="7"/>
        <v>4.317127683191332E-4</v>
      </c>
      <c r="J38" s="41">
        <v>274100771.39999998</v>
      </c>
      <c r="K38" s="77">
        <f t="shared" si="12"/>
        <v>3.9435402642889382E-4</v>
      </c>
      <c r="L38" s="77">
        <f t="shared" si="13"/>
        <v>1.6201580262868952E-2</v>
      </c>
      <c r="M38" s="34">
        <f t="shared" si="8"/>
        <v>2.4849208067569853E-3</v>
      </c>
      <c r="N38" s="47">
        <f t="shared" si="9"/>
        <v>5.7597706563769276E-3</v>
      </c>
      <c r="O38" s="48">
        <f t="shared" si="10"/>
        <v>1.0066962868616958</v>
      </c>
      <c r="P38" s="48">
        <f t="shared" si="11"/>
        <v>5.7983397329496051E-3</v>
      </c>
      <c r="Q38" s="41">
        <v>1</v>
      </c>
      <c r="R38" s="41">
        <v>1</v>
      </c>
      <c r="S38" s="38">
        <v>262</v>
      </c>
      <c r="T38" s="38">
        <v>268020931</v>
      </c>
      <c r="U38" s="38">
        <v>272277523</v>
      </c>
    </row>
    <row r="39" spans="1:21" ht="15.75">
      <c r="A39" s="29">
        <v>32</v>
      </c>
      <c r="B39" s="30" t="s">
        <v>84</v>
      </c>
      <c r="C39" s="30" t="s">
        <v>85</v>
      </c>
      <c r="D39" s="41">
        <v>164184838254.14999</v>
      </c>
      <c r="E39" s="31">
        <v>1909204725.6800001</v>
      </c>
      <c r="F39" s="31">
        <v>222197398.13999999</v>
      </c>
      <c r="G39" s="32">
        <v>1687007327.54</v>
      </c>
      <c r="H39" s="41">
        <v>149672330043.28</v>
      </c>
      <c r="I39" s="77">
        <f t="shared" si="7"/>
        <v>0.23955543103390942</v>
      </c>
      <c r="J39" s="41">
        <v>164184838254.14999</v>
      </c>
      <c r="K39" s="77">
        <f t="shared" si="12"/>
        <v>0.23621586948989057</v>
      </c>
      <c r="L39" s="77">
        <f t="shared" si="13"/>
        <v>9.6961864672471434E-2</v>
      </c>
      <c r="M39" s="34">
        <f t="shared" si="8"/>
        <v>1.3533368884893586E-3</v>
      </c>
      <c r="N39" s="47">
        <f t="shared" si="9"/>
        <v>1.0275049422825488E-2</v>
      </c>
      <c r="O39" s="48">
        <f t="shared" si="10"/>
        <v>100.03707745949339</v>
      </c>
      <c r="P39" s="48">
        <f t="shared" si="11"/>
        <v>1.027885915011316</v>
      </c>
      <c r="Q39" s="41">
        <v>100</v>
      </c>
      <c r="R39" s="41">
        <v>100</v>
      </c>
      <c r="S39" s="38">
        <v>23988</v>
      </c>
      <c r="T39" s="38">
        <v>1496110153</v>
      </c>
      <c r="U39" s="38">
        <v>1641239852.5</v>
      </c>
    </row>
    <row r="40" spans="1:21" ht="15.75">
      <c r="A40" s="29">
        <v>33</v>
      </c>
      <c r="B40" s="30" t="s">
        <v>86</v>
      </c>
      <c r="C40" s="30" t="s">
        <v>87</v>
      </c>
      <c r="D40" s="41">
        <v>567668409.14999998</v>
      </c>
      <c r="E40" s="41">
        <v>5387801.9900000002</v>
      </c>
      <c r="F40" s="41">
        <v>1554374.79</v>
      </c>
      <c r="G40" s="32">
        <v>3833427.2</v>
      </c>
      <c r="H40" s="41">
        <v>567551730.65999997</v>
      </c>
      <c r="I40" s="77">
        <f t="shared" si="7"/>
        <v>9.0838499963876199E-4</v>
      </c>
      <c r="J40" s="41">
        <v>567516628.82000005</v>
      </c>
      <c r="K40" s="77">
        <f t="shared" si="12"/>
        <v>8.1649703682854739E-4</v>
      </c>
      <c r="L40" s="77">
        <f t="shared" si="13"/>
        <v>-6.1847824794921522E-5</v>
      </c>
      <c r="M40" s="34">
        <f t="shared" si="8"/>
        <v>2.738906158982353E-3</v>
      </c>
      <c r="N40" s="47">
        <f t="shared" si="9"/>
        <v>6.754739870742806E-3</v>
      </c>
      <c r="O40" s="48">
        <f t="shared" si="10"/>
        <v>10.072729701115813</v>
      </c>
      <c r="P40" s="48">
        <f t="shared" si="11"/>
        <v>6.8038668919342252E-2</v>
      </c>
      <c r="Q40" s="41">
        <v>10</v>
      </c>
      <c r="R40" s="41">
        <v>10</v>
      </c>
      <c r="S40" s="38">
        <v>275</v>
      </c>
      <c r="T40" s="38">
        <v>56967763</v>
      </c>
      <c r="U40" s="38">
        <v>56341890</v>
      </c>
    </row>
    <row r="41" spans="1:21" ht="15.75">
      <c r="A41" s="29">
        <v>34</v>
      </c>
      <c r="B41" s="30" t="s">
        <v>88</v>
      </c>
      <c r="C41" s="30" t="s">
        <v>89</v>
      </c>
      <c r="D41" s="41">
        <v>664638337.60000002</v>
      </c>
      <c r="E41" s="41">
        <v>19732252.960000001</v>
      </c>
      <c r="F41" s="41">
        <v>3983496.38</v>
      </c>
      <c r="G41" s="32">
        <v>15748756.58</v>
      </c>
      <c r="H41" s="41">
        <v>2040137266.3099999</v>
      </c>
      <c r="I41" s="77">
        <f t="shared" si="7"/>
        <v>3.2653060325706913E-3</v>
      </c>
      <c r="J41" s="41">
        <v>1948403284.01</v>
      </c>
      <c r="K41" s="77">
        <f t="shared" si="12"/>
        <v>2.8032050994681117E-3</v>
      </c>
      <c r="L41" s="77">
        <f t="shared" si="13"/>
        <v>-4.4964612830154987E-2</v>
      </c>
      <c r="M41" s="34">
        <f t="shared" si="8"/>
        <v>2.0444927457736492E-3</v>
      </c>
      <c r="N41" s="47">
        <f t="shared" si="9"/>
        <v>8.082903939469633E-3</v>
      </c>
      <c r="O41" s="48">
        <f t="shared" si="10"/>
        <v>99.999999179328015</v>
      </c>
      <c r="P41" s="48">
        <f t="shared" si="11"/>
        <v>0.80829038731355052</v>
      </c>
      <c r="Q41" s="41">
        <v>100</v>
      </c>
      <c r="R41" s="41">
        <v>100</v>
      </c>
      <c r="S41" s="38">
        <v>539</v>
      </c>
      <c r="T41" s="38">
        <v>20401373</v>
      </c>
      <c r="U41" s="38">
        <v>19484033</v>
      </c>
    </row>
    <row r="42" spans="1:21" ht="15.75">
      <c r="A42" s="29">
        <v>35</v>
      </c>
      <c r="B42" s="30" t="s">
        <v>90</v>
      </c>
      <c r="C42" s="30" t="s">
        <v>43</v>
      </c>
      <c r="D42" s="41">
        <v>3408160728.23</v>
      </c>
      <c r="E42" s="41">
        <v>36986992.75</v>
      </c>
      <c r="F42" s="41">
        <v>3969113.26</v>
      </c>
      <c r="G42" s="32">
        <v>33017879.489999998</v>
      </c>
      <c r="H42" s="41">
        <v>3381298897</v>
      </c>
      <c r="I42" s="77">
        <f t="shared" si="7"/>
        <v>5.4118788321868942E-3</v>
      </c>
      <c r="J42" s="41">
        <v>3396072988.54</v>
      </c>
      <c r="K42" s="77">
        <f t="shared" si="12"/>
        <v>4.8859952135003578E-3</v>
      </c>
      <c r="L42" s="77">
        <f t="shared" si="13"/>
        <v>4.3693539051244549E-3</v>
      </c>
      <c r="M42" s="34">
        <f t="shared" si="8"/>
        <v>1.1687361471304403E-3</v>
      </c>
      <c r="N42" s="47">
        <f t="shared" si="9"/>
        <v>9.7223703970492868E-3</v>
      </c>
      <c r="O42" s="48">
        <f t="shared" si="10"/>
        <v>0.99490682329948521</v>
      </c>
      <c r="P42" s="48">
        <f t="shared" si="11"/>
        <v>9.6728526466692607E-3</v>
      </c>
      <c r="Q42" s="41">
        <v>0.98</v>
      </c>
      <c r="R42" s="41">
        <v>0.98</v>
      </c>
      <c r="S42" s="38">
        <v>805</v>
      </c>
      <c r="T42" s="38">
        <v>3398355011</v>
      </c>
      <c r="U42" s="38">
        <v>3413458335</v>
      </c>
    </row>
    <row r="43" spans="1:21" ht="15.75">
      <c r="A43" s="29">
        <v>36</v>
      </c>
      <c r="B43" s="30" t="s">
        <v>91</v>
      </c>
      <c r="C43" s="30" t="s">
        <v>45</v>
      </c>
      <c r="D43" s="41">
        <v>1980704380.8599999</v>
      </c>
      <c r="E43" s="41">
        <v>19869316.039999999</v>
      </c>
      <c r="F43" s="41">
        <v>3192417.5</v>
      </c>
      <c r="G43" s="32">
        <v>16676898.539999999</v>
      </c>
      <c r="H43" s="41">
        <v>1994011614.29</v>
      </c>
      <c r="I43" s="77">
        <f t="shared" si="7"/>
        <v>3.1914804266742905E-3</v>
      </c>
      <c r="J43" s="41">
        <v>2015992800.0999999</v>
      </c>
      <c r="K43" s="77">
        <f t="shared" si="12"/>
        <v>2.9004474300107536E-3</v>
      </c>
      <c r="L43" s="77">
        <f t="shared" si="13"/>
        <v>1.102359968842343E-2</v>
      </c>
      <c r="M43" s="34">
        <f t="shared" si="8"/>
        <v>1.5835460820304743E-3</v>
      </c>
      <c r="N43" s="47">
        <f t="shared" si="9"/>
        <v>8.272300644711017E-3</v>
      </c>
      <c r="O43" s="48">
        <f t="shared" si="10"/>
        <v>10.028201108420719</v>
      </c>
      <c r="P43" s="48">
        <f t="shared" si="11"/>
        <v>8.2956294494480456E-2</v>
      </c>
      <c r="Q43" s="41">
        <v>10</v>
      </c>
      <c r="R43" s="41">
        <v>10</v>
      </c>
      <c r="S43" s="38">
        <v>1684</v>
      </c>
      <c r="T43" s="38">
        <v>200759138.72</v>
      </c>
      <c r="U43" s="38">
        <v>201032346.50999999</v>
      </c>
    </row>
    <row r="44" spans="1:21" ht="15.75" customHeight="1">
      <c r="A44" s="29">
        <v>37</v>
      </c>
      <c r="B44" s="30" t="s">
        <v>92</v>
      </c>
      <c r="C44" s="30" t="s">
        <v>93</v>
      </c>
      <c r="D44" s="41">
        <v>1746257344.8399999</v>
      </c>
      <c r="E44" s="41">
        <v>31388536.710000001</v>
      </c>
      <c r="F44" s="41">
        <v>4279420.13</v>
      </c>
      <c r="G44" s="32">
        <v>27109116.579999998</v>
      </c>
      <c r="H44" s="41">
        <v>2645208204.5799999</v>
      </c>
      <c r="I44" s="77">
        <f t="shared" si="7"/>
        <v>4.2337417439773884E-3</v>
      </c>
      <c r="J44" s="41">
        <v>2916837677.3600001</v>
      </c>
      <c r="K44" s="77">
        <f t="shared" si="12"/>
        <v>4.1965101981702004E-3</v>
      </c>
      <c r="L44" s="77">
        <f t="shared" si="13"/>
        <v>0.10268736967838375</v>
      </c>
      <c r="M44" s="34">
        <f t="shared" si="8"/>
        <v>1.4671437369367976E-3</v>
      </c>
      <c r="N44" s="47">
        <f t="shared" si="9"/>
        <v>9.2940093274357944E-3</v>
      </c>
      <c r="O44" s="48">
        <f t="shared" si="10"/>
        <v>99.936998066075503</v>
      </c>
      <c r="P44" s="48">
        <f t="shared" si="11"/>
        <v>0.92881539218203857</v>
      </c>
      <c r="Q44" s="41">
        <v>100</v>
      </c>
      <c r="R44" s="41">
        <v>100</v>
      </c>
      <c r="S44" s="38">
        <v>1165</v>
      </c>
      <c r="T44" s="38">
        <v>26472082</v>
      </c>
      <c r="U44" s="38">
        <v>29186765</v>
      </c>
    </row>
    <row r="45" spans="1:21" ht="15.75">
      <c r="A45" s="29">
        <v>38</v>
      </c>
      <c r="B45" s="30" t="s">
        <v>94</v>
      </c>
      <c r="C45" s="40" t="s">
        <v>95</v>
      </c>
      <c r="D45" s="41">
        <f>7211412.63+84137876.25+50939622.49</f>
        <v>142288911.37</v>
      </c>
      <c r="E45" s="41">
        <v>1158681.67</v>
      </c>
      <c r="F45" s="41">
        <v>78380.289999999994</v>
      </c>
      <c r="G45" s="32">
        <v>1080301.3799999999</v>
      </c>
      <c r="H45" s="41">
        <v>135352313.25999999</v>
      </c>
      <c r="I45" s="77">
        <f t="shared" si="7"/>
        <v>2.1663577853742262E-4</v>
      </c>
      <c r="J45" s="41">
        <v>137422921.47999999</v>
      </c>
      <c r="K45" s="77">
        <f t="shared" si="12"/>
        <v>1.9771298757191211E-4</v>
      </c>
      <c r="L45" s="77">
        <f t="shared" si="13"/>
        <v>1.5297915271108378E-2</v>
      </c>
      <c r="M45" s="34">
        <f t="shared" si="8"/>
        <v>5.7035819902436847E-4</v>
      </c>
      <c r="N45" s="47">
        <f t="shared" si="9"/>
        <v>7.8611440388947264E-3</v>
      </c>
      <c r="O45" s="48">
        <f t="shared" si="10"/>
        <v>1.0013441311329248</v>
      </c>
      <c r="P45" s="48">
        <f t="shared" si="11"/>
        <v>7.8717104473378097E-3</v>
      </c>
      <c r="Q45" s="41">
        <v>1</v>
      </c>
      <c r="R45" s="41">
        <v>1</v>
      </c>
      <c r="S45" s="38">
        <v>42</v>
      </c>
      <c r="T45" s="38">
        <v>135167831</v>
      </c>
      <c r="U45" s="38">
        <v>137238455</v>
      </c>
    </row>
    <row r="46" spans="1:21" ht="15.75">
      <c r="A46" s="29">
        <v>39</v>
      </c>
      <c r="B46" s="40" t="s">
        <v>96</v>
      </c>
      <c r="C46" s="40" t="s">
        <v>47</v>
      </c>
      <c r="D46" s="41">
        <v>657796418.20000005</v>
      </c>
      <c r="E46" s="41">
        <v>6918899.96</v>
      </c>
      <c r="F46" s="41">
        <v>898057.1</v>
      </c>
      <c r="G46" s="32">
        <v>6020842.8600000003</v>
      </c>
      <c r="H46" s="41">
        <v>652709052.73000002</v>
      </c>
      <c r="I46" s="77">
        <f t="shared" si="7"/>
        <v>1.044682062618094E-3</v>
      </c>
      <c r="J46" s="41">
        <v>677590084.75999999</v>
      </c>
      <c r="K46" s="77">
        <f t="shared" si="12"/>
        <v>9.7486182482666838E-4</v>
      </c>
      <c r="L46" s="77">
        <f t="shared" si="13"/>
        <v>3.8119636805914306E-2</v>
      </c>
      <c r="M46" s="34">
        <f t="shared" si="8"/>
        <v>1.3253693054231875E-3</v>
      </c>
      <c r="N46" s="47">
        <f t="shared" si="9"/>
        <v>8.8856714338323914E-3</v>
      </c>
      <c r="O46" s="48">
        <f t="shared" si="10"/>
        <v>10.221242371875206</v>
      </c>
      <c r="P46" s="48">
        <f t="shared" si="11"/>
        <v>9.0822601362048755E-2</v>
      </c>
      <c r="Q46" s="41">
        <v>10</v>
      </c>
      <c r="R46" s="41">
        <v>10</v>
      </c>
      <c r="S46" s="38">
        <v>520</v>
      </c>
      <c r="T46" s="38">
        <v>63631313</v>
      </c>
      <c r="U46" s="38">
        <v>66292341</v>
      </c>
    </row>
    <row r="47" spans="1:21" ht="15.75">
      <c r="A47" s="29">
        <v>40</v>
      </c>
      <c r="B47" s="30" t="s">
        <v>97</v>
      </c>
      <c r="C47" s="30" t="s">
        <v>51</v>
      </c>
      <c r="D47" s="41">
        <v>285154102412.45001</v>
      </c>
      <c r="E47" s="41">
        <v>3343233585.6900001</v>
      </c>
      <c r="F47" s="41">
        <v>450971424.37</v>
      </c>
      <c r="G47" s="32">
        <v>2892262161.3200002</v>
      </c>
      <c r="H47" s="41">
        <v>253624282675.54999</v>
      </c>
      <c r="I47" s="77">
        <f t="shared" si="7"/>
        <v>0.40593391136116236</v>
      </c>
      <c r="J47" s="41">
        <v>291071793071.64001</v>
      </c>
      <c r="K47" s="77">
        <f t="shared" si="12"/>
        <v>0.4187705601534803</v>
      </c>
      <c r="L47" s="77">
        <f t="shared" si="13"/>
        <v>0.14764954680619019</v>
      </c>
      <c r="M47" s="34">
        <f t="shared" si="8"/>
        <v>1.5493477386144549E-3</v>
      </c>
      <c r="N47" s="47">
        <f t="shared" si="9"/>
        <v>9.936593755095131E-3</v>
      </c>
      <c r="O47" s="48">
        <f t="shared" si="10"/>
        <v>0.9999999999857081</v>
      </c>
      <c r="P47" s="48">
        <f t="shared" si="11"/>
        <v>9.9365937549531179E-3</v>
      </c>
      <c r="Q47" s="41">
        <v>100</v>
      </c>
      <c r="R47" s="41">
        <v>100</v>
      </c>
      <c r="S47" s="38">
        <v>98742</v>
      </c>
      <c r="T47" s="38">
        <v>253463918144.12</v>
      </c>
      <c r="U47" s="38">
        <v>291071793075.79999</v>
      </c>
    </row>
    <row r="48" spans="1:21" ht="15.75">
      <c r="A48" s="29">
        <v>41</v>
      </c>
      <c r="B48" s="30" t="s">
        <v>98</v>
      </c>
      <c r="C48" s="30" t="s">
        <v>99</v>
      </c>
      <c r="D48" s="41">
        <v>655743491.03999996</v>
      </c>
      <c r="E48" s="41">
        <v>7679791.75</v>
      </c>
      <c r="F48" s="41">
        <v>920996.72</v>
      </c>
      <c r="G48" s="32">
        <v>6758795.0300000003</v>
      </c>
      <c r="H48" s="41">
        <v>567090094.72000003</v>
      </c>
      <c r="I48" s="77">
        <f t="shared" si="7"/>
        <v>9.0764613630607083E-4</v>
      </c>
      <c r="J48" s="41">
        <v>651844932.96000004</v>
      </c>
      <c r="K48" s="77">
        <f t="shared" si="12"/>
        <v>9.3782178213909397E-4</v>
      </c>
      <c r="L48" s="77">
        <f t="shared" si="13"/>
        <v>0.14945568443026253</v>
      </c>
      <c r="M48" s="34">
        <f t="shared" si="8"/>
        <v>1.412907692352218E-3</v>
      </c>
      <c r="N48" s="47">
        <f t="shared" si="9"/>
        <v>1.0368716067652165E-2</v>
      </c>
      <c r="O48" s="48">
        <f t="shared" si="10"/>
        <v>1.0014954219266738</v>
      </c>
      <c r="P48" s="48">
        <f t="shared" si="11"/>
        <v>1.0384221673011187E-2</v>
      </c>
      <c r="Q48" s="41">
        <v>1</v>
      </c>
      <c r="R48" s="41">
        <v>1</v>
      </c>
      <c r="S48" s="38">
        <v>144</v>
      </c>
      <c r="T48" s="38">
        <v>571929194.28999996</v>
      </c>
      <c r="U48" s="38">
        <v>650871605.28999996</v>
      </c>
    </row>
    <row r="49" spans="1:21" ht="15.75">
      <c r="A49" s="29">
        <v>42</v>
      </c>
      <c r="B49" s="30" t="s">
        <v>100</v>
      </c>
      <c r="C49" s="30" t="s">
        <v>56</v>
      </c>
      <c r="D49" s="41">
        <v>14672770567</v>
      </c>
      <c r="E49" s="41">
        <v>584725725</v>
      </c>
      <c r="F49" s="41">
        <v>55423792</v>
      </c>
      <c r="G49" s="32">
        <v>529301932</v>
      </c>
      <c r="H49" s="41">
        <v>43457678949</v>
      </c>
      <c r="I49" s="77">
        <f t="shared" si="7"/>
        <v>6.9555428243487552E-2</v>
      </c>
      <c r="J49" s="41">
        <v>46660497618</v>
      </c>
      <c r="K49" s="77">
        <f t="shared" si="12"/>
        <v>6.7131351060597963E-2</v>
      </c>
      <c r="L49" s="77">
        <f t="shared" si="13"/>
        <v>7.3699717666898076E-2</v>
      </c>
      <c r="M49" s="34">
        <f t="shared" si="8"/>
        <v>1.1878097069119003E-3</v>
      </c>
      <c r="N49" s="47">
        <f t="shared" si="9"/>
        <v>1.134368382294778E-2</v>
      </c>
      <c r="O49" s="48">
        <f t="shared" si="10"/>
        <v>1.0122031802139198</v>
      </c>
      <c r="P49" s="48">
        <f t="shared" si="11"/>
        <v>1.1482112840928939E-2</v>
      </c>
      <c r="Q49" s="41">
        <v>1</v>
      </c>
      <c r="R49" s="41">
        <v>1</v>
      </c>
      <c r="S49" s="38">
        <v>4026</v>
      </c>
      <c r="T49" s="38">
        <v>43259061068</v>
      </c>
      <c r="U49" s="38">
        <v>46097955954</v>
      </c>
    </row>
    <row r="50" spans="1:21" ht="15.75">
      <c r="A50" s="29">
        <v>43</v>
      </c>
      <c r="B50" s="61" t="s">
        <v>101</v>
      </c>
      <c r="C50" s="30" t="s">
        <v>102</v>
      </c>
      <c r="D50" s="41">
        <v>596450687.01999998</v>
      </c>
      <c r="E50" s="41">
        <v>11139322.33</v>
      </c>
      <c r="F50" s="41">
        <v>3092883.9</v>
      </c>
      <c r="G50" s="32">
        <v>8046438.4299999997</v>
      </c>
      <c r="H50" s="41">
        <v>1596917337.97</v>
      </c>
      <c r="I50" s="77">
        <f t="shared" si="7"/>
        <v>2.5559181253629608E-3</v>
      </c>
      <c r="J50" s="41">
        <v>1561826925</v>
      </c>
      <c r="K50" s="77">
        <f t="shared" si="12"/>
        <v>2.2470302922278024E-3</v>
      </c>
      <c r="L50" s="77">
        <f t="shared" si="13"/>
        <v>-2.1973844315953717E-2</v>
      </c>
      <c r="M50" s="34">
        <f t="shared" si="8"/>
        <v>1.9802987453299281E-3</v>
      </c>
      <c r="N50" s="47">
        <f t="shared" si="9"/>
        <v>5.1519398860408296E-3</v>
      </c>
      <c r="O50" s="48">
        <f t="shared" si="10"/>
        <v>1.4125154854108128</v>
      </c>
      <c r="P50" s="48">
        <f t="shared" si="11"/>
        <v>7.277194868938291E-3</v>
      </c>
      <c r="Q50" s="41">
        <v>1</v>
      </c>
      <c r="R50" s="41">
        <v>1.01</v>
      </c>
      <c r="S50" s="38">
        <v>49</v>
      </c>
      <c r="T50" s="38">
        <v>1586800910</v>
      </c>
      <c r="U50" s="38">
        <v>1105706055</v>
      </c>
    </row>
    <row r="51" spans="1:21" ht="15.75">
      <c r="A51" s="29">
        <v>44</v>
      </c>
      <c r="B51" s="30" t="s">
        <v>103</v>
      </c>
      <c r="C51" s="30" t="s">
        <v>104</v>
      </c>
      <c r="D51" s="41">
        <v>515561098.64999998</v>
      </c>
      <c r="E51" s="31">
        <v>6825063</v>
      </c>
      <c r="F51" s="31">
        <v>1224386.94</v>
      </c>
      <c r="G51" s="32">
        <v>5600676.0599999996</v>
      </c>
      <c r="H51" s="41">
        <v>608760607.66999996</v>
      </c>
      <c r="I51" s="77">
        <f t="shared" si="7"/>
        <v>9.7434114725602247E-4</v>
      </c>
      <c r="J51" s="41">
        <v>645510752.38</v>
      </c>
      <c r="K51" s="77">
        <f t="shared" si="12"/>
        <v>9.2870867529487621E-4</v>
      </c>
      <c r="L51" s="77">
        <f t="shared" si="13"/>
        <v>6.0368795626673896E-2</v>
      </c>
      <c r="M51" s="34">
        <f t="shared" si="8"/>
        <v>1.8967723395554323E-3</v>
      </c>
      <c r="N51" s="47">
        <f t="shared" si="9"/>
        <v>8.6763482085314477E-3</v>
      </c>
      <c r="O51" s="48">
        <f t="shared" si="10"/>
        <v>1.008834502095894</v>
      </c>
      <c r="P51" s="48">
        <f t="shared" si="11"/>
        <v>8.7529994249644239E-3</v>
      </c>
      <c r="Q51" s="41">
        <v>1</v>
      </c>
      <c r="R51" s="41">
        <v>1</v>
      </c>
      <c r="S51" s="38">
        <v>141</v>
      </c>
      <c r="T51" s="38">
        <v>592147454.80999994</v>
      </c>
      <c r="U51" s="38">
        <v>639857926.19000006</v>
      </c>
    </row>
    <row r="52" spans="1:21" ht="15.75">
      <c r="A52" s="29">
        <v>45</v>
      </c>
      <c r="B52" s="30" t="s">
        <v>105</v>
      </c>
      <c r="C52" s="30" t="s">
        <v>106</v>
      </c>
      <c r="D52" s="41">
        <v>18756955376.73</v>
      </c>
      <c r="E52" s="41">
        <v>175539501.09999999</v>
      </c>
      <c r="F52" s="41">
        <v>21282459.390000001</v>
      </c>
      <c r="G52" s="32">
        <v>154257041.71000001</v>
      </c>
      <c r="H52" s="41">
        <v>17163337472.219999</v>
      </c>
      <c r="I52" s="77">
        <f t="shared" si="7"/>
        <v>2.7470479713579583E-2</v>
      </c>
      <c r="J52" s="41">
        <v>18944296106.400002</v>
      </c>
      <c r="K52" s="77">
        <f t="shared" si="12"/>
        <v>2.7255521424702046E-2</v>
      </c>
      <c r="L52" s="77">
        <f t="shared" si="13"/>
        <v>0.1037652867376524</v>
      </c>
      <c r="M52" s="34">
        <f t="shared" si="8"/>
        <v>1.1234230752342439E-3</v>
      </c>
      <c r="N52" s="47">
        <f t="shared" si="9"/>
        <v>8.142664200539336E-3</v>
      </c>
      <c r="O52" s="48">
        <f t="shared" si="10"/>
        <v>1.0086607705077661</v>
      </c>
      <c r="P52" s="48">
        <f t="shared" si="11"/>
        <v>8.21318594650201E-3</v>
      </c>
      <c r="Q52" s="41">
        <v>1</v>
      </c>
      <c r="R52" s="41">
        <v>1</v>
      </c>
      <c r="S52" s="38">
        <v>2803</v>
      </c>
      <c r="T52" s="38">
        <v>16739214012.92</v>
      </c>
      <c r="U52" s="38">
        <v>18781632695.860001</v>
      </c>
    </row>
    <row r="53" spans="1:21" ht="15.75">
      <c r="A53" s="92" t="s">
        <v>59</v>
      </c>
      <c r="B53" s="92"/>
      <c r="C53" s="92"/>
      <c r="D53" s="92"/>
      <c r="E53" s="92"/>
      <c r="F53" s="92"/>
      <c r="G53" s="92"/>
      <c r="H53" s="49">
        <f t="shared" ref="H53" si="14">SUM(H24:H52)</f>
        <v>624792055004.97986</v>
      </c>
      <c r="I53" s="87">
        <f>(H53/$H$165)</f>
        <v>0.44128829190640345</v>
      </c>
      <c r="J53" s="49">
        <f>SUM(J24:J52)</f>
        <v>695062692480.01001</v>
      </c>
      <c r="K53" s="87">
        <f>(J53/$J$165)</f>
        <v>0.46999119702283798</v>
      </c>
      <c r="L53" s="88">
        <f>((J53-H53)/H53)</f>
        <v>0.11247044022425999</v>
      </c>
      <c r="M53" s="34"/>
      <c r="N53" s="47"/>
      <c r="O53" s="48"/>
      <c r="P53" s="48"/>
      <c r="Q53" s="41"/>
      <c r="R53" s="41"/>
      <c r="S53" s="38">
        <f>SUM(S24:S52)</f>
        <v>210963</v>
      </c>
      <c r="T53" s="38"/>
      <c r="U53" s="38"/>
    </row>
    <row r="54" spans="1:21" ht="7.5" customHeight="1">
      <c r="A54" s="95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</row>
    <row r="55" spans="1:21">
      <c r="A55" s="93" t="s">
        <v>107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</row>
    <row r="56" spans="1:21" ht="15.75">
      <c r="A56" s="29">
        <v>46</v>
      </c>
      <c r="B56" s="30" t="s">
        <v>108</v>
      </c>
      <c r="C56" s="30" t="s">
        <v>31</v>
      </c>
      <c r="D56" s="41">
        <v>312241117.01999998</v>
      </c>
      <c r="E56" s="41">
        <v>994125.71</v>
      </c>
      <c r="F56" s="41">
        <v>633677.22</v>
      </c>
      <c r="G56" s="32">
        <v>360448.49</v>
      </c>
      <c r="H56" s="41">
        <v>433115491.57999998</v>
      </c>
      <c r="I56" s="77">
        <f t="shared" ref="I56:I85" si="15">(H56/$H$86)</f>
        <v>1.2468283346059304E-3</v>
      </c>
      <c r="J56" s="41">
        <v>319002361.06999999</v>
      </c>
      <c r="K56" s="77">
        <f t="shared" ref="K56:K85" si="16">(J56/$J$86)</f>
        <v>9.3277476299845753E-4</v>
      </c>
      <c r="L56" s="77">
        <f>((J56-H56)/H56)</f>
        <v>-0.26347044316913415</v>
      </c>
      <c r="M56" s="34">
        <f t="shared" ref="M56:M85" si="17">(F56/J56)</f>
        <v>1.986434262976974E-3</v>
      </c>
      <c r="N56" s="47">
        <f t="shared" ref="N56:N85" si="18">G56/J56</f>
        <v>1.1299242074290017E-3</v>
      </c>
      <c r="O56" s="48">
        <f t="shared" ref="O56:O85" si="19">J56/U56</f>
        <v>0.91925418761369881</v>
      </c>
      <c r="P56" s="48">
        <f t="shared" ref="P56:P85" si="20">G56/U56</f>
        <v>1.0386875593651995E-3</v>
      </c>
      <c r="Q56" s="51">
        <v>1.23</v>
      </c>
      <c r="R56" s="51">
        <v>1.23</v>
      </c>
      <c r="S56" s="38">
        <v>338</v>
      </c>
      <c r="T56" s="38">
        <v>350127271.68000001</v>
      </c>
      <c r="U56" s="38">
        <v>347023016.44999999</v>
      </c>
    </row>
    <row r="57" spans="1:21" ht="15.75">
      <c r="A57" s="29">
        <v>47</v>
      </c>
      <c r="B57" s="30" t="s">
        <v>109</v>
      </c>
      <c r="C57" s="40" t="s">
        <v>33</v>
      </c>
      <c r="D57" s="41">
        <v>902974997.14999998</v>
      </c>
      <c r="E57" s="41">
        <v>11082040.359999999</v>
      </c>
      <c r="F57" s="41">
        <v>1954040.02</v>
      </c>
      <c r="G57" s="32">
        <v>9128000.3399999999</v>
      </c>
      <c r="H57" s="41">
        <v>1026436670</v>
      </c>
      <c r="I57" s="77">
        <f t="shared" si="15"/>
        <v>2.9548477224074754E-3</v>
      </c>
      <c r="J57" s="41">
        <v>1002632194</v>
      </c>
      <c r="K57" s="77">
        <f t="shared" si="16"/>
        <v>2.9317338091041658E-3</v>
      </c>
      <c r="L57" s="77">
        <f t="shared" ref="L57:L85" si="21">((J57-H57)/H57)</f>
        <v>-2.3191373316777546E-2</v>
      </c>
      <c r="M57" s="34">
        <f t="shared" si="17"/>
        <v>1.948910110500601E-3</v>
      </c>
      <c r="N57" s="47">
        <f t="shared" si="18"/>
        <v>9.1040367490932573E-3</v>
      </c>
      <c r="O57" s="48">
        <f t="shared" si="19"/>
        <v>1.1175981051370301</v>
      </c>
      <c r="P57" s="48">
        <f t="shared" si="20"/>
        <v>1.0174654219884512E-2</v>
      </c>
      <c r="Q57" s="51">
        <v>1.1175999999999999</v>
      </c>
      <c r="R57" s="51">
        <v>1.1175999999999999</v>
      </c>
      <c r="S57" s="38">
        <v>262</v>
      </c>
      <c r="T57" s="38">
        <v>926724106</v>
      </c>
      <c r="U57" s="38">
        <v>897131258</v>
      </c>
    </row>
    <row r="58" spans="1:21" ht="15.75">
      <c r="A58" s="29">
        <v>48</v>
      </c>
      <c r="B58" s="30" t="s">
        <v>110</v>
      </c>
      <c r="C58" s="30" t="s">
        <v>111</v>
      </c>
      <c r="D58" s="41">
        <v>724845087.19000006</v>
      </c>
      <c r="E58" s="41">
        <v>6727739.3899999997</v>
      </c>
      <c r="F58" s="41">
        <v>1890356.16</v>
      </c>
      <c r="G58" s="32">
        <v>4837383.2300000004</v>
      </c>
      <c r="H58" s="41">
        <v>886765143</v>
      </c>
      <c r="I58" s="77">
        <f t="shared" si="15"/>
        <v>2.5527692449879924E-3</v>
      </c>
      <c r="J58" s="41">
        <v>866963193</v>
      </c>
      <c r="K58" s="77">
        <f t="shared" si="16"/>
        <v>2.5350326065502341E-3</v>
      </c>
      <c r="L58" s="77">
        <f t="shared" si="21"/>
        <v>-2.2330546206415332E-2</v>
      </c>
      <c r="M58" s="34">
        <f t="shared" si="17"/>
        <v>2.1804341582930382E-3</v>
      </c>
      <c r="N58" s="47">
        <f t="shared" si="18"/>
        <v>5.5796869683255408E-3</v>
      </c>
      <c r="O58" s="48">
        <f t="shared" si="19"/>
        <v>1.0413481447433037</v>
      </c>
      <c r="P58" s="48">
        <f t="shared" si="20"/>
        <v>5.8103966727141897E-3</v>
      </c>
      <c r="Q58" s="51">
        <v>1.0412999999999999</v>
      </c>
      <c r="R58" s="51">
        <v>1.0412999999999999</v>
      </c>
      <c r="S58" s="38">
        <v>35</v>
      </c>
      <c r="T58" s="38">
        <v>856411498</v>
      </c>
      <c r="U58" s="38">
        <v>832539240</v>
      </c>
    </row>
    <row r="59" spans="1:21" ht="15.75">
      <c r="A59" s="29">
        <v>49</v>
      </c>
      <c r="B59" s="30" t="s">
        <v>112</v>
      </c>
      <c r="C59" s="40" t="s">
        <v>113</v>
      </c>
      <c r="D59" s="33">
        <v>236353796.34999999</v>
      </c>
      <c r="E59" s="33">
        <v>2766724.06</v>
      </c>
      <c r="F59" s="41">
        <v>399511.39</v>
      </c>
      <c r="G59" s="32">
        <v>2367212.67</v>
      </c>
      <c r="H59" s="41">
        <v>247332674.72999999</v>
      </c>
      <c r="I59" s="77">
        <f t="shared" si="15"/>
        <v>7.1200728886945295E-4</v>
      </c>
      <c r="J59" s="41">
        <v>244932260.91999999</v>
      </c>
      <c r="K59" s="77">
        <f t="shared" si="16"/>
        <v>7.1619103653027818E-4</v>
      </c>
      <c r="L59" s="77">
        <f t="shared" si="21"/>
        <v>-9.7052029725567292E-3</v>
      </c>
      <c r="M59" s="34">
        <f t="shared" si="17"/>
        <v>1.6311097137607724E-3</v>
      </c>
      <c r="N59" s="47">
        <f t="shared" si="18"/>
        <v>9.6647647031404375E-3</v>
      </c>
      <c r="O59" s="48">
        <f t="shared" si="19"/>
        <v>1106.0136863922692</v>
      </c>
      <c r="P59" s="48">
        <f t="shared" si="20"/>
        <v>10.689362037434242</v>
      </c>
      <c r="Q59" s="51">
        <v>1106.01</v>
      </c>
      <c r="R59" s="51">
        <v>1106.01</v>
      </c>
      <c r="S59" s="38">
        <v>122</v>
      </c>
      <c r="T59" s="38">
        <v>219640</v>
      </c>
      <c r="U59" s="38">
        <v>221455</v>
      </c>
    </row>
    <row r="60" spans="1:21" ht="15.75">
      <c r="A60" s="29">
        <v>50</v>
      </c>
      <c r="B60" s="30" t="s">
        <v>114</v>
      </c>
      <c r="C60" s="40" t="s">
        <v>115</v>
      </c>
      <c r="D60" s="41">
        <v>1117683694.0999999</v>
      </c>
      <c r="E60" s="41">
        <v>10500047.630000001</v>
      </c>
      <c r="F60" s="41">
        <v>1870214.6</v>
      </c>
      <c r="G60" s="32">
        <v>8629833.0299999993</v>
      </c>
      <c r="H60" s="41">
        <v>1283400257.3800001</v>
      </c>
      <c r="I60" s="77">
        <f t="shared" si="15"/>
        <v>3.6945799368766326E-3</v>
      </c>
      <c r="J60" s="41">
        <v>1343700992.6099999</v>
      </c>
      <c r="K60" s="77">
        <f t="shared" si="16"/>
        <v>3.9290316558113266E-3</v>
      </c>
      <c r="L60" s="77">
        <f t="shared" si="21"/>
        <v>4.6985135684093467E-2</v>
      </c>
      <c r="M60" s="34">
        <f t="shared" si="17"/>
        <v>1.3918383705048116E-3</v>
      </c>
      <c r="N60" s="47">
        <f t="shared" si="18"/>
        <v>6.4224355548308729E-3</v>
      </c>
      <c r="O60" s="48">
        <f t="shared" si="19"/>
        <v>1.0107571393289643</v>
      </c>
      <c r="P60" s="48">
        <f t="shared" si="20"/>
        <v>6.4915225889254835E-3</v>
      </c>
      <c r="Q60" s="32">
        <v>1.0104</v>
      </c>
      <c r="R60" s="32">
        <v>1.0104</v>
      </c>
      <c r="S60" s="38">
        <v>691</v>
      </c>
      <c r="T60" s="38">
        <v>1230189634.8299999</v>
      </c>
      <c r="U60" s="38">
        <v>1329400446.78</v>
      </c>
    </row>
    <row r="61" spans="1:21" ht="15.75">
      <c r="A61" s="29">
        <v>51</v>
      </c>
      <c r="B61" s="30" t="s">
        <v>116</v>
      </c>
      <c r="C61" s="30" t="s">
        <v>117</v>
      </c>
      <c r="D61" s="41">
        <v>436677394.63</v>
      </c>
      <c r="E61" s="41">
        <v>3158509.22</v>
      </c>
      <c r="F61" s="41">
        <v>934243.09</v>
      </c>
      <c r="G61" s="32">
        <v>2224266.13</v>
      </c>
      <c r="H61" s="41">
        <v>420860017.18000001</v>
      </c>
      <c r="I61" s="77">
        <f t="shared" si="15"/>
        <v>1.2115479693615135E-3</v>
      </c>
      <c r="J61" s="41">
        <v>419801302.66000003</v>
      </c>
      <c r="K61" s="77">
        <f t="shared" si="16"/>
        <v>1.227514615508439E-3</v>
      </c>
      <c r="L61" s="77">
        <f t="shared" si="21"/>
        <v>-2.5155977683362905E-3</v>
      </c>
      <c r="M61" s="34">
        <f t="shared" si="17"/>
        <v>2.2254411410358339E-3</v>
      </c>
      <c r="N61" s="47">
        <f t="shared" si="18"/>
        <v>5.2983783421021169E-3</v>
      </c>
      <c r="O61" s="48">
        <f t="shared" si="19"/>
        <v>2.140455181534398</v>
      </c>
      <c r="P61" s="48">
        <f t="shared" si="20"/>
        <v>1.134094137608211E-2</v>
      </c>
      <c r="Q61" s="51">
        <v>2.1351</v>
      </c>
      <c r="R61" s="51">
        <v>2.1351</v>
      </c>
      <c r="S61" s="38">
        <v>1406</v>
      </c>
      <c r="T61" s="38">
        <v>197690003.50709999</v>
      </c>
      <c r="U61" s="38">
        <v>196127116.4571</v>
      </c>
    </row>
    <row r="62" spans="1:21" ht="15.75">
      <c r="A62" s="29">
        <v>52</v>
      </c>
      <c r="B62" s="30" t="s">
        <v>118</v>
      </c>
      <c r="C62" s="30" t="s">
        <v>49</v>
      </c>
      <c r="D62" s="41">
        <v>1733556647.9100001</v>
      </c>
      <c r="E62" s="41">
        <v>4934611.8</v>
      </c>
      <c r="F62" s="41">
        <v>3622450.43</v>
      </c>
      <c r="G62" s="32">
        <v>-8557062.2300000004</v>
      </c>
      <c r="H62" s="41">
        <v>2050652619.3499999</v>
      </c>
      <c r="I62" s="77">
        <f t="shared" si="15"/>
        <v>5.9033025600452003E-3</v>
      </c>
      <c r="J62" s="41">
        <v>1727277877.7</v>
      </c>
      <c r="K62" s="77">
        <f t="shared" si="16"/>
        <v>5.0506247276663656E-3</v>
      </c>
      <c r="L62" s="77">
        <f t="shared" si="21"/>
        <v>-0.15769357452287588</v>
      </c>
      <c r="M62" s="34">
        <f t="shared" si="17"/>
        <v>2.0972018901924249E-3</v>
      </c>
      <c r="N62" s="47">
        <f t="shared" si="18"/>
        <v>-4.9540738872857967E-3</v>
      </c>
      <c r="O62" s="48">
        <f t="shared" si="19"/>
        <v>107.98353070711002</v>
      </c>
      <c r="P62" s="48">
        <f t="shared" si="20"/>
        <v>-0.53495838973301779</v>
      </c>
      <c r="Q62" s="51">
        <v>107.98</v>
      </c>
      <c r="R62" s="51">
        <v>107.98</v>
      </c>
      <c r="S62" s="38">
        <v>113</v>
      </c>
      <c r="T62" s="38">
        <v>18910136.41</v>
      </c>
      <c r="U62" s="38">
        <v>15995752.93</v>
      </c>
    </row>
    <row r="63" spans="1:21" ht="15.75">
      <c r="A63" s="29">
        <v>53</v>
      </c>
      <c r="B63" s="40" t="s">
        <v>119</v>
      </c>
      <c r="C63" s="30" t="s">
        <v>70</v>
      </c>
      <c r="D63" s="41">
        <v>2813984500.9899998</v>
      </c>
      <c r="E63" s="41">
        <v>24503352.68</v>
      </c>
      <c r="F63" s="41">
        <v>4951052.0999999996</v>
      </c>
      <c r="G63" s="32">
        <v>19552300.579999998</v>
      </c>
      <c r="H63" s="41">
        <v>2779812842.8000002</v>
      </c>
      <c r="I63" s="77">
        <f t="shared" si="15"/>
        <v>8.0023676933391619E-3</v>
      </c>
      <c r="J63" s="41">
        <v>2791825730.4699998</v>
      </c>
      <c r="K63" s="77">
        <f t="shared" si="16"/>
        <v>8.1634022247901537E-3</v>
      </c>
      <c r="L63" s="77">
        <f t="shared" si="21"/>
        <v>4.3214735485211557E-3</v>
      </c>
      <c r="M63" s="34">
        <f t="shared" si="17"/>
        <v>1.7734101544964619E-3</v>
      </c>
      <c r="N63" s="47">
        <f t="shared" si="18"/>
        <v>7.0034101221312251E-3</v>
      </c>
      <c r="O63" s="48">
        <f t="shared" si="19"/>
        <v>3737.8075609293969</v>
      </c>
      <c r="P63" s="48">
        <f t="shared" si="20"/>
        <v>26.177399306791564</v>
      </c>
      <c r="Q63" s="51">
        <v>3737.81</v>
      </c>
      <c r="R63" s="51">
        <v>3737.81</v>
      </c>
      <c r="S63" s="38">
        <v>1050</v>
      </c>
      <c r="T63" s="38">
        <v>748850.22</v>
      </c>
      <c r="U63" s="38">
        <v>746915.32</v>
      </c>
    </row>
    <row r="64" spans="1:21" ht="15.75">
      <c r="A64" s="29">
        <v>54</v>
      </c>
      <c r="B64" s="30" t="s">
        <v>120</v>
      </c>
      <c r="C64" s="30" t="s">
        <v>72</v>
      </c>
      <c r="D64" s="41">
        <v>302285225.92000002</v>
      </c>
      <c r="E64" s="41">
        <v>3775930.68</v>
      </c>
      <c r="F64" s="41">
        <v>735111.98</v>
      </c>
      <c r="G64" s="32">
        <v>3040818.7</v>
      </c>
      <c r="H64" s="41">
        <v>361938720.74000001</v>
      </c>
      <c r="I64" s="77">
        <f t="shared" si="15"/>
        <v>1.0419286799541801E-3</v>
      </c>
      <c r="J64" s="41">
        <v>359734631.93000001</v>
      </c>
      <c r="K64" s="77">
        <f t="shared" si="16"/>
        <v>1.0518774372557441E-3</v>
      </c>
      <c r="L64" s="77">
        <f t="shared" si="21"/>
        <v>-6.0896739798760504E-3</v>
      </c>
      <c r="M64" s="34">
        <f t="shared" si="17"/>
        <v>2.0434840428236664E-3</v>
      </c>
      <c r="N64" s="47">
        <f t="shared" si="18"/>
        <v>8.4529495636430866E-3</v>
      </c>
      <c r="O64" s="48">
        <f t="shared" si="19"/>
        <v>106.22002996138121</v>
      </c>
      <c r="P64" s="48">
        <f t="shared" si="20"/>
        <v>0.89787255591221293</v>
      </c>
      <c r="Q64" s="51">
        <v>106.31</v>
      </c>
      <c r="R64" s="51">
        <v>106.31</v>
      </c>
      <c r="S64" s="38">
        <v>109</v>
      </c>
      <c r="T64" s="38">
        <v>3433624</v>
      </c>
      <c r="U64" s="38">
        <v>3386693</v>
      </c>
    </row>
    <row r="65" spans="1:21" ht="15.75">
      <c r="A65" s="29">
        <v>55</v>
      </c>
      <c r="B65" s="40" t="s">
        <v>121</v>
      </c>
      <c r="C65" s="40" t="s">
        <v>76</v>
      </c>
      <c r="D65" s="41">
        <v>294811640.91000003</v>
      </c>
      <c r="E65" s="41">
        <v>2664595.1800000002</v>
      </c>
      <c r="F65" s="41">
        <v>684447.5</v>
      </c>
      <c r="G65" s="32">
        <v>109767.78</v>
      </c>
      <c r="H65" s="41">
        <v>329136032.98000002</v>
      </c>
      <c r="I65" s="77">
        <f t="shared" si="15"/>
        <v>9.474981611999352E-4</v>
      </c>
      <c r="J65" s="41">
        <v>331544999.63</v>
      </c>
      <c r="K65" s="77">
        <f t="shared" si="16"/>
        <v>9.6944990443295013E-4</v>
      </c>
      <c r="L65" s="77">
        <f t="shared" si="21"/>
        <v>7.3190608399486823E-3</v>
      </c>
      <c r="M65" s="34">
        <f t="shared" si="17"/>
        <v>2.0644181054271207E-3</v>
      </c>
      <c r="N65" s="47">
        <f t="shared" si="18"/>
        <v>3.3107958232668098E-4</v>
      </c>
      <c r="O65" s="48">
        <f t="shared" si="19"/>
        <v>1.3663339703345547</v>
      </c>
      <c r="P65" s="48">
        <f t="shared" si="20"/>
        <v>4.5236528021712011E-4</v>
      </c>
      <c r="Q65" s="51">
        <v>1.3663000000000001</v>
      </c>
      <c r="R65" s="51">
        <v>1.3663000000000001</v>
      </c>
      <c r="S65" s="38">
        <v>240</v>
      </c>
      <c r="T65" s="38">
        <v>242463254.40000001</v>
      </c>
      <c r="U65" s="38">
        <v>242652972.72</v>
      </c>
    </row>
    <row r="66" spans="1:21" ht="15.75">
      <c r="A66" s="29">
        <v>56</v>
      </c>
      <c r="B66" s="30" t="s">
        <v>122</v>
      </c>
      <c r="C66" s="30" t="s">
        <v>123</v>
      </c>
      <c r="D66" s="41">
        <f>16487973.48+260023561.64</f>
        <v>276511535.12</v>
      </c>
      <c r="E66" s="41">
        <v>19227607.07</v>
      </c>
      <c r="F66" s="41">
        <v>5263718.6500000004</v>
      </c>
      <c r="G66" s="32">
        <v>13963888.42</v>
      </c>
      <c r="H66" s="41">
        <v>376246825.30000001</v>
      </c>
      <c r="I66" s="77">
        <f t="shared" si="15"/>
        <v>1.0831180405906078E-3</v>
      </c>
      <c r="J66" s="41">
        <v>400050806</v>
      </c>
      <c r="K66" s="77">
        <f t="shared" si="16"/>
        <v>1.1697634290302587E-3</v>
      </c>
      <c r="L66" s="77">
        <f t="shared" si="21"/>
        <v>6.3266927716984486E-2</v>
      </c>
      <c r="M66" s="34">
        <f t="shared" si="17"/>
        <v>1.3157625409208651E-2</v>
      </c>
      <c r="N66" s="47">
        <f t="shared" si="18"/>
        <v>3.4905287554901215E-2</v>
      </c>
      <c r="O66" s="48">
        <f t="shared" si="19"/>
        <v>1016.1436748314279</v>
      </c>
      <c r="P66" s="48">
        <f t="shared" si="20"/>
        <v>35.468787167085026</v>
      </c>
      <c r="Q66" s="51">
        <v>1000</v>
      </c>
      <c r="R66" s="51">
        <v>1000</v>
      </c>
      <c r="S66" s="38">
        <v>134</v>
      </c>
      <c r="T66" s="38">
        <v>375452</v>
      </c>
      <c r="U66" s="38">
        <v>393695.12</v>
      </c>
    </row>
    <row r="67" spans="1:21" ht="15.75">
      <c r="A67" s="29">
        <v>57</v>
      </c>
      <c r="B67" s="30" t="s">
        <v>124</v>
      </c>
      <c r="C67" s="30" t="s">
        <v>78</v>
      </c>
      <c r="D67" s="41">
        <v>265349342.83000001</v>
      </c>
      <c r="E67" s="41">
        <v>4348304.18</v>
      </c>
      <c r="F67" s="41">
        <v>349172.23</v>
      </c>
      <c r="G67" s="32">
        <v>3574229.54</v>
      </c>
      <c r="H67" s="41">
        <v>400738628.13</v>
      </c>
      <c r="I67" s="77">
        <f t="shared" si="15"/>
        <v>1.1536236547459149E-3</v>
      </c>
      <c r="J67" s="41">
        <v>359763399.63999999</v>
      </c>
      <c r="K67" s="77">
        <f t="shared" si="16"/>
        <v>1.0519615551092521E-3</v>
      </c>
      <c r="L67" s="77">
        <f t="shared" si="21"/>
        <v>-0.10224926077430102</v>
      </c>
      <c r="M67" s="34">
        <f t="shared" si="17"/>
        <v>9.7056073616549616E-4</v>
      </c>
      <c r="N67" s="47">
        <f t="shared" si="18"/>
        <v>9.934944865365905E-3</v>
      </c>
      <c r="O67" s="48">
        <f t="shared" si="19"/>
        <v>995.57893530292415</v>
      </c>
      <c r="P67" s="48">
        <f t="shared" si="20"/>
        <v>9.8910218313542408</v>
      </c>
      <c r="Q67" s="41">
        <v>1134.9000000000001</v>
      </c>
      <c r="R67" s="51">
        <v>1109.7</v>
      </c>
      <c r="S67" s="38">
        <v>280</v>
      </c>
      <c r="T67" s="38">
        <v>361361</v>
      </c>
      <c r="U67" s="38">
        <v>361361</v>
      </c>
    </row>
    <row r="68" spans="1:21" ht="15.75">
      <c r="A68" s="29">
        <v>58</v>
      </c>
      <c r="B68" s="30" t="s">
        <v>125</v>
      </c>
      <c r="C68" s="40" t="s">
        <v>81</v>
      </c>
      <c r="D68" s="41">
        <v>19857604.719999999</v>
      </c>
      <c r="E68" s="41">
        <v>7009477.8899999997</v>
      </c>
      <c r="F68" s="41">
        <v>1248315.47</v>
      </c>
      <c r="G68" s="32">
        <v>5761162.4199999999</v>
      </c>
      <c r="H68" s="41">
        <v>676408170.40999997</v>
      </c>
      <c r="I68" s="77">
        <f t="shared" si="15"/>
        <v>1.9472055122054398E-3</v>
      </c>
      <c r="J68" s="41">
        <v>682457590.10000002</v>
      </c>
      <c r="K68" s="77">
        <f t="shared" si="16"/>
        <v>1.9955313644914961E-3</v>
      </c>
      <c r="L68" s="77">
        <f t="shared" si="21"/>
        <v>8.9434456214998771E-3</v>
      </c>
      <c r="M68" s="34">
        <f t="shared" si="17"/>
        <v>1.8291473171498983E-3</v>
      </c>
      <c r="N68" s="47">
        <f t="shared" si="18"/>
        <v>8.4417881837255578E-3</v>
      </c>
      <c r="O68" s="48">
        <f t="shared" si="19"/>
        <v>1.07789003208835</v>
      </c>
      <c r="P68" s="48">
        <f t="shared" si="20"/>
        <v>9.0993193362389948E-3</v>
      </c>
      <c r="Q68" s="51">
        <v>1.08</v>
      </c>
      <c r="R68" s="51">
        <v>1.08</v>
      </c>
      <c r="S68" s="38">
        <v>35</v>
      </c>
      <c r="T68" s="38">
        <v>633064395.04999995</v>
      </c>
      <c r="U68" s="38">
        <v>633142129.33000004</v>
      </c>
    </row>
    <row r="69" spans="1:21" ht="15.75">
      <c r="A69" s="29">
        <v>59</v>
      </c>
      <c r="B69" s="30" t="s">
        <v>126</v>
      </c>
      <c r="C69" s="30" t="s">
        <v>37</v>
      </c>
      <c r="D69" s="41">
        <v>65838132904.900002</v>
      </c>
      <c r="E69" s="41">
        <v>669997657.5</v>
      </c>
      <c r="F69" s="41">
        <v>75762476.780000001</v>
      </c>
      <c r="G69" s="32">
        <v>594235180.72000003</v>
      </c>
      <c r="H69" s="41">
        <v>62909816646.620003</v>
      </c>
      <c r="I69" s="77">
        <f t="shared" si="15"/>
        <v>0.18110121536805285</v>
      </c>
      <c r="J69" s="41">
        <v>65838132904.919998</v>
      </c>
      <c r="K69" s="77">
        <f t="shared" si="16"/>
        <v>0.19251314821200269</v>
      </c>
      <c r="L69" s="77">
        <f t="shared" si="21"/>
        <v>4.6547842839044853E-2</v>
      </c>
      <c r="M69" s="34">
        <f t="shared" si="17"/>
        <v>1.1507385376406743E-3</v>
      </c>
      <c r="N69" s="47">
        <f t="shared" si="18"/>
        <v>9.0256991579357737E-3</v>
      </c>
      <c r="O69" s="48">
        <f t="shared" si="19"/>
        <v>1485.7723872726806</v>
      </c>
      <c r="P69" s="48">
        <f t="shared" si="20"/>
        <v>13.410134584691258</v>
      </c>
      <c r="Q69" s="32">
        <v>1485.77</v>
      </c>
      <c r="R69" s="32">
        <v>1485.77</v>
      </c>
      <c r="S69" s="38">
        <v>2459</v>
      </c>
      <c r="T69" s="38">
        <v>44955702</v>
      </c>
      <c r="U69" s="38">
        <v>44312395</v>
      </c>
    </row>
    <row r="70" spans="1:21" ht="15.75">
      <c r="A70" s="29">
        <v>60</v>
      </c>
      <c r="B70" s="30" t="s">
        <v>127</v>
      </c>
      <c r="C70" s="30" t="s">
        <v>87</v>
      </c>
      <c r="D70" s="41">
        <v>23001167.07</v>
      </c>
      <c r="E70" s="41">
        <v>212224.6</v>
      </c>
      <c r="F70" s="41">
        <v>242388.65</v>
      </c>
      <c r="G70" s="32">
        <v>-30164.05</v>
      </c>
      <c r="H70" s="41">
        <v>21449421.34</v>
      </c>
      <c r="I70" s="77">
        <f t="shared" si="15"/>
        <v>6.1747378718900699E-5</v>
      </c>
      <c r="J70" s="41">
        <v>21220870.73</v>
      </c>
      <c r="K70" s="77">
        <f t="shared" si="16"/>
        <v>6.2050614921477375E-5</v>
      </c>
      <c r="L70" s="77">
        <f t="shared" si="21"/>
        <v>-1.065532754367533E-2</v>
      </c>
      <c r="M70" s="34">
        <f t="shared" si="17"/>
        <v>1.1422182109489717E-2</v>
      </c>
      <c r="N70" s="47">
        <f t="shared" si="18"/>
        <v>-1.4214331911158104E-3</v>
      </c>
      <c r="O70" s="48">
        <f t="shared" si="19"/>
        <v>0.62845511633773832</v>
      </c>
      <c r="P70" s="48">
        <f t="shared" si="20"/>
        <v>-8.9330696148900925E-4</v>
      </c>
      <c r="Q70" s="32">
        <v>0.628</v>
      </c>
      <c r="R70" s="32">
        <v>0.628</v>
      </c>
      <c r="S70" s="38">
        <v>751</v>
      </c>
      <c r="T70" s="38">
        <v>33766724.43</v>
      </c>
      <c r="U70" s="38">
        <v>33766724.43</v>
      </c>
    </row>
    <row r="71" spans="1:21" ht="15.75">
      <c r="A71" s="29">
        <v>61</v>
      </c>
      <c r="B71" s="40" t="s">
        <v>128</v>
      </c>
      <c r="C71" s="40" t="s">
        <v>129</v>
      </c>
      <c r="D71" s="41">
        <v>735537662.58000004</v>
      </c>
      <c r="E71" s="41">
        <v>6103584.6399999997</v>
      </c>
      <c r="F71" s="41">
        <v>1223496.43</v>
      </c>
      <c r="G71" s="32">
        <v>4880088.21</v>
      </c>
      <c r="H71" s="41">
        <v>860458507.75</v>
      </c>
      <c r="I71" s="77">
        <f t="shared" si="15"/>
        <v>2.4770391940997418E-3</v>
      </c>
      <c r="J71" s="41">
        <v>726298086.03999996</v>
      </c>
      <c r="K71" s="77">
        <f t="shared" si="16"/>
        <v>2.1237226044340586E-3</v>
      </c>
      <c r="L71" s="77">
        <f t="shared" si="21"/>
        <v>-0.15591736324487523</v>
      </c>
      <c r="M71" s="34">
        <f t="shared" si="17"/>
        <v>1.6845651303735052E-3</v>
      </c>
      <c r="N71" s="47">
        <f t="shared" si="18"/>
        <v>6.7191258022002215E-3</v>
      </c>
      <c r="O71" s="48">
        <f t="shared" si="19"/>
        <v>196.04080158857653</v>
      </c>
      <c r="P71" s="48">
        <f t="shared" si="20"/>
        <v>1.3172228082378186</v>
      </c>
      <c r="Q71" s="32">
        <v>196.04079999999999</v>
      </c>
      <c r="R71" s="32">
        <v>198.53469999999999</v>
      </c>
      <c r="S71" s="38">
        <v>468</v>
      </c>
      <c r="T71" s="38">
        <v>4358629.1900000004</v>
      </c>
      <c r="U71" s="38">
        <v>3704831.24</v>
      </c>
    </row>
    <row r="72" spans="1:21" ht="15.75">
      <c r="A72" s="29">
        <v>62</v>
      </c>
      <c r="B72" s="30" t="s">
        <v>130</v>
      </c>
      <c r="C72" s="40" t="s">
        <v>43</v>
      </c>
      <c r="D72" s="41">
        <v>1533753512.3800001</v>
      </c>
      <c r="E72" s="41">
        <v>12975472.890000001</v>
      </c>
      <c r="F72" s="41">
        <v>1942911.49</v>
      </c>
      <c r="G72" s="32">
        <v>11032561.4</v>
      </c>
      <c r="H72" s="41">
        <v>1667804957.21</v>
      </c>
      <c r="I72" s="77">
        <f t="shared" si="15"/>
        <v>4.8011824043970152E-3</v>
      </c>
      <c r="J72" s="41">
        <v>1523792441.73</v>
      </c>
      <c r="K72" s="77">
        <f t="shared" si="16"/>
        <v>4.455625748116792E-3</v>
      </c>
      <c r="L72" s="77">
        <f t="shared" si="21"/>
        <v>-8.6348535455196412E-2</v>
      </c>
      <c r="M72" s="34">
        <f t="shared" si="17"/>
        <v>1.27504995876877E-3</v>
      </c>
      <c r="N72" s="47">
        <f t="shared" si="18"/>
        <v>7.240199582217677E-3</v>
      </c>
      <c r="O72" s="48">
        <f t="shared" si="19"/>
        <v>3.5160793490470357</v>
      </c>
      <c r="P72" s="48">
        <f t="shared" si="20"/>
        <v>2.5457116234014549E-2</v>
      </c>
      <c r="Q72" s="32">
        <v>3.54</v>
      </c>
      <c r="R72" s="32">
        <v>3.54</v>
      </c>
      <c r="S72" s="38">
        <v>813</v>
      </c>
      <c r="T72" s="38">
        <v>469544619</v>
      </c>
      <c r="U72" s="38">
        <v>433378286</v>
      </c>
    </row>
    <row r="73" spans="1:21" ht="15.75">
      <c r="A73" s="29">
        <v>63</v>
      </c>
      <c r="B73" s="40" t="s">
        <v>131</v>
      </c>
      <c r="C73" s="30" t="s">
        <v>132</v>
      </c>
      <c r="D73" s="41">
        <v>10850832565.209999</v>
      </c>
      <c r="E73" s="41">
        <v>104187057.13</v>
      </c>
      <c r="F73" s="41">
        <v>23428310.829999998</v>
      </c>
      <c r="G73" s="32">
        <v>80758746.299999997</v>
      </c>
      <c r="H73" s="41">
        <v>15531571516.4</v>
      </c>
      <c r="I73" s="77">
        <f t="shared" si="15"/>
        <v>4.4711407982572719E-2</v>
      </c>
      <c r="J73" s="41">
        <v>15411722158.5</v>
      </c>
      <c r="K73" s="77">
        <f t="shared" si="16"/>
        <v>4.5064448537540457E-2</v>
      </c>
      <c r="L73" s="77">
        <f t="shared" si="21"/>
        <v>-7.7164991175200162E-3</v>
      </c>
      <c r="M73" s="34">
        <f t="shared" si="17"/>
        <v>1.5201617696617132E-3</v>
      </c>
      <c r="N73" s="47">
        <f t="shared" si="18"/>
        <v>5.2400857911560047E-3</v>
      </c>
      <c r="O73" s="48">
        <f t="shared" si="19"/>
        <v>1165.8914702870391</v>
      </c>
      <c r="P73" s="48">
        <f t="shared" si="20"/>
        <v>6.1093713274810968</v>
      </c>
      <c r="Q73" s="32">
        <v>1165.8900000000001</v>
      </c>
      <c r="R73" s="32">
        <v>1165.8900000000001</v>
      </c>
      <c r="S73" s="38">
        <v>7232</v>
      </c>
      <c r="T73" s="38">
        <v>13166745.810000001</v>
      </c>
      <c r="U73" s="38">
        <v>13218830.869999999</v>
      </c>
    </row>
    <row r="74" spans="1:21" ht="15.75">
      <c r="A74" s="29">
        <v>64</v>
      </c>
      <c r="B74" s="30" t="s">
        <v>133</v>
      </c>
      <c r="C74" s="30" t="s">
        <v>29</v>
      </c>
      <c r="D74" s="41">
        <v>1441832746.0799999</v>
      </c>
      <c r="E74" s="41">
        <v>15487534.93</v>
      </c>
      <c r="F74" s="41">
        <v>1963159.89</v>
      </c>
      <c r="G74" s="32">
        <v>13524375.039999999</v>
      </c>
      <c r="H74" s="41">
        <v>1432876195.4300001</v>
      </c>
      <c r="I74" s="77">
        <f t="shared" si="15"/>
        <v>4.1248827972584267E-3</v>
      </c>
      <c r="J74" s="41">
        <v>1444768218.05</v>
      </c>
      <c r="K74" s="77">
        <f t="shared" si="16"/>
        <v>4.2245559802724271E-3</v>
      </c>
      <c r="L74" s="77">
        <f t="shared" si="21"/>
        <v>8.2994069256842815E-3</v>
      </c>
      <c r="M74" s="34">
        <f t="shared" si="17"/>
        <v>1.3588061153848414E-3</v>
      </c>
      <c r="N74" s="47">
        <f t="shared" si="18"/>
        <v>9.3609306122845182E-3</v>
      </c>
      <c r="O74" s="48">
        <f t="shared" si="19"/>
        <v>312.03558541675511</v>
      </c>
      <c r="P74" s="48">
        <f t="shared" si="20"/>
        <v>2.9209434636498237</v>
      </c>
      <c r="Q74" s="51">
        <v>312.03559999999999</v>
      </c>
      <c r="R74" s="51">
        <v>312.03559999999999</v>
      </c>
      <c r="S74" s="38">
        <v>98</v>
      </c>
      <c r="T74" s="38">
        <v>4431013.9605</v>
      </c>
      <c r="U74" s="38">
        <v>4630139.2712000003</v>
      </c>
    </row>
    <row r="75" spans="1:21" ht="15.75">
      <c r="A75" s="29">
        <v>65</v>
      </c>
      <c r="B75" s="40" t="s">
        <v>134</v>
      </c>
      <c r="C75" s="40" t="s">
        <v>47</v>
      </c>
      <c r="D75" s="41">
        <v>53848871.75</v>
      </c>
      <c r="E75" s="41">
        <v>434974.18</v>
      </c>
      <c r="F75" s="41">
        <v>162012.39000000001</v>
      </c>
      <c r="G75" s="32">
        <v>272961.78999999998</v>
      </c>
      <c r="H75" s="41">
        <v>54397370.280000001</v>
      </c>
      <c r="I75" s="77">
        <f t="shared" si="15"/>
        <v>1.5659606712688283E-4</v>
      </c>
      <c r="J75" s="41">
        <v>54238392.100000001</v>
      </c>
      <c r="K75" s="77">
        <f t="shared" si="16"/>
        <v>1.5859507486652507E-4</v>
      </c>
      <c r="L75" s="77">
        <f t="shared" si="21"/>
        <v>-2.9225342913028717E-3</v>
      </c>
      <c r="M75" s="34">
        <f t="shared" si="17"/>
        <v>2.9870426413322825E-3</v>
      </c>
      <c r="N75" s="47">
        <f t="shared" si="18"/>
        <v>5.0326305672324673E-3</v>
      </c>
      <c r="O75" s="48">
        <f t="shared" si="19"/>
        <v>11.610022696297934</v>
      </c>
      <c r="P75" s="48">
        <f t="shared" si="20"/>
        <v>5.8428955107651684E-2</v>
      </c>
      <c r="Q75" s="51">
        <v>11.44</v>
      </c>
      <c r="R75" s="51">
        <v>11.64</v>
      </c>
      <c r="S75" s="38">
        <v>51</v>
      </c>
      <c r="T75" s="38">
        <v>4693811</v>
      </c>
      <c r="U75" s="38">
        <v>4671687</v>
      </c>
    </row>
    <row r="76" spans="1:21" ht="15.75">
      <c r="A76" s="29">
        <v>66</v>
      </c>
      <c r="B76" s="30" t="s">
        <v>135</v>
      </c>
      <c r="C76" s="30" t="s">
        <v>136</v>
      </c>
      <c r="D76" s="41">
        <v>5176853829.0600004</v>
      </c>
      <c r="E76" s="41">
        <v>71539976.359999999</v>
      </c>
      <c r="F76" s="41">
        <v>9135469.9399999995</v>
      </c>
      <c r="G76" s="32">
        <v>62404506.420000002</v>
      </c>
      <c r="H76" s="41">
        <v>6586270623</v>
      </c>
      <c r="I76" s="77">
        <f t="shared" si="15"/>
        <v>1.8960182657475413E-2</v>
      </c>
      <c r="J76" s="41">
        <v>6521468363</v>
      </c>
      <c r="K76" s="77">
        <f t="shared" si="16"/>
        <v>1.9069015935479026E-2</v>
      </c>
      <c r="L76" s="77">
        <f t="shared" si="21"/>
        <v>-9.8389913973020177E-3</v>
      </c>
      <c r="M76" s="34">
        <f t="shared" si="17"/>
        <v>1.4008302166779981E-3</v>
      </c>
      <c r="N76" s="47">
        <f t="shared" si="18"/>
        <v>9.5690882706809203E-3</v>
      </c>
      <c r="O76" s="48">
        <f t="shared" si="19"/>
        <v>1.0100000000480107</v>
      </c>
      <c r="P76" s="48">
        <f t="shared" si="20"/>
        <v>9.6647791538471469E-3</v>
      </c>
      <c r="Q76" s="51">
        <v>1.01</v>
      </c>
      <c r="R76" s="51">
        <v>1.01</v>
      </c>
      <c r="S76" s="38">
        <v>2869</v>
      </c>
      <c r="T76" s="38">
        <v>5987518749</v>
      </c>
      <c r="U76" s="38">
        <v>6456899369</v>
      </c>
    </row>
    <row r="77" spans="1:21" ht="15.75">
      <c r="A77" s="29">
        <v>67</v>
      </c>
      <c r="B77" s="40" t="s">
        <v>137</v>
      </c>
      <c r="C77" s="30" t="s">
        <v>51</v>
      </c>
      <c r="D77" s="41">
        <v>42732416566.32</v>
      </c>
      <c r="E77" s="41">
        <v>499173912.82999998</v>
      </c>
      <c r="F77" s="41">
        <v>53399372.490000002</v>
      </c>
      <c r="G77" s="32">
        <v>445774540.32999998</v>
      </c>
      <c r="H77" s="41">
        <v>47059338880.150002</v>
      </c>
      <c r="I77" s="77">
        <f t="shared" si="15"/>
        <v>0.13547175814364931</v>
      </c>
      <c r="J77" s="41">
        <v>42681785104.75</v>
      </c>
      <c r="K77" s="77">
        <f t="shared" si="16"/>
        <v>0.12480312638406478</v>
      </c>
      <c r="L77" s="77">
        <f t="shared" si="21"/>
        <v>-9.3021999024437807E-2</v>
      </c>
      <c r="M77" s="34">
        <f t="shared" si="17"/>
        <v>1.2511044783845571E-3</v>
      </c>
      <c r="N77" s="47">
        <f t="shared" si="18"/>
        <v>1.044414002919457E-2</v>
      </c>
      <c r="O77" s="48">
        <f t="shared" si="19"/>
        <v>4598.8505689045032</v>
      </c>
      <c r="P77" s="48">
        <f t="shared" si="20"/>
        <v>48.031039314979736</v>
      </c>
      <c r="Q77" s="51">
        <v>4597.59</v>
      </c>
      <c r="R77" s="51">
        <v>4597.59</v>
      </c>
      <c r="S77" s="38">
        <v>493</v>
      </c>
      <c r="T77" s="38">
        <v>10293255.630000001</v>
      </c>
      <c r="U77" s="38">
        <v>9280968.0299999993</v>
      </c>
    </row>
    <row r="78" spans="1:21" ht="15.75">
      <c r="A78" s="29">
        <v>68</v>
      </c>
      <c r="B78" s="30" t="s">
        <v>138</v>
      </c>
      <c r="C78" s="30" t="s">
        <v>51</v>
      </c>
      <c r="D78" s="41">
        <v>45250350950.32</v>
      </c>
      <c r="E78" s="41">
        <v>321758382.22000003</v>
      </c>
      <c r="F78" s="41">
        <v>99049751.299999997</v>
      </c>
      <c r="G78" s="32">
        <v>222708630.91999999</v>
      </c>
      <c r="H78" s="41">
        <v>46749562684.199997</v>
      </c>
      <c r="I78" s="77">
        <f t="shared" si="15"/>
        <v>0.13457999198426324</v>
      </c>
      <c r="J78" s="41">
        <v>45223628783.550003</v>
      </c>
      <c r="K78" s="77">
        <f t="shared" si="16"/>
        <v>0.13223557179644069</v>
      </c>
      <c r="L78" s="77">
        <f t="shared" si="21"/>
        <v>-3.2640602671684789E-2</v>
      </c>
      <c r="M78" s="34">
        <f t="shared" si="17"/>
        <v>2.1902212176310169E-3</v>
      </c>
      <c r="N78" s="47">
        <f t="shared" si="18"/>
        <v>4.9246077086368125E-3</v>
      </c>
      <c r="O78" s="48">
        <f t="shared" si="19"/>
        <v>245.98098133256028</v>
      </c>
      <c r="P78" s="48">
        <f t="shared" si="20"/>
        <v>1.2113598368483742</v>
      </c>
      <c r="Q78" s="51">
        <v>245.98</v>
      </c>
      <c r="R78" s="51">
        <v>245.98</v>
      </c>
      <c r="S78" s="38">
        <v>6658</v>
      </c>
      <c r="T78" s="38">
        <v>190761910.53</v>
      </c>
      <c r="U78" s="38">
        <v>183850103.12</v>
      </c>
    </row>
    <row r="79" spans="1:21" ht="15.75">
      <c r="A79" s="29">
        <v>69</v>
      </c>
      <c r="B79" s="40" t="s">
        <v>139</v>
      </c>
      <c r="C79" s="30" t="s">
        <v>51</v>
      </c>
      <c r="D79" s="41">
        <v>239249162.34</v>
      </c>
      <c r="E79" s="41">
        <v>2180844.63</v>
      </c>
      <c r="F79" s="41">
        <v>553151.88</v>
      </c>
      <c r="G79" s="32">
        <v>4987610.46</v>
      </c>
      <c r="H79" s="41">
        <v>239584046.40000001</v>
      </c>
      <c r="I79" s="77">
        <f t="shared" si="15"/>
        <v>6.8970097671024059E-4</v>
      </c>
      <c r="J79" s="41">
        <v>244744428.50999999</v>
      </c>
      <c r="K79" s="77">
        <f t="shared" si="16"/>
        <v>7.1564180758058166E-4</v>
      </c>
      <c r="L79" s="77">
        <f t="shared" si="21"/>
        <v>2.1538922092435218E-2</v>
      </c>
      <c r="M79" s="34">
        <f t="shared" si="17"/>
        <v>2.2601204177254593E-3</v>
      </c>
      <c r="N79" s="47">
        <f t="shared" si="18"/>
        <v>2.037885189201033E-2</v>
      </c>
      <c r="O79" s="48">
        <f t="shared" si="19"/>
        <v>4344.6692315148084</v>
      </c>
      <c r="P79" s="48">
        <f t="shared" si="20"/>
        <v>88.539370788814622</v>
      </c>
      <c r="Q79" s="51">
        <v>4334.78</v>
      </c>
      <c r="R79" s="51">
        <v>4351.59</v>
      </c>
      <c r="S79" s="38">
        <v>15</v>
      </c>
      <c r="T79" s="38">
        <v>56332.12</v>
      </c>
      <c r="U79" s="38">
        <v>56332.12</v>
      </c>
    </row>
    <row r="80" spans="1:21" ht="15.75">
      <c r="A80" s="29">
        <v>70</v>
      </c>
      <c r="B80" s="30" t="s">
        <v>140</v>
      </c>
      <c r="C80" s="30" t="s">
        <v>51</v>
      </c>
      <c r="D80" s="41">
        <v>21014770487.299999</v>
      </c>
      <c r="E80" s="41">
        <v>233670996.91</v>
      </c>
      <c r="F80" s="41">
        <v>31192881.989999998</v>
      </c>
      <c r="G80" s="32">
        <v>202478114.91999999</v>
      </c>
      <c r="H80" s="41">
        <v>23673691155.740002</v>
      </c>
      <c r="I80" s="77">
        <f t="shared" si="15"/>
        <v>6.8150480625868842E-2</v>
      </c>
      <c r="J80" s="41">
        <v>20967901458.490002</v>
      </c>
      <c r="K80" s="77">
        <f t="shared" si="16"/>
        <v>6.1310923367198088E-2</v>
      </c>
      <c r="L80" s="77">
        <f t="shared" si="21"/>
        <v>-0.11429521824246429</v>
      </c>
      <c r="M80" s="34">
        <f t="shared" si="17"/>
        <v>1.4876492076115635E-3</v>
      </c>
      <c r="N80" s="47">
        <f t="shared" si="18"/>
        <v>9.6565750903038344E-3</v>
      </c>
      <c r="O80" s="48">
        <f t="shared" si="19"/>
        <v>115.80995486868771</v>
      </c>
      <c r="P80" s="48">
        <f t="shared" si="20"/>
        <v>1.1183275253941811</v>
      </c>
      <c r="Q80" s="32">
        <v>115.87</v>
      </c>
      <c r="R80" s="32">
        <v>115.87</v>
      </c>
      <c r="S80" s="38">
        <v>3893</v>
      </c>
      <c r="T80" s="38">
        <v>205855435.44999999</v>
      </c>
      <c r="U80" s="38">
        <v>181054396.25</v>
      </c>
    </row>
    <row r="81" spans="1:21" ht="15.75">
      <c r="A81" s="29">
        <v>71</v>
      </c>
      <c r="B81" s="30" t="s">
        <v>141</v>
      </c>
      <c r="C81" s="30" t="s">
        <v>51</v>
      </c>
      <c r="D81" s="41">
        <v>15267802797.65</v>
      </c>
      <c r="E81" s="41">
        <v>114672380.22</v>
      </c>
      <c r="F81" s="41">
        <v>29417243.670000002</v>
      </c>
      <c r="G81" s="32">
        <v>85255136.549999997</v>
      </c>
      <c r="H81" s="41">
        <v>15377090964.82</v>
      </c>
      <c r="I81" s="77">
        <f t="shared" si="15"/>
        <v>4.4266698124347935E-2</v>
      </c>
      <c r="J81" s="41">
        <v>15226075886.209999</v>
      </c>
      <c r="K81" s="77">
        <f t="shared" si="16"/>
        <v>4.4521611935779838E-2</v>
      </c>
      <c r="L81" s="77">
        <f t="shared" si="21"/>
        <v>-9.8207833299221396E-3</v>
      </c>
      <c r="M81" s="34">
        <f t="shared" si="17"/>
        <v>1.9320305435127053E-3</v>
      </c>
      <c r="N81" s="47">
        <f t="shared" si="18"/>
        <v>5.5992848838494324E-3</v>
      </c>
      <c r="O81" s="48">
        <f t="shared" si="19"/>
        <v>334.32770854528042</v>
      </c>
      <c r="P81" s="48">
        <f t="shared" si="20"/>
        <v>1.8719960847096073</v>
      </c>
      <c r="Q81" s="51">
        <v>334.33</v>
      </c>
      <c r="R81" s="51">
        <v>334.33</v>
      </c>
      <c r="S81" s="38">
        <v>9918</v>
      </c>
      <c r="T81" s="38">
        <v>46243683.240000002</v>
      </c>
      <c r="U81" s="38">
        <v>45542369.049999997</v>
      </c>
    </row>
    <row r="82" spans="1:21" ht="15.75">
      <c r="A82" s="29">
        <v>72</v>
      </c>
      <c r="B82" s="30" t="s">
        <v>142</v>
      </c>
      <c r="C82" s="30" t="s">
        <v>54</v>
      </c>
      <c r="D82" s="41">
        <v>32326820.539999999</v>
      </c>
      <c r="E82" s="41">
        <v>662244.4</v>
      </c>
      <c r="F82" s="41">
        <v>55365.14</v>
      </c>
      <c r="G82" s="32">
        <v>662244.4</v>
      </c>
      <c r="H82" s="41">
        <v>52686146</v>
      </c>
      <c r="I82" s="77">
        <f t="shared" si="15"/>
        <v>1.5166989163640043E-4</v>
      </c>
      <c r="J82" s="41">
        <v>55140649.859999999</v>
      </c>
      <c r="K82" s="77">
        <f t="shared" si="16"/>
        <v>1.6123331009909391E-4</v>
      </c>
      <c r="L82" s="77">
        <f t="shared" si="21"/>
        <v>4.6587272866760829E-2</v>
      </c>
      <c r="M82" s="34">
        <f t="shared" si="17"/>
        <v>1.0040712276799416E-3</v>
      </c>
      <c r="N82" s="47">
        <f t="shared" si="18"/>
        <v>1.2010094216905553E-2</v>
      </c>
      <c r="O82" s="48">
        <f t="shared" si="19"/>
        <v>102.6968842385831</v>
      </c>
      <c r="P82" s="48">
        <f t="shared" si="20"/>
        <v>1.233399255488026</v>
      </c>
      <c r="Q82" s="51">
        <v>102.6969</v>
      </c>
      <c r="R82" s="51">
        <v>102.6969</v>
      </c>
      <c r="S82" s="38">
        <v>20</v>
      </c>
      <c r="T82" s="38">
        <v>536926.22</v>
      </c>
      <c r="U82" s="38">
        <v>536926.22</v>
      </c>
    </row>
    <row r="83" spans="1:21" ht="15.75">
      <c r="A83" s="29">
        <v>73</v>
      </c>
      <c r="B83" s="30" t="s">
        <v>143</v>
      </c>
      <c r="C83" s="30" t="s">
        <v>56</v>
      </c>
      <c r="D83" s="41">
        <v>89976153111</v>
      </c>
      <c r="E83" s="41">
        <v>779865335</v>
      </c>
      <c r="F83" s="41">
        <v>166070307</v>
      </c>
      <c r="G83" s="32">
        <v>613795029</v>
      </c>
      <c r="H83" s="41">
        <v>100899632304</v>
      </c>
      <c r="I83" s="77">
        <f t="shared" si="15"/>
        <v>0.29046414398389148</v>
      </c>
      <c r="J83" s="41">
        <v>101985245065</v>
      </c>
      <c r="K83" s="77">
        <f t="shared" si="16"/>
        <v>0.29820864797289193</v>
      </c>
      <c r="L83" s="77">
        <f t="shared" si="21"/>
        <v>1.0759333173079984E-2</v>
      </c>
      <c r="M83" s="34">
        <f t="shared" si="17"/>
        <v>1.628375819405597E-3</v>
      </c>
      <c r="N83" s="47">
        <f t="shared" si="18"/>
        <v>6.0184689325284216E-3</v>
      </c>
      <c r="O83" s="48">
        <f t="shared" si="19"/>
        <v>1.9838459330438936</v>
      </c>
      <c r="P83" s="48">
        <f t="shared" si="20"/>
        <v>1.1939715114947532E-2</v>
      </c>
      <c r="Q83" s="51">
        <v>1.98</v>
      </c>
      <c r="R83" s="51">
        <v>1.98</v>
      </c>
      <c r="S83" s="38">
        <v>2526</v>
      </c>
      <c r="T83" s="38">
        <v>51504822178</v>
      </c>
      <c r="U83" s="38">
        <v>51407845421</v>
      </c>
    </row>
    <row r="84" spans="1:21" ht="15.75">
      <c r="A84" s="29">
        <v>74</v>
      </c>
      <c r="B84" s="30" t="s">
        <v>144</v>
      </c>
      <c r="C84" s="30" t="s">
        <v>58</v>
      </c>
      <c r="D84" s="41">
        <v>10286648403.43</v>
      </c>
      <c r="E84" s="41">
        <v>101409730.09</v>
      </c>
      <c r="F84" s="41">
        <v>2336793.7999999998</v>
      </c>
      <c r="G84" s="41">
        <v>76203240.709999993</v>
      </c>
      <c r="H84" s="41">
        <v>9520123927.8400002</v>
      </c>
      <c r="I84" s="77">
        <f t="shared" si="15"/>
        <v>2.7405993304209342E-2</v>
      </c>
      <c r="J84" s="41">
        <v>9730579088.8600006</v>
      </c>
      <c r="K84" s="77">
        <f t="shared" si="16"/>
        <v>2.8452574999773918E-2</v>
      </c>
      <c r="L84" s="77">
        <f t="shared" si="21"/>
        <v>2.2106346788675697E-2</v>
      </c>
      <c r="M84" s="34">
        <f t="shared" si="17"/>
        <v>2.4014950997883211E-4</v>
      </c>
      <c r="N84" s="47">
        <f t="shared" si="18"/>
        <v>7.8313161029892712E-3</v>
      </c>
      <c r="O84" s="48">
        <f t="shared" si="19"/>
        <v>1</v>
      </c>
      <c r="P84" s="48">
        <f t="shared" si="20"/>
        <v>7.8313161029892712E-3</v>
      </c>
      <c r="Q84" s="51">
        <v>1</v>
      </c>
      <c r="R84" s="51">
        <v>1</v>
      </c>
      <c r="S84" s="38">
        <v>4416</v>
      </c>
      <c r="T84" s="38">
        <v>9520123927.8400002</v>
      </c>
      <c r="U84" s="38">
        <v>9730579088.8600006</v>
      </c>
    </row>
    <row r="85" spans="1:21" ht="15.75">
      <c r="A85" s="29">
        <v>75</v>
      </c>
      <c r="B85" s="40" t="s">
        <v>145</v>
      </c>
      <c r="C85" s="40" t="s">
        <v>106</v>
      </c>
      <c r="D85" s="41">
        <v>3454358935.5999999</v>
      </c>
      <c r="E85" s="41">
        <v>23300640.379999999</v>
      </c>
      <c r="F85" s="41">
        <v>6026204.0899999999</v>
      </c>
      <c r="G85" s="41">
        <v>17274436.289999999</v>
      </c>
      <c r="H85" s="41">
        <v>3464596581.3600001</v>
      </c>
      <c r="I85" s="77">
        <f t="shared" si="15"/>
        <v>9.9736843165319899E-3</v>
      </c>
      <c r="J85" s="41">
        <v>3486486653.7800002</v>
      </c>
      <c r="K85" s="77">
        <f t="shared" si="16"/>
        <v>1.0194616589258729E-2</v>
      </c>
      <c r="L85" s="77">
        <f t="shared" si="21"/>
        <v>6.3182168272553395E-3</v>
      </c>
      <c r="M85" s="34">
        <f t="shared" si="17"/>
        <v>1.728446051404348E-3</v>
      </c>
      <c r="N85" s="47">
        <f t="shared" si="18"/>
        <v>4.954683039234152E-3</v>
      </c>
      <c r="O85" s="48">
        <f t="shared" si="19"/>
        <v>23.711839425445909</v>
      </c>
      <c r="P85" s="48">
        <f t="shared" si="20"/>
        <v>0.11748464863030052</v>
      </c>
      <c r="Q85" s="51">
        <v>23.712</v>
      </c>
      <c r="R85" s="51">
        <v>23.712</v>
      </c>
      <c r="S85" s="32">
        <v>1347</v>
      </c>
      <c r="T85" s="38">
        <v>147070765.47999999</v>
      </c>
      <c r="U85" s="38">
        <v>147035689.27000001</v>
      </c>
    </row>
    <row r="86" spans="1:21" ht="15.75">
      <c r="A86" s="92" t="s">
        <v>59</v>
      </c>
      <c r="B86" s="92"/>
      <c r="C86" s="92"/>
      <c r="D86" s="92"/>
      <c r="E86" s="92"/>
      <c r="F86" s="92"/>
      <c r="G86" s="92"/>
      <c r="H86" s="49">
        <f>SUM(H56:H85)</f>
        <v>347373796022.11993</v>
      </c>
      <c r="I86" s="87">
        <f>(H86/$H$165)</f>
        <v>0.24534881305176473</v>
      </c>
      <c r="J86" s="49">
        <f>SUM(J56:J85)</f>
        <v>341992915893.80994</v>
      </c>
      <c r="K86" s="87">
        <f>(J86/$J$165)</f>
        <v>0.23125059315262442</v>
      </c>
      <c r="L86" s="88">
        <f>((J86-H86)/H86)</f>
        <v>-1.5490172804995792E-2</v>
      </c>
      <c r="M86" s="53"/>
      <c r="N86" s="53"/>
      <c r="O86" s="48"/>
      <c r="P86" s="48"/>
      <c r="Q86" s="41"/>
      <c r="R86" s="41"/>
      <c r="S86" s="70">
        <f>SUM(S56:S85)</f>
        <v>48842</v>
      </c>
      <c r="T86" s="38"/>
      <c r="U86" s="38"/>
    </row>
    <row r="87" spans="1:21" ht="7.5" customHeight="1">
      <c r="A87" s="95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7"/>
    </row>
    <row r="88" spans="1:21">
      <c r="A88" s="93" t="s">
        <v>146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</row>
    <row r="89" spans="1:21">
      <c r="A89" s="98" t="s">
        <v>147</v>
      </c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</row>
    <row r="90" spans="1:21" ht="15.75">
      <c r="A90" s="62">
        <v>76</v>
      </c>
      <c r="B90" s="30" t="s">
        <v>148</v>
      </c>
      <c r="C90" s="30" t="s">
        <v>29</v>
      </c>
      <c r="D90" s="41">
        <v>971929605.24000001</v>
      </c>
      <c r="E90" s="33">
        <v>6562336.7699999996</v>
      </c>
      <c r="F90" s="33">
        <v>2021686.92</v>
      </c>
      <c r="G90" s="52">
        <v>4540649.8499999996</v>
      </c>
      <c r="H90" s="33">
        <v>783593444.65999997</v>
      </c>
      <c r="I90" s="77">
        <f>(H90/$H$109)</f>
        <v>2.4038935486871398E-3</v>
      </c>
      <c r="J90" s="33">
        <v>991500926.13</v>
      </c>
      <c r="K90" s="77">
        <f>(J90/$J$109)</f>
        <v>3.079938220318722E-3</v>
      </c>
      <c r="L90" s="77">
        <f>((J90-H90)/H90)</f>
        <v>0.26532570287160939</v>
      </c>
      <c r="M90" s="34">
        <f t="shared" ref="M90:M98" si="22">(F90/J90)</f>
        <v>2.0390166733287828E-3</v>
      </c>
      <c r="N90" s="47">
        <f t="shared" ref="N90:N98" si="23">G90/J90</f>
        <v>4.5795719704700057E-3</v>
      </c>
      <c r="O90" s="48">
        <f t="shared" ref="O90:O98" si="24">J90/U90</f>
        <v>59547.080591339974</v>
      </c>
      <c r="P90" s="48">
        <f t="shared" ref="P90:P98" si="25">G90/U90</f>
        <v>272.70014119941902</v>
      </c>
      <c r="Q90" s="41">
        <f>106.1445*461.5</f>
        <v>48985.686749999993</v>
      </c>
      <c r="R90" s="41">
        <f>106.1445*461.5</f>
        <v>48985.686749999993</v>
      </c>
      <c r="S90" s="38">
        <v>211</v>
      </c>
      <c r="T90" s="38">
        <v>16283.7016</v>
      </c>
      <c r="U90" s="38">
        <v>16650.705900000001</v>
      </c>
    </row>
    <row r="91" spans="1:21" ht="15.75">
      <c r="A91" s="29">
        <v>77</v>
      </c>
      <c r="B91" s="30" t="s">
        <v>149</v>
      </c>
      <c r="C91" s="40" t="s">
        <v>33</v>
      </c>
      <c r="D91" s="41">
        <f>9879952.95*461.5</f>
        <v>4559598286.4249992</v>
      </c>
      <c r="E91" s="33">
        <f>71440.73*461.5</f>
        <v>32969896.895</v>
      </c>
      <c r="F91" s="33">
        <f>19164.13*461.5</f>
        <v>8844245.995000001</v>
      </c>
      <c r="G91" s="52">
        <f>52276.5*461.5</f>
        <v>24125604.75</v>
      </c>
      <c r="H91" s="33">
        <f>10988079*449.05</f>
        <v>4934196874.9499998</v>
      </c>
      <c r="I91" s="77">
        <f t="shared" ref="I91:I98" si="26">(H91/$H$109)</f>
        <v>1.5137038366612605E-2</v>
      </c>
      <c r="J91" s="33">
        <f>11161855*461.5</f>
        <v>5151196082.5</v>
      </c>
      <c r="K91" s="77">
        <f t="shared" ref="K91:K98" si="27">(J91/$J$109)</f>
        <v>1.6001362456385285E-2</v>
      </c>
      <c r="L91" s="77">
        <f t="shared" ref="L91:L98" si="28">((J91-H91)/H91)</f>
        <v>4.3978627738115769E-2</v>
      </c>
      <c r="M91" s="34">
        <f t="shared" si="22"/>
        <v>1.716930563960919E-3</v>
      </c>
      <c r="N91" s="47">
        <f t="shared" si="23"/>
        <v>4.683495709270547E-3</v>
      </c>
      <c r="O91" s="48">
        <f t="shared" si="24"/>
        <v>521.83595002843595</v>
      </c>
      <c r="P91" s="48">
        <f t="shared" si="25"/>
        <v>2.4440164329012997</v>
      </c>
      <c r="Q91" s="41">
        <f>1.1307</f>
        <v>1.1307</v>
      </c>
      <c r="R91" s="41">
        <f>1.1307</f>
        <v>1.1307</v>
      </c>
      <c r="S91" s="38">
        <v>322</v>
      </c>
      <c r="T91" s="38">
        <v>9764428</v>
      </c>
      <c r="U91" s="38">
        <v>9871294</v>
      </c>
    </row>
    <row r="92" spans="1:21" ht="15.75">
      <c r="A92" s="62">
        <v>78</v>
      </c>
      <c r="B92" s="30" t="s">
        <v>150</v>
      </c>
      <c r="C92" s="40" t="s">
        <v>81</v>
      </c>
      <c r="D92" s="41">
        <v>973181733.23000002</v>
      </c>
      <c r="E92" s="33">
        <v>5881697.5099999998</v>
      </c>
      <c r="F92" s="33">
        <v>1825177.12</v>
      </c>
      <c r="G92" s="52">
        <v>4056520.39</v>
      </c>
      <c r="H92" s="33">
        <v>966923441.69000006</v>
      </c>
      <c r="I92" s="77">
        <f t="shared" si="26"/>
        <v>2.9663099396671222E-3</v>
      </c>
      <c r="J92" s="33">
        <v>968460015.97000003</v>
      </c>
      <c r="K92" s="77">
        <f t="shared" si="27"/>
        <v>3.0083653372658531E-3</v>
      </c>
      <c r="L92" s="77">
        <f t="shared" si="28"/>
        <v>1.589137478469163E-3</v>
      </c>
      <c r="M92" s="34">
        <f t="shared" si="22"/>
        <v>1.8846179397214665E-3</v>
      </c>
      <c r="N92" s="47">
        <f t="shared" si="23"/>
        <v>4.1886297039708236E-3</v>
      </c>
      <c r="O92" s="48">
        <f t="shared" si="24"/>
        <v>46758.19851931891</v>
      </c>
      <c r="P92" s="48">
        <f t="shared" si="25"/>
        <v>195.85277922218376</v>
      </c>
      <c r="Q92" s="33">
        <v>105.14</v>
      </c>
      <c r="R92" s="33">
        <v>105.14</v>
      </c>
      <c r="S92" s="38">
        <v>40</v>
      </c>
      <c r="T92" s="38">
        <v>20546.13</v>
      </c>
      <c r="U92" s="38">
        <v>20712.09</v>
      </c>
    </row>
    <row r="93" spans="1:21" ht="15.75">
      <c r="A93" s="29">
        <v>79</v>
      </c>
      <c r="B93" s="30" t="s">
        <v>151</v>
      </c>
      <c r="C93" s="30" t="s">
        <v>152</v>
      </c>
      <c r="D93" s="31">
        <v>13077252885.469999</v>
      </c>
      <c r="E93" s="31">
        <v>73999594.510000005</v>
      </c>
      <c r="F93" s="31">
        <v>21448668.09</v>
      </c>
      <c r="G93" s="52">
        <v>52550926.420000002</v>
      </c>
      <c r="H93" s="33">
        <v>12663368540.139999</v>
      </c>
      <c r="I93" s="77">
        <f t="shared" si="26"/>
        <v>3.8848448957480367E-2</v>
      </c>
      <c r="J93" s="33">
        <v>13077252885.469999</v>
      </c>
      <c r="K93" s="77">
        <f t="shared" si="27"/>
        <v>4.0622383617876151E-2</v>
      </c>
      <c r="L93" s="77">
        <f t="shared" si="28"/>
        <v>3.2683589995669844E-2</v>
      </c>
      <c r="M93" s="34">
        <f t="shared" si="22"/>
        <v>1.6401509000282003E-3</v>
      </c>
      <c r="N93" s="47">
        <f t="shared" si="23"/>
        <v>4.0184989064781943E-3</v>
      </c>
      <c r="O93" s="48">
        <f t="shared" si="24"/>
        <v>55793.117665567574</v>
      </c>
      <c r="P93" s="48">
        <f t="shared" si="25"/>
        <v>224.20458232809253</v>
      </c>
      <c r="Q93" s="60">
        <v>120.9</v>
      </c>
      <c r="R93" s="60">
        <v>120.9</v>
      </c>
      <c r="S93" s="38">
        <v>1905</v>
      </c>
      <c r="T93" s="38">
        <v>236304.39</v>
      </c>
      <c r="U93" s="38">
        <v>234388.28</v>
      </c>
    </row>
    <row r="94" spans="1:21" ht="15.75">
      <c r="A94" s="62">
        <v>80</v>
      </c>
      <c r="B94" s="30" t="s">
        <v>153</v>
      </c>
      <c r="C94" s="30" t="s">
        <v>152</v>
      </c>
      <c r="D94" s="31">
        <v>5433403645.0200005</v>
      </c>
      <c r="E94" s="31">
        <v>22634559.52</v>
      </c>
      <c r="F94" s="31">
        <v>7863050.4299999997</v>
      </c>
      <c r="G94" s="52">
        <v>14771509.09</v>
      </c>
      <c r="H94" s="33">
        <v>4134212158.71</v>
      </c>
      <c r="I94" s="77">
        <f t="shared" si="26"/>
        <v>1.2682859976628666E-2</v>
      </c>
      <c r="J94" s="33">
        <v>5433403645.0200005</v>
      </c>
      <c r="K94" s="77">
        <f t="shared" si="27"/>
        <v>1.6877994877961433E-2</v>
      </c>
      <c r="L94" s="77">
        <f t="shared" si="28"/>
        <v>0.31425370455961016</v>
      </c>
      <c r="M94" s="34">
        <f t="shared" si="22"/>
        <v>1.4471684681860325E-3</v>
      </c>
      <c r="N94" s="47">
        <f t="shared" si="23"/>
        <v>2.7186474731246708E-3</v>
      </c>
      <c r="O94" s="48">
        <f t="shared" si="24"/>
        <v>46289.137165064451</v>
      </c>
      <c r="P94" s="48">
        <f t="shared" si="25"/>
        <v>125.84384578692375</v>
      </c>
      <c r="Q94" s="60">
        <v>104.8</v>
      </c>
      <c r="R94" s="60">
        <v>104.8</v>
      </c>
      <c r="S94" s="38">
        <v>64</v>
      </c>
      <c r="T94" s="38">
        <v>90122.43</v>
      </c>
      <c r="U94" s="38">
        <v>117379.67</v>
      </c>
    </row>
    <row r="95" spans="1:21" ht="15.75">
      <c r="A95" s="29">
        <v>81</v>
      </c>
      <c r="B95" s="44" t="s">
        <v>154</v>
      </c>
      <c r="C95" s="45" t="s">
        <v>155</v>
      </c>
      <c r="D95" s="31">
        <f>62715.31*461.5</f>
        <v>28943115.564999998</v>
      </c>
      <c r="E95" s="31">
        <f>330.28*461.5</f>
        <v>152424.22</v>
      </c>
      <c r="F95" s="31">
        <f>90.89*461.5</f>
        <v>41945.735000000001</v>
      </c>
      <c r="G95" s="52">
        <f>239.39*461.5</f>
        <v>110478.485</v>
      </c>
      <c r="H95" s="33">
        <f>77495.88*449.05</f>
        <v>34799524.914000005</v>
      </c>
      <c r="I95" s="77">
        <f t="shared" si="26"/>
        <v>1.0675734209905176E-4</v>
      </c>
      <c r="J95" s="33">
        <f>79676.66*461.5</f>
        <v>36770778.590000004</v>
      </c>
      <c r="K95" s="77">
        <f t="shared" si="27"/>
        <v>1.1422251193678609E-4</v>
      </c>
      <c r="L95" s="77">
        <f t="shared" si="28"/>
        <v>5.6645993899961403E-2</v>
      </c>
      <c r="M95" s="34">
        <f t="shared" si="22"/>
        <v>1.1407355679818906E-3</v>
      </c>
      <c r="N95" s="47">
        <f t="shared" si="23"/>
        <v>3.0045185126986998E-3</v>
      </c>
      <c r="O95" s="48">
        <f t="shared" si="24"/>
        <v>46530.564492249294</v>
      </c>
      <c r="P95" s="48">
        <f t="shared" si="25"/>
        <v>139.80194242328378</v>
      </c>
      <c r="Q95" s="60">
        <f>100.82*461.5</f>
        <v>46528.43</v>
      </c>
      <c r="R95" s="60">
        <f>100.82*461.5</f>
        <v>46528.43</v>
      </c>
      <c r="S95" s="38">
        <v>2</v>
      </c>
      <c r="T95" s="38">
        <v>239.75</v>
      </c>
      <c r="U95" s="38">
        <v>790.25</v>
      </c>
    </row>
    <row r="96" spans="1:21" ht="15.75">
      <c r="A96" s="62">
        <v>82</v>
      </c>
      <c r="B96" s="30" t="s">
        <v>156</v>
      </c>
      <c r="C96" s="30" t="s">
        <v>157</v>
      </c>
      <c r="D96" s="32">
        <f>13951671*461.5</f>
        <v>6438696166.5</v>
      </c>
      <c r="E96" s="32">
        <f>76252.76*461.5</f>
        <v>35190648.739999995</v>
      </c>
      <c r="F96" s="32">
        <f>22041.47*461.5</f>
        <v>10172138.405000001</v>
      </c>
      <c r="G96" s="32">
        <f>54211.29*461.5</f>
        <v>25018510.335000001</v>
      </c>
      <c r="H96" s="33">
        <f>13687517.34*449.05</f>
        <v>6146379661.5270004</v>
      </c>
      <c r="I96" s="77">
        <f t="shared" si="26"/>
        <v>1.8855750410900332E-2</v>
      </c>
      <c r="J96" s="33">
        <f>13900572.79*461.5</f>
        <v>6415114342.585</v>
      </c>
      <c r="K96" s="77">
        <f t="shared" si="27"/>
        <v>1.9927521327248642E-2</v>
      </c>
      <c r="L96" s="77">
        <f t="shared" si="28"/>
        <v>4.3722434320179214E-2</v>
      </c>
      <c r="M96" s="34">
        <f t="shared" si="22"/>
        <v>1.5856519247794251E-3</v>
      </c>
      <c r="N96" s="47">
        <f t="shared" si="23"/>
        <v>3.8999320976901989E-3</v>
      </c>
      <c r="O96" s="48">
        <f t="shared" si="24"/>
        <v>573.22574537319463</v>
      </c>
      <c r="P96" s="48">
        <f t="shared" si="25"/>
        <v>2.2355414836033107</v>
      </c>
      <c r="Q96" s="60">
        <f>1.26*461.5</f>
        <v>581.49</v>
      </c>
      <c r="R96" s="60">
        <f>1.26*461.5</f>
        <v>581.49</v>
      </c>
      <c r="S96" s="38">
        <v>128</v>
      </c>
      <c r="T96" s="38">
        <v>11068929</v>
      </c>
      <c r="U96" s="38">
        <v>11191253</v>
      </c>
    </row>
    <row r="97" spans="1:21" ht="15.75">
      <c r="A97" s="29">
        <v>83</v>
      </c>
      <c r="B97" s="30" t="s">
        <v>158</v>
      </c>
      <c r="C97" s="30" t="s">
        <v>56</v>
      </c>
      <c r="D97" s="41">
        <f>144727041.15*461.5</f>
        <v>66791529490.725006</v>
      </c>
      <c r="E97" s="33">
        <f>1087483*461.5</f>
        <v>501873404.5</v>
      </c>
      <c r="F97" s="63">
        <f>273872*461.5</f>
        <v>126391928</v>
      </c>
      <c r="G97" s="52">
        <f>813611*461.5</f>
        <v>375481476.5</v>
      </c>
      <c r="H97" s="33">
        <f>165736700*449.05</f>
        <v>74424065135</v>
      </c>
      <c r="I97" s="77">
        <f t="shared" si="26"/>
        <v>0.22831677735987913</v>
      </c>
      <c r="J97" s="33">
        <f>160414141*461.5</f>
        <v>74031126071.5</v>
      </c>
      <c r="K97" s="77">
        <f t="shared" si="27"/>
        <v>0.22996579092549543</v>
      </c>
      <c r="L97" s="77">
        <f t="shared" si="28"/>
        <v>-5.2797312641715589E-3</v>
      </c>
      <c r="M97" s="34">
        <f t="shared" si="22"/>
        <v>1.7072809061141312E-3</v>
      </c>
      <c r="N97" s="47">
        <f t="shared" si="23"/>
        <v>5.0719406339619398E-3</v>
      </c>
      <c r="O97" s="48">
        <f t="shared" si="24"/>
        <v>57904.493119693019</v>
      </c>
      <c r="P97" s="48">
        <f t="shared" si="25"/>
        <v>293.68815154274057</v>
      </c>
      <c r="Q97" s="33">
        <f>125.47*461.5</f>
        <v>57904.404999999999</v>
      </c>
      <c r="R97" s="33">
        <f>125.47*461.5</f>
        <v>57904.404999999999</v>
      </c>
      <c r="S97" s="38">
        <v>1341</v>
      </c>
      <c r="T97" s="38">
        <v>1320012</v>
      </c>
      <c r="U97" s="38">
        <v>1278504</v>
      </c>
    </row>
    <row r="98" spans="1:21" ht="15.75">
      <c r="A98" s="62">
        <v>84</v>
      </c>
      <c r="B98" s="30" t="s">
        <v>159</v>
      </c>
      <c r="C98" s="30" t="s">
        <v>47</v>
      </c>
      <c r="D98" s="41">
        <v>784314155.14999998</v>
      </c>
      <c r="E98" s="41">
        <v>3716188.95</v>
      </c>
      <c r="F98" s="41">
        <v>1103725.24</v>
      </c>
      <c r="G98" s="52">
        <v>2612463.7200000002</v>
      </c>
      <c r="H98" s="33">
        <v>807454008.38</v>
      </c>
      <c r="I98" s="77">
        <f t="shared" si="26"/>
        <v>2.4770925469501156E-3</v>
      </c>
      <c r="J98" s="33">
        <v>801674108.34000003</v>
      </c>
      <c r="K98" s="77">
        <f t="shared" si="27"/>
        <v>2.4902717299051347E-3</v>
      </c>
      <c r="L98" s="77">
        <f t="shared" si="28"/>
        <v>-7.1581786454886906E-3</v>
      </c>
      <c r="M98" s="34">
        <f t="shared" si="22"/>
        <v>1.3767754608982536E-3</v>
      </c>
      <c r="N98" s="47">
        <f t="shared" si="23"/>
        <v>3.2587602528532972E-3</v>
      </c>
      <c r="O98" s="48">
        <f t="shared" si="24"/>
        <v>57188.907714367248</v>
      </c>
      <c r="P98" s="48">
        <f t="shared" si="25"/>
        <v>186.36493936367529</v>
      </c>
      <c r="Q98" s="33">
        <v>55891.12</v>
      </c>
      <c r="R98" s="33">
        <v>57265.85</v>
      </c>
      <c r="S98" s="38">
        <v>37</v>
      </c>
      <c r="T98" s="38">
        <v>14055</v>
      </c>
      <c r="U98" s="38">
        <v>14018</v>
      </c>
    </row>
    <row r="99" spans="1:21" ht="6.75" customHeight="1">
      <c r="A99" s="101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3"/>
    </row>
    <row r="100" spans="1:21">
      <c r="A100" s="98" t="s">
        <v>160</v>
      </c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</row>
    <row r="101" spans="1:21" ht="15.75">
      <c r="A101" s="29">
        <v>85</v>
      </c>
      <c r="B101" s="30" t="s">
        <v>161</v>
      </c>
      <c r="C101" s="40" t="s">
        <v>113</v>
      </c>
      <c r="D101" s="41">
        <f>676721.26*461.5</f>
        <v>312306861.49000001</v>
      </c>
      <c r="E101" s="41">
        <f>6195.98*461.5</f>
        <v>2859444.77</v>
      </c>
      <c r="F101" s="41">
        <f>1412.9*461.5</f>
        <v>652053.35000000009</v>
      </c>
      <c r="G101" s="32">
        <f>4783.08*461.5</f>
        <v>2207391.42</v>
      </c>
      <c r="H101" s="41">
        <f>828101.17*449.05</f>
        <v>371858830.38850003</v>
      </c>
      <c r="I101" s="77">
        <f>(H101/$H$109)</f>
        <v>1.1407816763718925E-3</v>
      </c>
      <c r="J101" s="41">
        <f>844323.99*461.5</f>
        <v>389655521.38499999</v>
      </c>
      <c r="K101" s="77">
        <f>(J101/$J$109)</f>
        <v>1.2104022310459529E-3</v>
      </c>
      <c r="L101" s="77">
        <f>((J101-H101)/H101)</f>
        <v>4.7858729017963182E-2</v>
      </c>
      <c r="M101" s="34">
        <f t="shared" ref="M101:M108" si="29">(F101/J101)</f>
        <v>1.6734097535236446E-3</v>
      </c>
      <c r="N101" s="47">
        <f t="shared" ref="N101:N108" si="30">G101/J101</f>
        <v>5.6649817565884867E-3</v>
      </c>
      <c r="O101" s="48">
        <f t="shared" ref="O101:O108" si="31">J101/U101</f>
        <v>44731.433978303292</v>
      </c>
      <c r="P101" s="48">
        <f t="shared" ref="P101:P108" si="32">G101/U101</f>
        <v>253.40275743313052</v>
      </c>
      <c r="Q101" s="41">
        <f>96.95*461.5</f>
        <v>44742.425000000003</v>
      </c>
      <c r="R101" s="41">
        <f>96.95*461.5</f>
        <v>44742.425000000003</v>
      </c>
      <c r="S101" s="38">
        <v>29</v>
      </c>
      <c r="T101" s="38">
        <v>8709</v>
      </c>
      <c r="U101" s="38">
        <v>8711</v>
      </c>
    </row>
    <row r="102" spans="1:21" ht="15.75">
      <c r="A102" s="29">
        <v>86</v>
      </c>
      <c r="B102" s="30" t="s">
        <v>162</v>
      </c>
      <c r="C102" s="40" t="s">
        <v>35</v>
      </c>
      <c r="D102" s="41">
        <f>4853043.33*461.5</f>
        <v>2239679496.7950001</v>
      </c>
      <c r="E102" s="41">
        <f>102196.36*461.5</f>
        <v>47163620.140000001</v>
      </c>
      <c r="F102" s="31">
        <f>6236*461.5</f>
        <v>2877914</v>
      </c>
      <c r="G102" s="32">
        <f>87510.6*461.5</f>
        <v>40386141.900000006</v>
      </c>
      <c r="H102" s="33">
        <v>2785115985</v>
      </c>
      <c r="I102" s="77">
        <f t="shared" ref="I102:I108" si="33">(H102/$H$109)</f>
        <v>8.5441275629761452E-3</v>
      </c>
      <c r="J102" s="41">
        <f>6174642.49*461.5</f>
        <v>2849597509.1350002</v>
      </c>
      <c r="K102" s="77">
        <f t="shared" ref="K102:K108" si="34">(J102/$J$109)</f>
        <v>8.8518165234262019E-3</v>
      </c>
      <c r="L102" s="77">
        <f t="shared" ref="L102:L108" si="35">((J102-H102)/H102)</f>
        <v>2.315218629395796E-2</v>
      </c>
      <c r="M102" s="34">
        <f t="shared" si="29"/>
        <v>1.0099370141833102E-3</v>
      </c>
      <c r="N102" s="47">
        <f t="shared" si="30"/>
        <v>1.4172577625623796E-2</v>
      </c>
      <c r="O102" s="48">
        <f t="shared" si="31"/>
        <v>57567.510149171423</v>
      </c>
      <c r="P102" s="48">
        <f t="shared" si="32"/>
        <v>815.88000630301769</v>
      </c>
      <c r="Q102" s="41">
        <f>124.3*461.5</f>
        <v>57364.45</v>
      </c>
      <c r="R102" s="41">
        <f>125.18*461.5</f>
        <v>57770.57</v>
      </c>
      <c r="S102" s="38">
        <v>346</v>
      </c>
      <c r="T102" s="38">
        <v>49993.31</v>
      </c>
      <c r="U102" s="38">
        <v>49500.1</v>
      </c>
    </row>
    <row r="103" spans="1:21" ht="15.75">
      <c r="A103" s="29">
        <v>87</v>
      </c>
      <c r="B103" s="30" t="s">
        <v>163</v>
      </c>
      <c r="C103" s="30" t="s">
        <v>72</v>
      </c>
      <c r="D103" s="41">
        <f>11292884.97*461.5</f>
        <v>5211666413.6550007</v>
      </c>
      <c r="E103" s="41">
        <f>78858.36*461.5</f>
        <v>36393133.140000001</v>
      </c>
      <c r="F103" s="41">
        <f>22471.8*461.5</f>
        <v>10370735.699999999</v>
      </c>
      <c r="G103" s="32">
        <f>56386.56*461.5</f>
        <v>26022397.439999998</v>
      </c>
      <c r="H103" s="41">
        <f>13129930.21*449.05</f>
        <v>5895995160.8005009</v>
      </c>
      <c r="I103" s="77">
        <f t="shared" si="33"/>
        <v>1.8087625447515979E-2</v>
      </c>
      <c r="J103" s="41">
        <f>13226922.93*461.5</f>
        <v>6104224932.1949997</v>
      </c>
      <c r="K103" s="77">
        <f t="shared" si="34"/>
        <v>1.8961793356534702E-2</v>
      </c>
      <c r="L103" s="77">
        <f t="shared" si="35"/>
        <v>3.5317154393021487E-2</v>
      </c>
      <c r="M103" s="34">
        <f t="shared" si="29"/>
        <v>1.6989438979062683E-3</v>
      </c>
      <c r="N103" s="47">
        <f t="shared" si="30"/>
        <v>4.2630141793681712E-3</v>
      </c>
      <c r="O103" s="48">
        <f t="shared" si="31"/>
        <v>52804.713946323529</v>
      </c>
      <c r="P103" s="48">
        <f t="shared" si="32"/>
        <v>225.10724429065741</v>
      </c>
      <c r="Q103" s="41">
        <f>114.86*461.5</f>
        <v>53007.89</v>
      </c>
      <c r="R103" s="41">
        <f>114.86*461.5</f>
        <v>53007.89</v>
      </c>
      <c r="S103" s="38">
        <v>514</v>
      </c>
      <c r="T103" s="38">
        <v>115253</v>
      </c>
      <c r="U103" s="38">
        <v>115600</v>
      </c>
    </row>
    <row r="104" spans="1:21" ht="15.75">
      <c r="A104" s="29">
        <v>88</v>
      </c>
      <c r="B104" s="30" t="s">
        <v>164</v>
      </c>
      <c r="C104" s="40" t="s">
        <v>70</v>
      </c>
      <c r="D104" s="41">
        <f>4003530.36*461.5</f>
        <v>1847629261.1399999</v>
      </c>
      <c r="E104" s="41">
        <f>24405.92*461.5</f>
        <v>11263332.08</v>
      </c>
      <c r="F104" s="41">
        <f>5292.51*461.5</f>
        <v>2442493.3650000002</v>
      </c>
      <c r="G104" s="32">
        <f>19791.21*461.5</f>
        <v>9133643.4149999991</v>
      </c>
      <c r="H104" s="41">
        <f>3988001.2*449.05</f>
        <v>1790811938.8600001</v>
      </c>
      <c r="I104" s="77">
        <f t="shared" si="33"/>
        <v>5.4938199088755291E-3</v>
      </c>
      <c r="J104" s="41">
        <f>3856431.53*461.5</f>
        <v>1779743151.0949998</v>
      </c>
      <c r="K104" s="77">
        <f t="shared" si="34"/>
        <v>5.5284859640053075E-3</v>
      </c>
      <c r="L104" s="77">
        <f t="shared" si="35"/>
        <v>-6.1808766877255363E-3</v>
      </c>
      <c r="M104" s="34">
        <f t="shared" si="29"/>
        <v>1.3723853149805569E-3</v>
      </c>
      <c r="N104" s="47">
        <f t="shared" si="30"/>
        <v>5.1320008785427597E-3</v>
      </c>
      <c r="O104" s="48">
        <f t="shared" si="31"/>
        <v>524.55098795959339</v>
      </c>
      <c r="P104" s="48">
        <f t="shared" si="32"/>
        <v>2.6919961310491063</v>
      </c>
      <c r="Q104" s="41">
        <f>1.14*461.5</f>
        <v>526.1099999999999</v>
      </c>
      <c r="R104" s="41">
        <f>1.14*461.5</f>
        <v>526.1099999999999</v>
      </c>
      <c r="S104" s="38">
        <v>130</v>
      </c>
      <c r="T104" s="38">
        <v>3525816.69</v>
      </c>
      <c r="U104" s="38">
        <v>3392888.76</v>
      </c>
    </row>
    <row r="105" spans="1:21" ht="15.75">
      <c r="A105" s="29">
        <v>89</v>
      </c>
      <c r="B105" s="40" t="s">
        <v>165</v>
      </c>
      <c r="C105" s="40" t="s">
        <v>49</v>
      </c>
      <c r="D105" s="41">
        <f>8845886.76*461.5</f>
        <v>4082376739.7399998</v>
      </c>
      <c r="E105" s="41">
        <f>69194.68*461.5</f>
        <v>31933344.819999997</v>
      </c>
      <c r="F105" s="41">
        <f>15757.59*461.5</f>
        <v>7272127.7850000001</v>
      </c>
      <c r="G105" s="32">
        <f>53437.09*461.5</f>
        <v>24661217.035</v>
      </c>
      <c r="H105" s="41">
        <f>8446265.2*449.05</f>
        <v>3792795388.0599999</v>
      </c>
      <c r="I105" s="77">
        <f t="shared" si="33"/>
        <v>1.1635467890882918E-2</v>
      </c>
      <c r="J105" s="41">
        <f>9083700.88*461.5</f>
        <v>4192127956.1200004</v>
      </c>
      <c r="K105" s="77">
        <f t="shared" si="34"/>
        <v>1.3022171514167314E-2</v>
      </c>
      <c r="L105" s="77">
        <f t="shared" si="35"/>
        <v>0.10528713711188556</v>
      </c>
      <c r="M105" s="34">
        <f t="shared" si="29"/>
        <v>1.7347103573934503E-3</v>
      </c>
      <c r="N105" s="47">
        <f t="shared" si="30"/>
        <v>5.8827443468173731E-3</v>
      </c>
      <c r="O105" s="48">
        <f t="shared" si="31"/>
        <v>488.28756434889431</v>
      </c>
      <c r="P105" s="48">
        <f t="shared" si="32"/>
        <v>2.8724709087946825</v>
      </c>
      <c r="Q105" s="41">
        <f>1.058*461.5</f>
        <v>488.267</v>
      </c>
      <c r="R105" s="41">
        <f>1.058*461.5</f>
        <v>488.267</v>
      </c>
      <c r="S105" s="38">
        <v>298</v>
      </c>
      <c r="T105" s="38">
        <v>8029665.2999999998</v>
      </c>
      <c r="U105" s="38">
        <v>8585367.0299999993</v>
      </c>
    </row>
    <row r="106" spans="1:21" ht="15.75">
      <c r="A106" s="29">
        <v>90</v>
      </c>
      <c r="B106" s="30" t="s">
        <v>166</v>
      </c>
      <c r="C106" s="40" t="s">
        <v>95</v>
      </c>
      <c r="D106" s="41">
        <f>(178141.11+45124)*461.5</f>
        <v>103036848.265</v>
      </c>
      <c r="E106" s="41">
        <f>1328.94*461.5</f>
        <v>613305.81000000006</v>
      </c>
      <c r="F106" s="41">
        <f>24.97*461.5</f>
        <v>11523.654999999999</v>
      </c>
      <c r="G106" s="32">
        <f>1303.97*461.5</f>
        <v>601782.15500000003</v>
      </c>
      <c r="H106" s="41">
        <v>90424628</v>
      </c>
      <c r="I106" s="77">
        <f t="shared" si="33"/>
        <v>2.7740300965119934E-4</v>
      </c>
      <c r="J106" s="41">
        <f>221304.34*461.5</f>
        <v>102131952.91</v>
      </c>
      <c r="K106" s="77">
        <f t="shared" si="34"/>
        <v>3.1725649164149908E-4</v>
      </c>
      <c r="L106" s="77">
        <f t="shared" si="35"/>
        <v>0.12947053439910194</v>
      </c>
      <c r="M106" s="34">
        <f t="shared" si="29"/>
        <v>1.1283104524746328E-4</v>
      </c>
      <c r="N106" s="47">
        <f t="shared" si="30"/>
        <v>5.8922025659325075E-3</v>
      </c>
      <c r="O106" s="48">
        <f t="shared" si="31"/>
        <v>399.75713998864904</v>
      </c>
      <c r="P106" s="48">
        <f t="shared" si="32"/>
        <v>2.3554500459909584</v>
      </c>
      <c r="Q106" s="41">
        <f xml:space="preserve"> 0.8662*461.5</f>
        <v>399.75129999999996</v>
      </c>
      <c r="R106" s="41">
        <f xml:space="preserve"> 0.8662*461.5</f>
        <v>399.75129999999996</v>
      </c>
      <c r="S106" s="38">
        <v>3</v>
      </c>
      <c r="T106" s="38">
        <v>255485</v>
      </c>
      <c r="U106" s="38">
        <v>255485</v>
      </c>
    </row>
    <row r="107" spans="1:21" ht="15.75">
      <c r="A107" s="29">
        <v>91</v>
      </c>
      <c r="B107" s="30" t="s">
        <v>167</v>
      </c>
      <c r="C107" s="30" t="s">
        <v>51</v>
      </c>
      <c r="D107" s="41">
        <f>419638076.93*461.5</f>
        <v>193662972503.19501</v>
      </c>
      <c r="E107" s="41">
        <f>3157711.79*461.5</f>
        <v>1457283991.085</v>
      </c>
      <c r="F107" s="41">
        <f>739730.2*461.5</f>
        <v>341385487.29999995</v>
      </c>
      <c r="G107" s="32">
        <f>2417981.59*461.5</f>
        <v>1115898503.7849998</v>
      </c>
      <c r="H107" s="41">
        <f>426063662.24*449.05</f>
        <v>191323887528.87201</v>
      </c>
      <c r="I107" s="77">
        <f t="shared" si="33"/>
        <v>0.58693990113707362</v>
      </c>
      <c r="J107" s="41">
        <f>424551369.56*461.5</f>
        <v>195930457051.94</v>
      </c>
      <c r="K107" s="77">
        <f t="shared" si="34"/>
        <v>0.60862646447963531</v>
      </c>
      <c r="L107" s="77">
        <f t="shared" si="35"/>
        <v>2.40773359906396E-2</v>
      </c>
      <c r="M107" s="34">
        <f t="shared" si="29"/>
        <v>1.7423809061472291E-3</v>
      </c>
      <c r="N107" s="47">
        <f t="shared" si="30"/>
        <v>5.6953804966074356E-3</v>
      </c>
      <c r="O107" s="48">
        <f t="shared" si="31"/>
        <v>633.4380500953331</v>
      </c>
      <c r="P107" s="48">
        <f t="shared" si="32"/>
        <v>3.6076707163220036</v>
      </c>
      <c r="Q107" s="41">
        <f>1.3726*461.5</f>
        <v>633.45490000000007</v>
      </c>
      <c r="R107" s="41">
        <f>1.3726*461.5</f>
        <v>633.45490000000007</v>
      </c>
      <c r="S107" s="38">
        <v>4555</v>
      </c>
      <c r="T107" s="38">
        <v>312177053.25</v>
      </c>
      <c r="U107" s="38">
        <v>309312737.08999997</v>
      </c>
    </row>
    <row r="108" spans="1:21" ht="15.75">
      <c r="A108" s="29">
        <v>92</v>
      </c>
      <c r="B108" s="40" t="s">
        <v>168</v>
      </c>
      <c r="C108" s="40" t="s">
        <v>58</v>
      </c>
      <c r="D108" s="41">
        <f>8314707.6*461.5</f>
        <v>3837237557.3999996</v>
      </c>
      <c r="E108" s="41">
        <f>192691.85*461.5</f>
        <v>88927288.775000006</v>
      </c>
      <c r="F108" s="41">
        <f>18671.16*461.5</f>
        <v>8616740.3399999999</v>
      </c>
      <c r="G108" s="32">
        <f>211363.01*461.5</f>
        <v>97544029.11500001</v>
      </c>
      <c r="H108" s="41">
        <f>33454100.55*449.05</f>
        <v>15022563851.977501</v>
      </c>
      <c r="I108" s="77">
        <f t="shared" si="33"/>
        <v>4.6085944917748214E-2</v>
      </c>
      <c r="J108" s="41">
        <f>7947790.69*461.5</f>
        <v>3667905403.4350004</v>
      </c>
      <c r="K108" s="77">
        <f t="shared" si="34"/>
        <v>1.1393758435150298E-2</v>
      </c>
      <c r="L108" s="77">
        <f t="shared" si="35"/>
        <v>-0.75584025206508443</v>
      </c>
      <c r="M108" s="34">
        <f t="shared" si="29"/>
        <v>2.3492264364098391E-3</v>
      </c>
      <c r="N108" s="47">
        <f t="shared" si="30"/>
        <v>2.6593932608962555E-2</v>
      </c>
      <c r="O108" s="48">
        <f t="shared" si="31"/>
        <v>434.3194413227917</v>
      </c>
      <c r="P108" s="48">
        <f t="shared" si="32"/>
        <v>11.550261953300589</v>
      </c>
      <c r="Q108" s="41">
        <f>1.07*461.5</f>
        <v>493.80500000000001</v>
      </c>
      <c r="R108" s="41">
        <f>1.07*461.5</f>
        <v>493.80500000000001</v>
      </c>
      <c r="S108" s="38">
        <v>383</v>
      </c>
      <c r="T108" s="38">
        <v>32848095.379999999</v>
      </c>
      <c r="U108" s="38">
        <v>8445178.9499999993</v>
      </c>
    </row>
    <row r="109" spans="1:21" ht="15.75">
      <c r="A109" s="92" t="s">
        <v>59</v>
      </c>
      <c r="B109" s="92"/>
      <c r="C109" s="92"/>
      <c r="D109" s="92"/>
      <c r="E109" s="92"/>
      <c r="F109" s="92"/>
      <c r="G109" s="92"/>
      <c r="H109" s="49">
        <f>SUM(H90:H108)</f>
        <v>325968446101.9295</v>
      </c>
      <c r="I109" s="87">
        <f>(H109/$H$165)</f>
        <v>0.23023029445302165</v>
      </c>
      <c r="J109" s="49">
        <f>SUM(J90:J108)</f>
        <v>321922342334.32001</v>
      </c>
      <c r="K109" s="87">
        <f>(J109/$J$165)</f>
        <v>0.2176791657199387</v>
      </c>
      <c r="L109" s="88">
        <f>((J109-H109)/H109)</f>
        <v>-1.241256267591094E-2</v>
      </c>
      <c r="M109" s="53"/>
      <c r="N109" s="53"/>
      <c r="O109" s="48"/>
      <c r="P109" s="48"/>
      <c r="Q109" s="41"/>
      <c r="R109" s="41"/>
      <c r="S109" s="89">
        <f>SUM(S90:S108)</f>
        <v>10308</v>
      </c>
      <c r="T109" s="32"/>
      <c r="U109" s="38"/>
    </row>
    <row r="110" spans="1:21" ht="8.25" customHeight="1">
      <c r="A110" s="95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7"/>
    </row>
    <row r="111" spans="1:21">
      <c r="A111" s="93" t="s">
        <v>169</v>
      </c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</row>
    <row r="112" spans="1:21" ht="15.75">
      <c r="A112" s="29">
        <v>93</v>
      </c>
      <c r="B112" s="30" t="s">
        <v>170</v>
      </c>
      <c r="C112" s="30" t="s">
        <v>49</v>
      </c>
      <c r="D112" s="41">
        <v>7733310309</v>
      </c>
      <c r="E112" s="41">
        <v>88343842</v>
      </c>
      <c r="F112" s="31">
        <v>14702987</v>
      </c>
      <c r="G112" s="54">
        <v>73640856</v>
      </c>
      <c r="H112" s="41">
        <v>7517795634</v>
      </c>
      <c r="I112" s="77">
        <f>(H112/$H$116)</f>
        <v>0.16454553248446757</v>
      </c>
      <c r="J112" s="41">
        <v>7591439098</v>
      </c>
      <c r="K112" s="77">
        <f>(J112/$J$116)</f>
        <v>0.16375848080915187</v>
      </c>
      <c r="L112" s="77">
        <f>((J112-H112)/H112)</f>
        <v>9.7958853346504782E-3</v>
      </c>
      <c r="M112" s="34">
        <f>(F112/J112)</f>
        <v>1.936785214265049E-3</v>
      </c>
      <c r="N112" s="47">
        <f>G112/J112</f>
        <v>9.7005133083924791E-3</v>
      </c>
      <c r="O112" s="48">
        <f>J112/U112</f>
        <v>102.37948884693189</v>
      </c>
      <c r="P112" s="48">
        <f>G112/U112</f>
        <v>0.99313359406608226</v>
      </c>
      <c r="Q112" s="41">
        <v>102.38</v>
      </c>
      <c r="R112" s="41">
        <v>102.38</v>
      </c>
      <c r="S112" s="38">
        <v>55</v>
      </c>
      <c r="T112" s="38">
        <v>74150000</v>
      </c>
      <c r="U112" s="38">
        <v>74150000</v>
      </c>
    </row>
    <row r="113" spans="1:21" ht="15.75">
      <c r="A113" s="29">
        <v>94</v>
      </c>
      <c r="B113" s="30" t="s">
        <v>171</v>
      </c>
      <c r="C113" s="30" t="s">
        <v>136</v>
      </c>
      <c r="D113" s="41">
        <v>2149802400.48</v>
      </c>
      <c r="E113" s="41">
        <v>25114520.870000001</v>
      </c>
      <c r="F113" s="31">
        <v>5060350.6900000004</v>
      </c>
      <c r="G113" s="54">
        <v>20054170.18</v>
      </c>
      <c r="H113" s="41">
        <v>2276954596.04</v>
      </c>
      <c r="I113" s="77">
        <f>(H113/$H$116)</f>
        <v>4.9836777253415503E-2</v>
      </c>
      <c r="J113" s="41">
        <v>2297008766.2199998</v>
      </c>
      <c r="K113" s="77">
        <f>(J113/$J$116)</f>
        <v>4.9549849653748944E-2</v>
      </c>
      <c r="L113" s="77">
        <f>((J113-H113)/H113)</f>
        <v>8.8074528209202505E-3</v>
      </c>
      <c r="M113" s="34">
        <f t="shared" ref="M113:M115" si="36">(F113/J113)</f>
        <v>2.2030175785212208E-3</v>
      </c>
      <c r="N113" s="47">
        <f t="shared" ref="N113:N115" si="37">G113/J113</f>
        <v>8.7305588358731062E-3</v>
      </c>
      <c r="O113" s="48">
        <f t="shared" ref="O113:O115" si="38">J113/U113</f>
        <v>114.85043831099999</v>
      </c>
      <c r="P113" s="48">
        <f t="shared" ref="P113:P115" si="39">G113/U113</f>
        <v>1.0027085090000001</v>
      </c>
      <c r="Q113" s="54">
        <v>68.599999999999994</v>
      </c>
      <c r="R113" s="54">
        <v>68.599999999999994</v>
      </c>
      <c r="S113" s="38">
        <v>2702</v>
      </c>
      <c r="T113" s="38">
        <v>20000000</v>
      </c>
      <c r="U113" s="38">
        <v>20000000</v>
      </c>
    </row>
    <row r="114" spans="1:21" ht="15.75">
      <c r="A114" s="29">
        <v>95</v>
      </c>
      <c r="B114" s="30" t="s">
        <v>172</v>
      </c>
      <c r="C114" s="30" t="s">
        <v>136</v>
      </c>
      <c r="D114" s="41">
        <v>10354678585.530001</v>
      </c>
      <c r="E114" s="41">
        <v>79031439.659999996</v>
      </c>
      <c r="F114" s="64" t="s">
        <v>173</v>
      </c>
      <c r="G114" s="54">
        <v>58143817.68</v>
      </c>
      <c r="H114" s="41">
        <v>9995126113.5100002</v>
      </c>
      <c r="I114" s="77">
        <f>(H114/$H$116)</f>
        <v>0.2187680310380874</v>
      </c>
      <c r="J114" s="41">
        <v>10033266520</v>
      </c>
      <c r="K114" s="77">
        <f>(J114/$J$116)</f>
        <v>0.21643228137091827</v>
      </c>
      <c r="L114" s="77">
        <f>((J114-H114)/H114)</f>
        <v>3.8159004755774872E-3</v>
      </c>
      <c r="M114" s="34">
        <f t="shared" si="36"/>
        <v>2.0818366519381568E-3</v>
      </c>
      <c r="N114" s="47">
        <f t="shared" si="37"/>
        <v>5.7951034754332434E-3</v>
      </c>
      <c r="O114" s="48">
        <f t="shared" si="38"/>
        <v>53.332392479878465</v>
      </c>
      <c r="P114" s="48">
        <f t="shared" si="39"/>
        <v>0.30906673301331344</v>
      </c>
      <c r="Q114" s="54">
        <v>36.6</v>
      </c>
      <c r="R114" s="54">
        <v>36.6</v>
      </c>
      <c r="S114" s="38">
        <v>5252</v>
      </c>
      <c r="T114" s="38">
        <v>188127066</v>
      </c>
      <c r="U114" s="38">
        <v>188127066</v>
      </c>
    </row>
    <row r="115" spans="1:21" ht="15.75">
      <c r="A115" s="29">
        <v>96</v>
      </c>
      <c r="B115" s="30" t="s">
        <v>174</v>
      </c>
      <c r="C115" s="40" t="s">
        <v>175</v>
      </c>
      <c r="D115" s="41">
        <v>26540751989.389999</v>
      </c>
      <c r="E115" s="41">
        <v>147151616.02000001</v>
      </c>
      <c r="F115" s="65">
        <v>84510113.950000003</v>
      </c>
      <c r="G115" s="54">
        <v>62641502.07</v>
      </c>
      <c r="H115" s="41">
        <v>25898362774.759998</v>
      </c>
      <c r="I115" s="77">
        <f>(H115/$H$116)</f>
        <v>0.56684965922402952</v>
      </c>
      <c r="J115" s="41">
        <v>26435818126.400002</v>
      </c>
      <c r="K115" s="77">
        <f>(J115/$J$116)</f>
        <v>0.57025938816618083</v>
      </c>
      <c r="L115" s="77">
        <f>((J115-H115)/H115)</f>
        <v>2.0752483711587975E-2</v>
      </c>
      <c r="M115" s="34">
        <f t="shared" si="36"/>
        <v>3.1968034257886043E-3</v>
      </c>
      <c r="N115" s="47">
        <f t="shared" si="37"/>
        <v>2.3695692628269132E-3</v>
      </c>
      <c r="O115" s="48">
        <f t="shared" si="38"/>
        <v>9.9074767846351364</v>
      </c>
      <c r="P115" s="48">
        <f t="shared" si="39"/>
        <v>2.3476452461042633E-2</v>
      </c>
      <c r="Q115" s="54">
        <v>9.91</v>
      </c>
      <c r="R115" s="54">
        <v>9.91</v>
      </c>
      <c r="S115" s="38">
        <v>28836</v>
      </c>
      <c r="T115" s="38">
        <v>2668269500</v>
      </c>
      <c r="U115" s="38">
        <v>2668269500</v>
      </c>
    </row>
    <row r="116" spans="1:21" ht="15.75">
      <c r="A116" s="92" t="s">
        <v>59</v>
      </c>
      <c r="B116" s="92"/>
      <c r="C116" s="92"/>
      <c r="D116" s="92"/>
      <c r="E116" s="92"/>
      <c r="F116" s="92"/>
      <c r="G116" s="92"/>
      <c r="H116" s="49">
        <f t="shared" ref="H116" si="40">SUM(H112:H115)</f>
        <v>45688239118.309998</v>
      </c>
      <c r="I116" s="87">
        <f>(H116/$H$165)</f>
        <v>3.2269432428313524E-2</v>
      </c>
      <c r="J116" s="49">
        <f>SUM(J112:J115)</f>
        <v>46357532510.620003</v>
      </c>
      <c r="K116" s="87">
        <f>(J116/$J$165)</f>
        <v>3.1346283481209915E-2</v>
      </c>
      <c r="L116" s="88">
        <f>((J116-H116)/H116)</f>
        <v>1.4649139586598326E-2</v>
      </c>
      <c r="M116" s="53"/>
      <c r="N116" s="53"/>
      <c r="O116" s="48"/>
      <c r="P116" s="48"/>
      <c r="Q116" s="41"/>
      <c r="R116" s="41"/>
      <c r="S116" s="70">
        <f>SUM(S112:S115)</f>
        <v>36845</v>
      </c>
      <c r="T116" s="38"/>
      <c r="U116" s="38"/>
    </row>
    <row r="117" spans="1:21" ht="7.5" customHeight="1">
      <c r="A117" s="95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7"/>
    </row>
    <row r="118" spans="1:21">
      <c r="A118" s="93" t="s">
        <v>176</v>
      </c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</row>
    <row r="119" spans="1:21" ht="15.75">
      <c r="A119" s="29">
        <v>97</v>
      </c>
      <c r="B119" s="30" t="s">
        <v>177</v>
      </c>
      <c r="C119" s="30" t="s">
        <v>63</v>
      </c>
      <c r="D119" s="33">
        <v>183102713.72999999</v>
      </c>
      <c r="E119" s="33">
        <v>1368707.61</v>
      </c>
      <c r="F119" s="41">
        <v>445779.67</v>
      </c>
      <c r="G119" s="32">
        <v>922927.94</v>
      </c>
      <c r="H119" s="41">
        <v>166547469.03</v>
      </c>
      <c r="I119" s="77">
        <f>(H119/$H$143)</f>
        <v>5.5011907534968946E-3</v>
      </c>
      <c r="J119" s="41">
        <v>170801823.94999999</v>
      </c>
      <c r="K119" s="77">
        <f>(J119/$J$143)</f>
        <v>5.5789289595329456E-3</v>
      </c>
      <c r="L119" s="77">
        <f>((J119-H119)/H119)</f>
        <v>2.5544398511595845E-2</v>
      </c>
      <c r="M119" s="34">
        <f t="shared" ref="M119:M142" si="41">(F119/J119)</f>
        <v>2.6099233584911609E-3</v>
      </c>
      <c r="N119" s="47">
        <f t="shared" ref="N119:N142" si="42">G119/J119</f>
        <v>5.4035016644211897E-3</v>
      </c>
      <c r="O119" s="48">
        <f t="shared" ref="O119:O142" si="43">J119/U119</f>
        <v>3.8914456739179308</v>
      </c>
      <c r="P119" s="48">
        <f t="shared" ref="P119:P142" si="44">G119/U119</f>
        <v>2.1027433176020176E-2</v>
      </c>
      <c r="Q119" s="41">
        <v>3.8531</v>
      </c>
      <c r="R119" s="41">
        <v>3.9161000000000001</v>
      </c>
      <c r="S119" s="38">
        <v>11818</v>
      </c>
      <c r="T119" s="38">
        <v>43917578.539999999</v>
      </c>
      <c r="U119" s="38">
        <v>43891612.079999998</v>
      </c>
    </row>
    <row r="120" spans="1:21" ht="15.75">
      <c r="A120" s="29">
        <v>98</v>
      </c>
      <c r="B120" s="30" t="s">
        <v>178</v>
      </c>
      <c r="C120" s="40" t="s">
        <v>33</v>
      </c>
      <c r="D120" s="33">
        <v>4164412224.3200002</v>
      </c>
      <c r="E120" s="33">
        <v>37564548.859999999</v>
      </c>
      <c r="F120" s="41">
        <v>22061823.670000002</v>
      </c>
      <c r="G120" s="32">
        <v>112514865.04000001</v>
      </c>
      <c r="H120" s="41">
        <v>4806749396</v>
      </c>
      <c r="I120" s="77">
        <f t="shared" ref="I120:I142" si="45">(H120/$H$143)</f>
        <v>0.1587706224877477</v>
      </c>
      <c r="J120" s="41">
        <v>4891811553</v>
      </c>
      <c r="K120" s="77">
        <f t="shared" ref="K120:K142" si="46">(J120/$J$143)</f>
        <v>0.15978207086124935</v>
      </c>
      <c r="L120" s="77">
        <f t="shared" ref="L120:L142" si="47">((J120-H120)/H120)</f>
        <v>1.7696399373511255E-2</v>
      </c>
      <c r="M120" s="34">
        <f t="shared" si="41"/>
        <v>4.5099496231554856E-3</v>
      </c>
      <c r="N120" s="47">
        <f t="shared" si="42"/>
        <v>2.3000654015586118E-2</v>
      </c>
      <c r="O120" s="48">
        <f t="shared" si="43"/>
        <v>541.7014391408984</v>
      </c>
      <c r="P120" s="48">
        <f t="shared" si="44"/>
        <v>12.459487381424884</v>
      </c>
      <c r="Q120" s="41">
        <v>538.99289999999996</v>
      </c>
      <c r="R120" s="41">
        <v>555.24390000000005</v>
      </c>
      <c r="S120" s="38">
        <v>1886</v>
      </c>
      <c r="T120" s="38">
        <v>9084952</v>
      </c>
      <c r="U120" s="38">
        <v>9030457</v>
      </c>
    </row>
    <row r="121" spans="1:21" ht="15.75">
      <c r="A121" s="29">
        <v>99</v>
      </c>
      <c r="B121" s="30" t="s">
        <v>179</v>
      </c>
      <c r="C121" s="30" t="s">
        <v>117</v>
      </c>
      <c r="D121" s="63">
        <v>1102603435.04</v>
      </c>
      <c r="E121" s="63">
        <v>4646679.95</v>
      </c>
      <c r="F121" s="63">
        <v>1620000.41</v>
      </c>
      <c r="G121" s="32">
        <v>25935817.82</v>
      </c>
      <c r="H121" s="41">
        <v>1008954897.54</v>
      </c>
      <c r="I121" s="77">
        <f t="shared" si="45"/>
        <v>3.3326554797675476E-2</v>
      </c>
      <c r="J121" s="41">
        <v>1034940715.36</v>
      </c>
      <c r="K121" s="77">
        <f t="shared" si="46"/>
        <v>3.3804444207878426E-2</v>
      </c>
      <c r="L121" s="77">
        <f t="shared" si="47"/>
        <v>2.5755182796929579E-2</v>
      </c>
      <c r="M121" s="34">
        <f t="shared" si="41"/>
        <v>1.5653074480082554E-3</v>
      </c>
      <c r="N121" s="47">
        <f t="shared" si="42"/>
        <v>2.5060196622932483E-2</v>
      </c>
      <c r="O121" s="48">
        <f t="shared" si="43"/>
        <v>2.3772814727475322</v>
      </c>
      <c r="P121" s="48">
        <f t="shared" si="44"/>
        <v>5.9575141135107666E-2</v>
      </c>
      <c r="Q121" s="66">
        <v>2.3679999999999999</v>
      </c>
      <c r="R121" s="66">
        <v>2.4169999999999998</v>
      </c>
      <c r="S121" s="38">
        <v>2767</v>
      </c>
      <c r="T121" s="38">
        <v>435325546.0535</v>
      </c>
      <c r="U121" s="38">
        <v>435346309.31349999</v>
      </c>
    </row>
    <row r="122" spans="1:21" ht="15.75">
      <c r="A122" s="29">
        <v>100</v>
      </c>
      <c r="B122" s="30" t="s">
        <v>180</v>
      </c>
      <c r="C122" s="30" t="s">
        <v>70</v>
      </c>
      <c r="D122" s="33">
        <v>2319771581.6100001</v>
      </c>
      <c r="E122" s="33">
        <v>16903281.100000001</v>
      </c>
      <c r="F122" s="41">
        <v>6340959.0599999996</v>
      </c>
      <c r="G122" s="32">
        <v>10954061.470000001</v>
      </c>
      <c r="H122" s="41">
        <v>2236162846.5</v>
      </c>
      <c r="I122" s="77">
        <f t="shared" si="45"/>
        <v>7.3862175427374582E-2</v>
      </c>
      <c r="J122" s="41">
        <v>2291996089.1500001</v>
      </c>
      <c r="K122" s="77">
        <f t="shared" si="46"/>
        <v>7.4863857195332909E-2</v>
      </c>
      <c r="L122" s="77">
        <f t="shared" si="47"/>
        <v>2.4968325870090024E-2</v>
      </c>
      <c r="M122" s="34">
        <f t="shared" si="41"/>
        <v>2.7665662651071891E-3</v>
      </c>
      <c r="N122" s="47">
        <f t="shared" si="42"/>
        <v>4.7792670859496877E-3</v>
      </c>
      <c r="O122" s="48">
        <f t="shared" si="43"/>
        <v>4312.4360937556066</v>
      </c>
      <c r="P122" s="48">
        <f t="shared" si="44"/>
        <v>20.610283883147609</v>
      </c>
      <c r="Q122" s="41">
        <v>4312.4399999999996</v>
      </c>
      <c r="R122" s="41">
        <v>4344.12</v>
      </c>
      <c r="S122" s="38">
        <v>824</v>
      </c>
      <c r="T122" s="38">
        <v>531415.38</v>
      </c>
      <c r="U122" s="38">
        <v>531485.23</v>
      </c>
    </row>
    <row r="123" spans="1:21" ht="15.75">
      <c r="A123" s="29">
        <v>101</v>
      </c>
      <c r="B123" s="30" t="s">
        <v>181</v>
      </c>
      <c r="C123" s="40" t="s">
        <v>72</v>
      </c>
      <c r="D123" s="33">
        <v>222395322.06999999</v>
      </c>
      <c r="E123" s="33">
        <v>2216086.6</v>
      </c>
      <c r="F123" s="41">
        <v>667833.56999999995</v>
      </c>
      <c r="G123" s="32">
        <v>9641699.5199999996</v>
      </c>
      <c r="H123" s="41">
        <v>319616279.50999999</v>
      </c>
      <c r="I123" s="77">
        <f t="shared" si="45"/>
        <v>1.0557171068092159E-2</v>
      </c>
      <c r="J123" s="41">
        <v>331105706.62</v>
      </c>
      <c r="K123" s="77">
        <f t="shared" si="46"/>
        <v>1.0814961881611322E-2</v>
      </c>
      <c r="L123" s="77">
        <f t="shared" si="47"/>
        <v>3.5947565398152817E-2</v>
      </c>
      <c r="M123" s="34">
        <f t="shared" si="41"/>
        <v>2.0169799452186801E-3</v>
      </c>
      <c r="N123" s="47">
        <f t="shared" si="42"/>
        <v>2.9119702038435377E-2</v>
      </c>
      <c r="O123" s="48">
        <f t="shared" si="43"/>
        <v>135.4452667460807</v>
      </c>
      <c r="P123" s="48">
        <f t="shared" si="44"/>
        <v>3.9441258101622694</v>
      </c>
      <c r="Q123" s="41">
        <v>141.54</v>
      </c>
      <c r="R123" s="41">
        <v>142.58000000000001</v>
      </c>
      <c r="S123" s="38">
        <v>571</v>
      </c>
      <c r="T123" s="38">
        <v>2425525</v>
      </c>
      <c r="U123" s="38">
        <v>2444572</v>
      </c>
    </row>
    <row r="124" spans="1:21" ht="15.75">
      <c r="A124" s="29">
        <v>102</v>
      </c>
      <c r="B124" s="30" t="s">
        <v>182</v>
      </c>
      <c r="C124" s="40" t="s">
        <v>74</v>
      </c>
      <c r="D124" s="41">
        <v>3810010.4</v>
      </c>
      <c r="E124" s="41">
        <v>48625.77</v>
      </c>
      <c r="F124" s="41">
        <v>8413.9699999999993</v>
      </c>
      <c r="G124" s="32">
        <v>40238.800000000003</v>
      </c>
      <c r="H124" s="41">
        <v>3561409.94</v>
      </c>
      <c r="I124" s="77">
        <f t="shared" si="45"/>
        <v>1.1763610426172761E-4</v>
      </c>
      <c r="J124" s="41">
        <v>3561409.94</v>
      </c>
      <c r="K124" s="77">
        <f t="shared" si="46"/>
        <v>1.1632693721614377E-4</v>
      </c>
      <c r="L124" s="77">
        <f t="shared" si="47"/>
        <v>0</v>
      </c>
      <c r="M124" s="34">
        <f t="shared" si="41"/>
        <v>2.3625390341893635E-3</v>
      </c>
      <c r="N124" s="47">
        <f t="shared" si="42"/>
        <v>1.1298558907262442E-2</v>
      </c>
      <c r="O124" s="48">
        <f t="shared" si="43"/>
        <v>103.76463900705087</v>
      </c>
      <c r="P124" s="48">
        <f t="shared" si="44"/>
        <v>1.1723908863119865</v>
      </c>
      <c r="Q124" s="41">
        <v>97.94</v>
      </c>
      <c r="R124" s="41">
        <v>97.7</v>
      </c>
      <c r="S124" s="38">
        <v>87</v>
      </c>
      <c r="T124" s="38">
        <v>34322</v>
      </c>
      <c r="U124" s="38">
        <v>34322</v>
      </c>
    </row>
    <row r="125" spans="1:21" ht="15.75">
      <c r="A125" s="29">
        <v>103</v>
      </c>
      <c r="B125" s="30" t="s">
        <v>183</v>
      </c>
      <c r="C125" s="40" t="s">
        <v>76</v>
      </c>
      <c r="D125" s="33">
        <v>114523173.64</v>
      </c>
      <c r="E125" s="33">
        <v>796362.2</v>
      </c>
      <c r="F125" s="41">
        <v>361335.68</v>
      </c>
      <c r="G125" s="32">
        <v>1255798.51</v>
      </c>
      <c r="H125" s="41">
        <v>122540591.34</v>
      </c>
      <c r="I125" s="77">
        <f t="shared" si="45"/>
        <v>4.0476098011805956E-3</v>
      </c>
      <c r="J125" s="41">
        <v>123796224.59</v>
      </c>
      <c r="K125" s="77">
        <f t="shared" si="46"/>
        <v>4.0435770911215474E-3</v>
      </c>
      <c r="L125" s="77">
        <f t="shared" si="47"/>
        <v>1.0246672031442475E-2</v>
      </c>
      <c r="M125" s="34">
        <f t="shared" si="41"/>
        <v>2.9187940197425693E-3</v>
      </c>
      <c r="N125" s="47">
        <f t="shared" si="42"/>
        <v>1.0144077609467266E-2</v>
      </c>
      <c r="O125" s="48">
        <f t="shared" si="43"/>
        <v>1.2135463974536886</v>
      </c>
      <c r="P125" s="48">
        <f t="shared" si="44"/>
        <v>1.2310308838459627E-2</v>
      </c>
      <c r="Q125" s="41">
        <v>1.1646000000000001</v>
      </c>
      <c r="R125" s="41">
        <v>1.1758999999999999</v>
      </c>
      <c r="S125" s="38">
        <v>208</v>
      </c>
      <c r="T125" s="38">
        <v>102016539.08</v>
      </c>
      <c r="U125" s="38">
        <v>102011941.90000001</v>
      </c>
    </row>
    <row r="126" spans="1:21" ht="15.75">
      <c r="A126" s="29">
        <v>104</v>
      </c>
      <c r="B126" s="44" t="s">
        <v>184</v>
      </c>
      <c r="C126" s="45" t="s">
        <v>185</v>
      </c>
      <c r="D126" s="33">
        <v>20797595.699999999</v>
      </c>
      <c r="E126" s="33">
        <v>1556726.61</v>
      </c>
      <c r="F126" s="41">
        <v>365406.67</v>
      </c>
      <c r="G126" s="32">
        <v>1191319.94</v>
      </c>
      <c r="H126" s="41">
        <v>163247895.56</v>
      </c>
      <c r="I126" s="77">
        <f t="shared" si="45"/>
        <v>5.3922033088400316E-3</v>
      </c>
      <c r="J126" s="41">
        <v>164971063.40000001</v>
      </c>
      <c r="K126" s="77">
        <f t="shared" si="46"/>
        <v>5.3884778382497231E-3</v>
      </c>
      <c r="L126" s="77">
        <f t="shared" si="47"/>
        <v>1.0555528658356713E-2</v>
      </c>
      <c r="M126" s="34">
        <f t="shared" si="41"/>
        <v>2.2149743262187154E-3</v>
      </c>
      <c r="N126" s="47">
        <f t="shared" si="42"/>
        <v>7.221387287244703E-3</v>
      </c>
      <c r="O126" s="48">
        <f t="shared" si="43"/>
        <v>104.3491257488363</v>
      </c>
      <c r="P126" s="48">
        <f t="shared" si="44"/>
        <v>0.75354545011774543</v>
      </c>
      <c r="Q126" s="41">
        <v>100</v>
      </c>
      <c r="R126" s="41">
        <v>104.39</v>
      </c>
      <c r="S126" s="38">
        <v>56</v>
      </c>
      <c r="T126" s="38">
        <v>1580953</v>
      </c>
      <c r="U126" s="38">
        <v>1580953</v>
      </c>
    </row>
    <row r="127" spans="1:21" ht="15.75">
      <c r="A127" s="29">
        <v>105</v>
      </c>
      <c r="B127" s="30" t="s">
        <v>186</v>
      </c>
      <c r="C127" s="40" t="s">
        <v>81</v>
      </c>
      <c r="D127" s="33">
        <v>184681268.56</v>
      </c>
      <c r="E127" s="33">
        <v>970616.96</v>
      </c>
      <c r="F127" s="41">
        <v>435273.16</v>
      </c>
      <c r="G127" s="32">
        <v>535343.80000000005</v>
      </c>
      <c r="H127" s="41">
        <v>216475350.62</v>
      </c>
      <c r="I127" s="77">
        <f t="shared" si="45"/>
        <v>7.1503470099340376E-3</v>
      </c>
      <c r="J127" s="41">
        <v>224428197.75999999</v>
      </c>
      <c r="K127" s="77">
        <f t="shared" si="46"/>
        <v>7.3305363073030054E-3</v>
      </c>
      <c r="L127" s="77">
        <f t="shared" si="47"/>
        <v>3.6737887788251621E-2</v>
      </c>
      <c r="M127" s="34">
        <f t="shared" si="41"/>
        <v>1.9394762527366292E-3</v>
      </c>
      <c r="N127" s="47">
        <f t="shared" si="42"/>
        <v>2.3853678162691853E-3</v>
      </c>
      <c r="O127" s="48">
        <f t="shared" si="43"/>
        <v>1.1183175385790876</v>
      </c>
      <c r="P127" s="48">
        <f t="shared" si="44"/>
        <v>2.6675986648959284E-3</v>
      </c>
      <c r="Q127" s="41">
        <v>1.1200000000000001</v>
      </c>
      <c r="R127" s="41">
        <v>1.1200000000000001</v>
      </c>
      <c r="S127" s="38">
        <v>75</v>
      </c>
      <c r="T127" s="38">
        <v>200384186.78999999</v>
      </c>
      <c r="U127" s="38">
        <v>200683786.15000001</v>
      </c>
    </row>
    <row r="128" spans="1:21" ht="15.75">
      <c r="A128" s="29">
        <v>106</v>
      </c>
      <c r="B128" s="40" t="s">
        <v>187</v>
      </c>
      <c r="C128" s="40" t="s">
        <v>85</v>
      </c>
      <c r="D128" s="33">
        <v>5043379827.4899998</v>
      </c>
      <c r="E128" s="33">
        <v>26107066.32</v>
      </c>
      <c r="F128" s="41">
        <v>8552715.6999999993</v>
      </c>
      <c r="G128" s="32">
        <v>155913759.30000001</v>
      </c>
      <c r="H128" s="41">
        <v>4888654200.6400003</v>
      </c>
      <c r="I128" s="77">
        <f t="shared" si="45"/>
        <v>0.16147600105985543</v>
      </c>
      <c r="J128" s="41">
        <v>5043379827.4899998</v>
      </c>
      <c r="K128" s="77">
        <f t="shared" si="46"/>
        <v>0.16473277113097384</v>
      </c>
      <c r="L128" s="77">
        <f t="shared" si="47"/>
        <v>3.1649943010848149E-2</v>
      </c>
      <c r="M128" s="34">
        <f t="shared" si="41"/>
        <v>1.6958301759033949E-3</v>
      </c>
      <c r="N128" s="47">
        <f t="shared" si="42"/>
        <v>3.0914538391528506E-2</v>
      </c>
      <c r="O128" s="48">
        <f t="shared" si="43"/>
        <v>206.49498451241911</v>
      </c>
      <c r="P128" s="48">
        <f t="shared" si="44"/>
        <v>6.3836971263672648</v>
      </c>
      <c r="Q128" s="41">
        <v>206.49</v>
      </c>
      <c r="R128" s="41">
        <v>207.94</v>
      </c>
      <c r="S128" s="38">
        <v>5452</v>
      </c>
      <c r="T128" s="38">
        <v>24485024.84</v>
      </c>
      <c r="U128" s="38">
        <v>24423740.07</v>
      </c>
    </row>
    <row r="129" spans="1:21" ht="15.75">
      <c r="A129" s="29">
        <v>107</v>
      </c>
      <c r="B129" s="67" t="s">
        <v>188</v>
      </c>
      <c r="C129" s="30" t="s">
        <v>87</v>
      </c>
      <c r="D129" s="33">
        <v>1957095135.22</v>
      </c>
      <c r="E129" s="33">
        <v>15470626.09</v>
      </c>
      <c r="F129" s="41">
        <v>6472628.9900000002</v>
      </c>
      <c r="G129" s="32">
        <v>8997997.0999999996</v>
      </c>
      <c r="H129" s="41">
        <v>1863430445.3499999</v>
      </c>
      <c r="I129" s="77">
        <f t="shared" si="45"/>
        <v>6.1550538086516962E-2</v>
      </c>
      <c r="J129" s="41">
        <v>1912032107.2602</v>
      </c>
      <c r="K129" s="77">
        <f t="shared" si="46"/>
        <v>6.2453029177682473E-2</v>
      </c>
      <c r="L129" s="77">
        <f t="shared" si="47"/>
        <v>2.6081822389175082E-2</v>
      </c>
      <c r="M129" s="34">
        <f t="shared" si="41"/>
        <v>3.3852093620304301E-3</v>
      </c>
      <c r="N129" s="47">
        <f t="shared" si="42"/>
        <v>4.7059864035931178E-3</v>
      </c>
      <c r="O129" s="48">
        <f t="shared" si="43"/>
        <v>1.3271951693429529</v>
      </c>
      <c r="P129" s="48">
        <f t="shared" si="44"/>
        <v>6.2457624218424015E-3</v>
      </c>
      <c r="Q129" s="41">
        <v>1.3140000000000001</v>
      </c>
      <c r="R129" s="41">
        <v>1.3383</v>
      </c>
      <c r="S129" s="38">
        <v>10322</v>
      </c>
      <c r="T129" s="38">
        <v>1440015590.04</v>
      </c>
      <c r="U129" s="38">
        <v>1440656319</v>
      </c>
    </row>
    <row r="130" spans="1:21" ht="15.75">
      <c r="A130" s="29">
        <v>108</v>
      </c>
      <c r="B130" s="40" t="s">
        <v>189</v>
      </c>
      <c r="C130" s="40" t="s">
        <v>129</v>
      </c>
      <c r="D130" s="33">
        <v>166464540.06</v>
      </c>
      <c r="E130" s="33">
        <v>1071215.78</v>
      </c>
      <c r="F130" s="41">
        <v>294287.18</v>
      </c>
      <c r="G130" s="32">
        <v>776928.6</v>
      </c>
      <c r="H130" s="41">
        <v>157503514.36000001</v>
      </c>
      <c r="I130" s="77">
        <f t="shared" si="45"/>
        <v>5.2024619880859527E-3</v>
      </c>
      <c r="J130" s="41">
        <v>160018129.28</v>
      </c>
      <c r="K130" s="77">
        <f t="shared" si="46"/>
        <v>5.2266993106104874E-3</v>
      </c>
      <c r="L130" s="77">
        <f t="shared" si="47"/>
        <v>1.5965452772389723E-2</v>
      </c>
      <c r="M130" s="34">
        <f t="shared" si="41"/>
        <v>1.8390864917877884E-3</v>
      </c>
      <c r="N130" s="47">
        <f t="shared" si="42"/>
        <v>4.8552536109238535E-3</v>
      </c>
      <c r="O130" s="48">
        <f t="shared" si="43"/>
        <v>147.05684890726488</v>
      </c>
      <c r="P130" s="48">
        <f t="shared" si="44"/>
        <v>0.71399829666808134</v>
      </c>
      <c r="Q130" s="41">
        <v>147.05680000000001</v>
      </c>
      <c r="R130" s="41">
        <v>152.9811</v>
      </c>
      <c r="S130" s="38">
        <v>133</v>
      </c>
      <c r="T130" s="38">
        <v>1087146.54</v>
      </c>
      <c r="U130" s="38">
        <v>1088137.8899999999</v>
      </c>
    </row>
    <row r="131" spans="1:21" ht="15.75">
      <c r="A131" s="29">
        <v>109</v>
      </c>
      <c r="B131" s="30" t="s">
        <v>190</v>
      </c>
      <c r="C131" s="40" t="s">
        <v>39</v>
      </c>
      <c r="D131" s="41">
        <v>1193216453.8699999</v>
      </c>
      <c r="E131" s="33">
        <v>33328778.41</v>
      </c>
      <c r="F131" s="41">
        <v>2122458.84</v>
      </c>
      <c r="G131" s="32">
        <v>31206319.57</v>
      </c>
      <c r="H131" s="41">
        <v>1150919977.1600001</v>
      </c>
      <c r="I131" s="77">
        <f t="shared" si="45"/>
        <v>3.8015770358101185E-2</v>
      </c>
      <c r="J131" s="41">
        <v>1178259471.76</v>
      </c>
      <c r="K131" s="77">
        <f t="shared" si="46"/>
        <v>3.8485689068344729E-2</v>
      </c>
      <c r="L131" s="77">
        <f t="shared" si="47"/>
        <v>2.375447046063324E-2</v>
      </c>
      <c r="M131" s="34">
        <f t="shared" si="41"/>
        <v>1.8013509679914749E-3</v>
      </c>
      <c r="N131" s="47">
        <f t="shared" si="42"/>
        <v>2.6485099689787534E-2</v>
      </c>
      <c r="O131" s="48">
        <f t="shared" si="43"/>
        <v>1579.5421566592936</v>
      </c>
      <c r="P131" s="48">
        <f t="shared" si="44"/>
        <v>41.834331483343391</v>
      </c>
      <c r="Q131" s="41">
        <v>552.20000000000005</v>
      </c>
      <c r="R131" s="41">
        <v>552.20000000000005</v>
      </c>
      <c r="S131" s="38">
        <v>830</v>
      </c>
      <c r="T131" s="38">
        <v>745950</v>
      </c>
      <c r="U131" s="38">
        <v>745950</v>
      </c>
    </row>
    <row r="132" spans="1:21" ht="15.75">
      <c r="A132" s="29">
        <v>110</v>
      </c>
      <c r="B132" s="30" t="s">
        <v>191</v>
      </c>
      <c r="C132" s="40" t="s">
        <v>89</v>
      </c>
      <c r="D132" s="41">
        <v>41837276.399999999</v>
      </c>
      <c r="E132" s="33">
        <v>1081126.76</v>
      </c>
      <c r="F132" s="41">
        <v>281020.84999999998</v>
      </c>
      <c r="G132" s="32">
        <v>800105.91</v>
      </c>
      <c r="H132" s="41">
        <v>164684317.59</v>
      </c>
      <c r="I132" s="77">
        <f t="shared" si="45"/>
        <v>5.4396494311712684E-3</v>
      </c>
      <c r="J132" s="41">
        <v>169525183.03999999</v>
      </c>
      <c r="K132" s="77">
        <f t="shared" si="46"/>
        <v>5.5372298208527385E-3</v>
      </c>
      <c r="L132" s="77">
        <f t="shared" si="47"/>
        <v>2.9394817435208755E-2</v>
      </c>
      <c r="M132" s="34">
        <f t="shared" si="41"/>
        <v>1.6576938302652782E-3</v>
      </c>
      <c r="N132" s="47">
        <f t="shared" si="42"/>
        <v>4.7196876337317539E-3</v>
      </c>
      <c r="O132" s="48">
        <f t="shared" si="43"/>
        <v>162.1632938268487</v>
      </c>
      <c r="P132" s="48">
        <f t="shared" si="44"/>
        <v>0.76536009251978676</v>
      </c>
      <c r="Q132" s="41">
        <v>110.74</v>
      </c>
      <c r="R132" s="41">
        <v>114.44</v>
      </c>
      <c r="S132" s="38">
        <v>38</v>
      </c>
      <c r="T132" s="38">
        <v>1045398</v>
      </c>
      <c r="U132" s="38">
        <v>1045398</v>
      </c>
    </row>
    <row r="133" spans="1:21" ht="15.75">
      <c r="A133" s="29">
        <v>111</v>
      </c>
      <c r="B133" s="30" t="s">
        <v>192</v>
      </c>
      <c r="C133" s="40" t="s">
        <v>95</v>
      </c>
      <c r="D133" s="33">
        <f>6434402.07+20959.43+8068861.95+4505972.7</f>
        <v>19030196.149999999</v>
      </c>
      <c r="E133" s="33">
        <v>72468.37</v>
      </c>
      <c r="F133" s="41">
        <v>8555.89</v>
      </c>
      <c r="G133" s="32">
        <v>526842.48</v>
      </c>
      <c r="H133" s="41">
        <v>19277034.41</v>
      </c>
      <c r="I133" s="77">
        <f t="shared" si="45"/>
        <v>6.3673524472492233E-4</v>
      </c>
      <c r="J133" s="41">
        <v>19833305.420000002</v>
      </c>
      <c r="K133" s="77">
        <f t="shared" si="46"/>
        <v>6.4781862050425582E-4</v>
      </c>
      <c r="L133" s="77">
        <f t="shared" si="47"/>
        <v>2.8856669452819721E-2</v>
      </c>
      <c r="M133" s="34">
        <f t="shared" si="41"/>
        <v>4.3139001890084332E-4</v>
      </c>
      <c r="N133" s="47">
        <f t="shared" si="42"/>
        <v>2.6563523771924041E-2</v>
      </c>
      <c r="O133" s="48">
        <f t="shared" si="43"/>
        <v>1.2426788765322123</v>
      </c>
      <c r="P133" s="48">
        <f t="shared" si="44"/>
        <v>3.3009929877631287E-2</v>
      </c>
      <c r="Q133" s="41">
        <v>1.2426999999999999</v>
      </c>
      <c r="R133" s="41">
        <v>1.2426999999999999</v>
      </c>
      <c r="S133" s="38">
        <v>9</v>
      </c>
      <c r="T133" s="38">
        <v>15925121.15</v>
      </c>
      <c r="U133" s="38">
        <v>15960121.15</v>
      </c>
    </row>
    <row r="134" spans="1:21" ht="15.75">
      <c r="A134" s="29">
        <v>112</v>
      </c>
      <c r="B134" s="40" t="s">
        <v>193</v>
      </c>
      <c r="C134" s="40" t="s">
        <v>47</v>
      </c>
      <c r="D134" s="33">
        <v>158519766.72999999</v>
      </c>
      <c r="E134" s="33">
        <v>622332.18999999994</v>
      </c>
      <c r="F134" s="41">
        <v>291131.68</v>
      </c>
      <c r="G134" s="32">
        <v>331200.51</v>
      </c>
      <c r="H134" s="41">
        <v>159453204.33000001</v>
      </c>
      <c r="I134" s="77">
        <f t="shared" si="45"/>
        <v>5.2668617444894417E-3</v>
      </c>
      <c r="J134" s="41">
        <v>163266117.16</v>
      </c>
      <c r="K134" s="77">
        <f t="shared" si="46"/>
        <v>5.3327888898953577E-3</v>
      </c>
      <c r="L134" s="77">
        <f t="shared" si="47"/>
        <v>2.3912425253674319E-2</v>
      </c>
      <c r="M134" s="34">
        <f t="shared" si="41"/>
        <v>1.7831726819024696E-3</v>
      </c>
      <c r="N134" s="47">
        <f t="shared" si="42"/>
        <v>2.0285930465010395E-3</v>
      </c>
      <c r="O134" s="48">
        <f t="shared" si="43"/>
        <v>1.6582634660706268</v>
      </c>
      <c r="P134" s="48">
        <f t="shared" si="44"/>
        <v>3.3639417365375858E-3</v>
      </c>
      <c r="Q134" s="41">
        <v>1.62</v>
      </c>
      <c r="R134" s="41">
        <v>1.66</v>
      </c>
      <c r="S134" s="38">
        <v>97</v>
      </c>
      <c r="T134" s="38">
        <v>98452426</v>
      </c>
      <c r="U134" s="38">
        <v>98456078</v>
      </c>
    </row>
    <row r="135" spans="1:21" ht="15.75">
      <c r="A135" s="29">
        <v>113</v>
      </c>
      <c r="B135" s="30" t="s">
        <v>194</v>
      </c>
      <c r="C135" s="30" t="s">
        <v>51</v>
      </c>
      <c r="D135" s="33">
        <v>1366854904.6700001</v>
      </c>
      <c r="E135" s="33">
        <v>10421969.359999999</v>
      </c>
      <c r="F135" s="41">
        <v>2639506.5</v>
      </c>
      <c r="G135" s="32">
        <v>43325079.509999998</v>
      </c>
      <c r="H135" s="41">
        <v>1537919657.25</v>
      </c>
      <c r="I135" s="77">
        <f t="shared" si="45"/>
        <v>5.0798666874732591E-2</v>
      </c>
      <c r="J135" s="41">
        <v>1552381082.1099999</v>
      </c>
      <c r="K135" s="77">
        <f t="shared" si="46"/>
        <v>5.0705686712981798E-2</v>
      </c>
      <c r="L135" s="77">
        <f t="shared" si="47"/>
        <v>9.4032381937680671E-3</v>
      </c>
      <c r="M135" s="34">
        <f t="shared" si="41"/>
        <v>1.7002954560695733E-3</v>
      </c>
      <c r="N135" s="47">
        <f t="shared" si="42"/>
        <v>2.790879121711046E-2</v>
      </c>
      <c r="O135" s="48">
        <f t="shared" si="43"/>
        <v>3768.4307545323431</v>
      </c>
      <c r="P135" s="48">
        <f t="shared" si="44"/>
        <v>105.17234714438119</v>
      </c>
      <c r="Q135" s="41">
        <v>3752.31</v>
      </c>
      <c r="R135" s="41">
        <v>3783.82</v>
      </c>
      <c r="S135" s="38">
        <v>1445</v>
      </c>
      <c r="T135" s="38">
        <v>419585.34</v>
      </c>
      <c r="U135" s="38">
        <v>411943.64</v>
      </c>
    </row>
    <row r="136" spans="1:21" ht="15.75">
      <c r="A136" s="29">
        <v>114</v>
      </c>
      <c r="B136" s="44" t="s">
        <v>195</v>
      </c>
      <c r="C136" s="45" t="s">
        <v>54</v>
      </c>
      <c r="D136" s="33">
        <v>54034272.810000002</v>
      </c>
      <c r="E136" s="33">
        <v>587388.02</v>
      </c>
      <c r="F136" s="41">
        <v>52149.919999999998</v>
      </c>
      <c r="G136" s="32">
        <v>535238.1</v>
      </c>
      <c r="H136" s="41">
        <v>55469485.829999998</v>
      </c>
      <c r="I136" s="77">
        <f t="shared" si="45"/>
        <v>1.8321996985391415E-3</v>
      </c>
      <c r="J136" s="41">
        <v>53570756.509999998</v>
      </c>
      <c r="K136" s="77">
        <f t="shared" si="46"/>
        <v>1.7497907104622994E-3</v>
      </c>
      <c r="L136" s="77">
        <f t="shared" si="47"/>
        <v>-3.4230159007046276E-2</v>
      </c>
      <c r="M136" s="34">
        <f t="shared" si="41"/>
        <v>9.7347738574991426E-4</v>
      </c>
      <c r="N136" s="47">
        <f t="shared" si="42"/>
        <v>9.9912365415277954E-3</v>
      </c>
      <c r="O136" s="48">
        <f t="shared" si="43"/>
        <v>99.665068165981211</v>
      </c>
      <c r="P136" s="48">
        <f t="shared" si="44"/>
        <v>0.99577727097380997</v>
      </c>
      <c r="Q136" s="41">
        <v>105.4178</v>
      </c>
      <c r="R136" s="41">
        <v>105.7171</v>
      </c>
      <c r="S136" s="38">
        <v>16</v>
      </c>
      <c r="T136" s="38">
        <v>537507.85</v>
      </c>
      <c r="U136" s="38">
        <v>537507.85</v>
      </c>
    </row>
    <row r="137" spans="1:21" ht="15.75">
      <c r="A137" s="29">
        <v>115</v>
      </c>
      <c r="B137" s="30" t="s">
        <v>196</v>
      </c>
      <c r="C137" s="30" t="s">
        <v>56</v>
      </c>
      <c r="D137" s="33">
        <v>967783927</v>
      </c>
      <c r="E137" s="33">
        <v>23034175</v>
      </c>
      <c r="F137" s="33">
        <v>2156619</v>
      </c>
      <c r="G137" s="32">
        <v>58733489</v>
      </c>
      <c r="H137" s="41">
        <v>1141673534.23</v>
      </c>
      <c r="I137" s="77">
        <f t="shared" si="45"/>
        <v>3.7710353250020784E-2</v>
      </c>
      <c r="J137" s="41">
        <v>1174491811.55</v>
      </c>
      <c r="K137" s="77">
        <f t="shared" si="46"/>
        <v>3.8362625343560372E-2</v>
      </c>
      <c r="L137" s="77">
        <f t="shared" si="47"/>
        <v>2.8745763421882394E-2</v>
      </c>
      <c r="M137" s="34">
        <f t="shared" si="41"/>
        <v>1.8362145898266141E-3</v>
      </c>
      <c r="N137" s="47">
        <f t="shared" si="42"/>
        <v>5.0007576402332055E-2</v>
      </c>
      <c r="O137" s="48">
        <f t="shared" si="43"/>
        <v>1.4998876992600014</v>
      </c>
      <c r="P137" s="48">
        <f t="shared" si="44"/>
        <v>7.5005748715662554E-2</v>
      </c>
      <c r="Q137" s="41">
        <v>1.5</v>
      </c>
      <c r="R137" s="41">
        <v>1.53</v>
      </c>
      <c r="S137" s="38">
        <v>1323</v>
      </c>
      <c r="T137" s="38">
        <v>782745142</v>
      </c>
      <c r="U137" s="38">
        <v>783053166</v>
      </c>
    </row>
    <row r="138" spans="1:21" ht="15.75">
      <c r="A138" s="29">
        <v>116</v>
      </c>
      <c r="B138" s="61" t="s">
        <v>197</v>
      </c>
      <c r="C138" s="30" t="s">
        <v>102</v>
      </c>
      <c r="D138" s="33">
        <v>4320935895.8500004</v>
      </c>
      <c r="E138" s="33">
        <v>15840810.59</v>
      </c>
      <c r="F138" s="41">
        <v>6873083.21</v>
      </c>
      <c r="G138" s="32">
        <v>206666146.87</v>
      </c>
      <c r="H138" s="41">
        <v>4627239313.7799997</v>
      </c>
      <c r="I138" s="77">
        <f t="shared" si="45"/>
        <v>0.15284126666973613</v>
      </c>
      <c r="J138" s="41">
        <v>4352503572.6300001</v>
      </c>
      <c r="K138" s="77">
        <f t="shared" si="46"/>
        <v>0.14216656278169751</v>
      </c>
      <c r="L138" s="77">
        <f t="shared" si="47"/>
        <v>-5.9373575153511458E-2</v>
      </c>
      <c r="M138" s="34">
        <f t="shared" si="41"/>
        <v>1.5791102971678757E-3</v>
      </c>
      <c r="N138" s="47">
        <f t="shared" si="42"/>
        <v>4.7482131472467007E-2</v>
      </c>
      <c r="O138" s="48">
        <f t="shared" si="43"/>
        <v>195.02224652584005</v>
      </c>
      <c r="P138" s="48">
        <f t="shared" si="44"/>
        <v>9.2600719495958081</v>
      </c>
      <c r="Q138" s="41">
        <v>192.24100000000001</v>
      </c>
      <c r="R138" s="41">
        <v>196.81020000000001</v>
      </c>
      <c r="S138" s="38">
        <v>27</v>
      </c>
      <c r="T138" s="38">
        <v>24797761</v>
      </c>
      <c r="U138" s="38">
        <v>22317985</v>
      </c>
    </row>
    <row r="139" spans="1:21" ht="15.75">
      <c r="A139" s="29">
        <v>117</v>
      </c>
      <c r="B139" s="30" t="s">
        <v>198</v>
      </c>
      <c r="C139" s="40" t="s">
        <v>58</v>
      </c>
      <c r="D139" s="33">
        <v>2160836989.4299998</v>
      </c>
      <c r="E139" s="33">
        <v>13714638.84</v>
      </c>
      <c r="F139" s="41">
        <v>5113743.16</v>
      </c>
      <c r="G139" s="32">
        <v>32186503.73</v>
      </c>
      <c r="H139" s="41">
        <v>2092185292.1600001</v>
      </c>
      <c r="I139" s="77">
        <f t="shared" si="45"/>
        <v>6.9106486282055693E-2</v>
      </c>
      <c r="J139" s="41">
        <v>2134409623.76</v>
      </c>
      <c r="K139" s="77">
        <f t="shared" si="46"/>
        <v>6.9716583734997548E-2</v>
      </c>
      <c r="L139" s="77">
        <f t="shared" si="47"/>
        <v>2.0181927364763635E-2</v>
      </c>
      <c r="M139" s="34">
        <f t="shared" si="41"/>
        <v>2.3958583690189576E-3</v>
      </c>
      <c r="N139" s="47">
        <f t="shared" si="42"/>
        <v>1.5079815688471219E-2</v>
      </c>
      <c r="O139" s="48">
        <f t="shared" si="43"/>
        <v>2.7181517719209314</v>
      </c>
      <c r="P139" s="48">
        <f t="shared" si="44"/>
        <v>4.0989227733859102E-2</v>
      </c>
      <c r="Q139" s="41">
        <v>3.14</v>
      </c>
      <c r="R139" s="41">
        <v>3.19</v>
      </c>
      <c r="S139" s="38">
        <v>2126</v>
      </c>
      <c r="T139" s="38">
        <v>782758493.66999996</v>
      </c>
      <c r="U139" s="38">
        <v>785242989.66999996</v>
      </c>
    </row>
    <row r="140" spans="1:21" ht="15.75">
      <c r="A140" s="29">
        <v>118</v>
      </c>
      <c r="B140" s="30" t="s">
        <v>199</v>
      </c>
      <c r="C140" s="30" t="s">
        <v>56</v>
      </c>
      <c r="D140" s="33">
        <v>233623920</v>
      </c>
      <c r="E140" s="33">
        <v>30826084.399999999</v>
      </c>
      <c r="F140" s="41">
        <v>1234018</v>
      </c>
      <c r="G140" s="32">
        <v>14734481</v>
      </c>
      <c r="H140" s="41">
        <v>645841947</v>
      </c>
      <c r="I140" s="77">
        <f t="shared" si="45"/>
        <v>2.1332655294910855E-2</v>
      </c>
      <c r="J140" s="41">
        <v>672459780</v>
      </c>
      <c r="K140" s="77">
        <f t="shared" si="46"/>
        <v>2.1964667905779434E-2</v>
      </c>
      <c r="L140" s="77">
        <f t="shared" si="47"/>
        <v>4.1214159476079988E-2</v>
      </c>
      <c r="M140" s="34">
        <f t="shared" si="41"/>
        <v>1.8350807538259017E-3</v>
      </c>
      <c r="N140" s="47">
        <f t="shared" si="42"/>
        <v>2.1911319365449634E-2</v>
      </c>
      <c r="O140" s="48">
        <f t="shared" si="43"/>
        <v>1.2118988428933986</v>
      </c>
      <c r="P140" s="48">
        <f t="shared" si="44"/>
        <v>2.6554302585256127E-2</v>
      </c>
      <c r="Q140" s="41">
        <v>1.21</v>
      </c>
      <c r="R140" s="41">
        <v>1.22</v>
      </c>
      <c r="S140" s="38">
        <v>97</v>
      </c>
      <c r="T140" s="38">
        <v>553744046</v>
      </c>
      <c r="U140" s="38">
        <v>554881114</v>
      </c>
    </row>
    <row r="141" spans="1:21" ht="15.75">
      <c r="A141" s="29">
        <v>119</v>
      </c>
      <c r="B141" s="30" t="s">
        <v>200</v>
      </c>
      <c r="C141" s="30" t="s">
        <v>49</v>
      </c>
      <c r="D141" s="33">
        <v>201119576.22</v>
      </c>
      <c r="E141" s="33">
        <v>716829.26</v>
      </c>
      <c r="F141" s="41">
        <v>397624.92</v>
      </c>
      <c r="G141" s="32">
        <v>319204.34000000003</v>
      </c>
      <c r="H141" s="41">
        <v>193975881.11000001</v>
      </c>
      <c r="I141" s="77">
        <f t="shared" si="45"/>
        <v>6.4071722601292116E-3</v>
      </c>
      <c r="J141" s="41">
        <v>198936647.28999999</v>
      </c>
      <c r="K141" s="77">
        <f t="shared" si="46"/>
        <v>6.4979014685666789E-3</v>
      </c>
      <c r="L141" s="77">
        <f t="shared" si="47"/>
        <v>2.5574139174482324E-2</v>
      </c>
      <c r="M141" s="34">
        <f t="shared" si="41"/>
        <v>1.9987514890625561E-3</v>
      </c>
      <c r="N141" s="47">
        <f t="shared" si="42"/>
        <v>1.604552727455388E-3</v>
      </c>
      <c r="O141" s="48">
        <f t="shared" si="43"/>
        <v>153.7473327278654</v>
      </c>
      <c r="P141" s="48">
        <f t="shared" si="44"/>
        <v>0.24669570206748745</v>
      </c>
      <c r="Q141" s="41">
        <v>152.31</v>
      </c>
      <c r="R141" s="41">
        <v>154.19</v>
      </c>
      <c r="S141" s="38">
        <v>728</v>
      </c>
      <c r="T141" s="38">
        <v>1292501.8</v>
      </c>
      <c r="U141" s="38">
        <v>1293919.3400000001</v>
      </c>
    </row>
    <row r="142" spans="1:21" ht="15.75">
      <c r="A142" s="29">
        <v>120</v>
      </c>
      <c r="B142" s="30" t="s">
        <v>201</v>
      </c>
      <c r="C142" s="30" t="s">
        <v>106</v>
      </c>
      <c r="D142" s="41">
        <v>2575542401.9000001</v>
      </c>
      <c r="E142" s="41">
        <v>14699549.34</v>
      </c>
      <c r="F142" s="41">
        <v>18505834.449999999</v>
      </c>
      <c r="G142" s="32">
        <v>52445370.189999998</v>
      </c>
      <c r="H142" s="41">
        <v>2532719550.0100002</v>
      </c>
      <c r="I142" s="77">
        <f t="shared" si="45"/>
        <v>8.3657670998327202E-2</v>
      </c>
      <c r="J142" s="41">
        <v>2593042097.2600002</v>
      </c>
      <c r="K142" s="77">
        <f t="shared" si="46"/>
        <v>8.4696974043595177E-2</v>
      </c>
      <c r="L142" s="77">
        <f t="shared" si="47"/>
        <v>2.3817302334070829E-2</v>
      </c>
      <c r="M142" s="34">
        <f t="shared" si="41"/>
        <v>7.1367273479881529E-3</v>
      </c>
      <c r="N142" s="47">
        <f t="shared" si="42"/>
        <v>2.022542181070552E-2</v>
      </c>
      <c r="O142" s="48">
        <f t="shared" si="43"/>
        <v>14.279537399878317</v>
      </c>
      <c r="P142" s="48">
        <f t="shared" si="44"/>
        <v>0.28880966717428413</v>
      </c>
      <c r="Q142" s="41">
        <v>14.2796</v>
      </c>
      <c r="R142" s="41">
        <v>14.4123</v>
      </c>
      <c r="S142" s="38">
        <v>6323</v>
      </c>
      <c r="T142" s="38">
        <v>181762222.63999999</v>
      </c>
      <c r="U142" s="38">
        <v>181591463.69</v>
      </c>
    </row>
    <row r="143" spans="1:21" ht="15.75">
      <c r="A143" s="92" t="s">
        <v>59</v>
      </c>
      <c r="B143" s="92"/>
      <c r="C143" s="92"/>
      <c r="D143" s="92"/>
      <c r="E143" s="92"/>
      <c r="F143" s="92"/>
      <c r="G143" s="92"/>
      <c r="H143" s="49">
        <f t="shared" ref="H143" si="48">SUM(H119:H142)</f>
        <v>30274803491.25</v>
      </c>
      <c r="I143" s="87">
        <f>(H143/$H$165)</f>
        <v>2.1382980486762508E-2</v>
      </c>
      <c r="J143" s="49">
        <f>SUM(J119:J142)</f>
        <v>30615522296.290199</v>
      </c>
      <c r="K143" s="87">
        <f>(J143/$J$165)</f>
        <v>2.0701767088335911E-2</v>
      </c>
      <c r="L143" s="88">
        <f>((J143-H143)/H143)</f>
        <v>1.1254203685869458E-2</v>
      </c>
      <c r="M143" s="53"/>
      <c r="N143" s="53"/>
      <c r="O143" s="48"/>
      <c r="P143" s="48"/>
      <c r="Q143" s="41"/>
      <c r="R143" s="41"/>
      <c r="S143" s="70">
        <f>SUM(S119:S142)</f>
        <v>47258</v>
      </c>
      <c r="T143" s="38"/>
      <c r="U143" s="68"/>
    </row>
    <row r="144" spans="1:21" ht="8.25" customHeight="1">
      <c r="A144" s="95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7"/>
    </row>
    <row r="145" spans="1:21">
      <c r="A145" s="93" t="s">
        <v>4</v>
      </c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</row>
    <row r="146" spans="1:21" ht="15.75">
      <c r="A146" s="29">
        <v>121</v>
      </c>
      <c r="B146" s="40" t="s">
        <v>202</v>
      </c>
      <c r="C146" s="40" t="s">
        <v>33</v>
      </c>
      <c r="D146" s="41">
        <v>418329909.32999998</v>
      </c>
      <c r="E146" s="41">
        <v>3522046.76</v>
      </c>
      <c r="F146" s="31">
        <v>263022.67</v>
      </c>
      <c r="G146" s="32">
        <v>9153246.1899999995</v>
      </c>
      <c r="H146" s="41">
        <v>590440920</v>
      </c>
      <c r="I146" s="77">
        <f>(H146/$H$149)</f>
        <v>0.1986309223371242</v>
      </c>
      <c r="J146" s="41">
        <v>592530614</v>
      </c>
      <c r="K146" s="77">
        <f>(J146/$J$149)</f>
        <v>0.19394848856061989</v>
      </c>
      <c r="L146" s="77">
        <f>((J146-H146)/H146)</f>
        <v>3.5392093081895474E-3</v>
      </c>
      <c r="M146" s="34">
        <f>(F146/J146)</f>
        <v>4.4389718233191574E-4</v>
      </c>
      <c r="N146" s="35">
        <f>G146/J146</f>
        <v>1.5447718605135228E-2</v>
      </c>
      <c r="O146" s="36">
        <f>J146/U146</f>
        <v>46.523899250379706</v>
      </c>
      <c r="P146" s="36">
        <f>G146/U146</f>
        <v>0.71868810403352745</v>
      </c>
      <c r="Q146" s="41">
        <v>46.2913</v>
      </c>
      <c r="R146" s="41">
        <v>47.686999999999998</v>
      </c>
      <c r="S146" s="38">
        <v>213</v>
      </c>
      <c r="T146" s="38">
        <v>12893230</v>
      </c>
      <c r="U146" s="38">
        <v>12736048</v>
      </c>
    </row>
    <row r="147" spans="1:21" ht="15.75">
      <c r="A147" s="29">
        <v>122</v>
      </c>
      <c r="B147" s="40" t="s">
        <v>203</v>
      </c>
      <c r="C147" s="30" t="s">
        <v>51</v>
      </c>
      <c r="D147" s="41">
        <v>1838765936.77</v>
      </c>
      <c r="E147" s="41">
        <v>8478525.6099999994</v>
      </c>
      <c r="F147" s="41">
        <v>6308570.5</v>
      </c>
      <c r="G147" s="32">
        <v>58966557.68</v>
      </c>
      <c r="H147" s="41">
        <v>1800051445.97</v>
      </c>
      <c r="I147" s="77">
        <f t="shared" ref="I147:I148" si="49">(H147/$H$149)</f>
        <v>0.60555741795012319</v>
      </c>
      <c r="J147" s="41">
        <v>1864309155.6500001</v>
      </c>
      <c r="K147" s="77">
        <f t="shared" ref="K147:K148" si="50">(J147/$J$149)</f>
        <v>0.6102299769916073</v>
      </c>
      <c r="L147" s="77">
        <f>((J147-H147)/H147)</f>
        <v>3.5697707320455657E-2</v>
      </c>
      <c r="M147" s="34">
        <f t="shared" ref="M147:M148" si="51">(F147/J147)</f>
        <v>3.3838649994724118E-3</v>
      </c>
      <c r="N147" s="35">
        <f t="shared" ref="N147:N148" si="52">G147/J147</f>
        <v>3.162917346690873E-2</v>
      </c>
      <c r="O147" s="36">
        <f t="shared" ref="O147:O148" si="53">J147/U147</f>
        <v>1.4884437586369137</v>
      </c>
      <c r="P147" s="36">
        <f t="shared" ref="P147:P148" si="54">G147/U147</f>
        <v>4.7078245837664567E-2</v>
      </c>
      <c r="Q147" s="41">
        <v>1.48</v>
      </c>
      <c r="R147" s="41">
        <v>1.5</v>
      </c>
      <c r="S147" s="38">
        <v>9293</v>
      </c>
      <c r="T147" s="38">
        <v>1251783603.5</v>
      </c>
      <c r="U147" s="38">
        <v>1252522404.5799999</v>
      </c>
    </row>
    <row r="148" spans="1:21" ht="15.75">
      <c r="A148" s="29">
        <v>123</v>
      </c>
      <c r="B148" s="40" t="s">
        <v>204</v>
      </c>
      <c r="C148" s="30" t="s">
        <v>106</v>
      </c>
      <c r="D148" s="41">
        <v>595495883.36000001</v>
      </c>
      <c r="E148" s="41">
        <v>3501689</v>
      </c>
      <c r="F148" s="31">
        <v>4468214.59</v>
      </c>
      <c r="G148" s="32">
        <v>14525553.210000001</v>
      </c>
      <c r="H148" s="41">
        <v>582060512.76999998</v>
      </c>
      <c r="I148" s="77">
        <f t="shared" si="49"/>
        <v>0.19581165971275258</v>
      </c>
      <c r="J148" s="41">
        <v>598252942.84000003</v>
      </c>
      <c r="K148" s="77">
        <f t="shared" si="50"/>
        <v>0.19582153444777273</v>
      </c>
      <c r="L148" s="77">
        <f>((J148-H148)/H148)</f>
        <v>2.7819152329954494E-2</v>
      </c>
      <c r="M148" s="34">
        <f t="shared" si="51"/>
        <v>7.468771601504688E-3</v>
      </c>
      <c r="N148" s="35">
        <f t="shared" si="52"/>
        <v>2.4279952792283701E-2</v>
      </c>
      <c r="O148" s="36">
        <f t="shared" si="53"/>
        <v>16.341711812188763</v>
      </c>
      <c r="P148" s="36">
        <f t="shared" si="54"/>
        <v>0.3967759913450481</v>
      </c>
      <c r="Q148" s="41">
        <v>16.341799999999999</v>
      </c>
      <c r="R148" s="41">
        <v>16.503</v>
      </c>
      <c r="S148" s="38">
        <v>1513</v>
      </c>
      <c r="T148" s="38">
        <v>36640200.049999997</v>
      </c>
      <c r="U148" s="38">
        <v>36608951.969999999</v>
      </c>
    </row>
    <row r="149" spans="1:21" ht="15.75">
      <c r="A149" s="92" t="s">
        <v>59</v>
      </c>
      <c r="B149" s="92"/>
      <c r="C149" s="92"/>
      <c r="D149" s="92"/>
      <c r="E149" s="92"/>
      <c r="F149" s="92"/>
      <c r="G149" s="92"/>
      <c r="H149" s="49">
        <f t="shared" ref="H149" si="55">SUM(H146:H148)</f>
        <v>2972552878.7400002</v>
      </c>
      <c r="I149" s="87">
        <f>(H149/$H$165)</f>
        <v>2.0995029817563573E-3</v>
      </c>
      <c r="J149" s="49">
        <f>SUM(J146:J148)</f>
        <v>3055092712.4900002</v>
      </c>
      <c r="K149" s="87">
        <f>(J149/$J$165)</f>
        <v>2.0658088780965895E-3</v>
      </c>
      <c r="L149" s="77">
        <f>((J149-H149)/H149)</f>
        <v>2.77673222704744E-2</v>
      </c>
      <c r="M149" s="56"/>
      <c r="N149" s="55"/>
      <c r="O149" s="36"/>
      <c r="P149" s="36"/>
      <c r="Q149" s="41"/>
      <c r="R149" s="41"/>
      <c r="S149" s="70">
        <f>SUM(S146:S148)</f>
        <v>11019</v>
      </c>
      <c r="T149" s="38"/>
      <c r="U149" s="68"/>
    </row>
    <row r="150" spans="1:21" ht="8.25" customHeight="1">
      <c r="A150" s="95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7"/>
    </row>
    <row r="151" spans="1:21">
      <c r="A151" s="93" t="s">
        <v>205</v>
      </c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</row>
    <row r="152" spans="1:21">
      <c r="A152" s="94" t="s">
        <v>206</v>
      </c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</row>
    <row r="153" spans="1:21" ht="15.75">
      <c r="A153" s="29">
        <v>124</v>
      </c>
      <c r="B153" s="40" t="s">
        <v>207</v>
      </c>
      <c r="C153" s="30" t="s">
        <v>132</v>
      </c>
      <c r="D153" s="69">
        <v>3179775309.3000002</v>
      </c>
      <c r="E153" s="33">
        <v>51386200.549999997</v>
      </c>
      <c r="F153" s="31">
        <v>1128281.0900000001</v>
      </c>
      <c r="G153" s="32">
        <v>80557075.769999996</v>
      </c>
      <c r="H153" s="33">
        <v>3552725286.5799999</v>
      </c>
      <c r="I153" s="77">
        <f>(H153/$H$164)</f>
        <v>0.15703494138095303</v>
      </c>
      <c r="J153" s="33">
        <v>3633918024.3699999</v>
      </c>
      <c r="K153" s="77">
        <f>(J153/$J$164)</f>
        <v>0.15820363320878353</v>
      </c>
      <c r="L153" s="77">
        <f>((J153-H153)/H153)</f>
        <v>2.2853649308798497E-2</v>
      </c>
      <c r="M153" s="34">
        <f>(F153/J153)</f>
        <v>3.1048611510591418E-4</v>
      </c>
      <c r="N153" s="35">
        <f>G153/J153</f>
        <v>2.2168104847099818E-2</v>
      </c>
      <c r="O153" s="36">
        <f>J153/U153</f>
        <v>1.7946474189448847</v>
      </c>
      <c r="P153" s="36">
        <f>G153/U153</f>
        <v>3.9783932146747282E-2</v>
      </c>
      <c r="Q153" s="33">
        <v>1.78</v>
      </c>
      <c r="R153" s="33">
        <v>1.81</v>
      </c>
      <c r="S153" s="52">
        <v>15281</v>
      </c>
      <c r="T153" s="52">
        <v>2022965204.3399999</v>
      </c>
      <c r="U153" s="38">
        <v>2024864597.9200001</v>
      </c>
    </row>
    <row r="154" spans="1:21" ht="15.75">
      <c r="A154" s="29">
        <v>125</v>
      </c>
      <c r="B154" s="30" t="s">
        <v>208</v>
      </c>
      <c r="C154" s="30" t="s">
        <v>51</v>
      </c>
      <c r="D154" s="41">
        <v>302759532.80000001</v>
      </c>
      <c r="E154" s="41">
        <v>791976.14</v>
      </c>
      <c r="F154" s="41">
        <v>745711.4</v>
      </c>
      <c r="G154" s="32">
        <v>10516767.74</v>
      </c>
      <c r="H154" s="41">
        <v>295564190.45999998</v>
      </c>
      <c r="I154" s="77">
        <f>(H154/$H$164)</f>
        <v>1.3064310234883057E-2</v>
      </c>
      <c r="J154" s="41">
        <v>307917886.47000003</v>
      </c>
      <c r="K154" s="77">
        <f>(J154/$J$164)</f>
        <v>1.3405290940201951E-2</v>
      </c>
      <c r="L154" s="77">
        <f>((J154-H154)/H154)</f>
        <v>4.1796998448199806E-2</v>
      </c>
      <c r="M154" s="34">
        <f>(F154/J154)</f>
        <v>2.4217865631285876E-3</v>
      </c>
      <c r="N154" s="35">
        <f>G154/J154</f>
        <v>3.4154455463971993E-2</v>
      </c>
      <c r="O154" s="36">
        <f>J154/U154</f>
        <v>274.12055209711008</v>
      </c>
      <c r="P154" s="36">
        <f>G154/U154</f>
        <v>9.3624381883601622</v>
      </c>
      <c r="Q154" s="41">
        <v>272.18</v>
      </c>
      <c r="R154" s="41">
        <v>275.45</v>
      </c>
      <c r="S154" s="38">
        <v>520</v>
      </c>
      <c r="T154" s="38">
        <v>1118797.54</v>
      </c>
      <c r="U154" s="38">
        <v>1123293.69</v>
      </c>
    </row>
    <row r="155" spans="1:21" ht="7.5" customHeight="1">
      <c r="A155" s="104"/>
      <c r="B155" s="105"/>
      <c r="C155" s="105"/>
      <c r="D155" s="105"/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6"/>
    </row>
    <row r="156" spans="1:21">
      <c r="A156" s="94" t="s">
        <v>160</v>
      </c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</row>
    <row r="157" spans="1:21" ht="15.75">
      <c r="A157" s="29">
        <v>126</v>
      </c>
      <c r="B157" s="40" t="s">
        <v>209</v>
      </c>
      <c r="C157" s="30" t="s">
        <v>210</v>
      </c>
      <c r="D157" s="32">
        <v>264321522</v>
      </c>
      <c r="E157" s="41">
        <v>2948757</v>
      </c>
      <c r="F157" s="41">
        <v>1215994</v>
      </c>
      <c r="G157" s="32">
        <v>1732763</v>
      </c>
      <c r="H157" s="41">
        <v>474770799.29000002</v>
      </c>
      <c r="I157" s="77">
        <f>(H157/$H$164)</f>
        <v>2.0985468512726934E-2</v>
      </c>
      <c r="J157" s="41">
        <v>488003214</v>
      </c>
      <c r="K157" s="77">
        <f>(J157/$J$164)</f>
        <v>2.1245355826580065E-2</v>
      </c>
      <c r="L157" s="77">
        <f>((J157-H157)/H157)</f>
        <v>2.7871163790588016E-2</v>
      </c>
      <c r="M157" s="34">
        <f t="shared" ref="M157:M163" si="56">(F157/J157)</f>
        <v>2.4917745726158271E-3</v>
      </c>
      <c r="N157" s="47">
        <f t="shared" ref="N157:N163" si="57">G157/J157</f>
        <v>3.5507204671811855E-3</v>
      </c>
      <c r="O157" s="48">
        <f t="shared" ref="O157:O163" si="58">J157/U157</f>
        <v>1044.4983637013524</v>
      </c>
      <c r="P157" s="48">
        <f t="shared" ref="P157:P163" si="59">G157/U157</f>
        <v>3.7087217179316498</v>
      </c>
      <c r="Q157" s="41">
        <v>1004.5</v>
      </c>
      <c r="R157" s="41">
        <v>1004.5</v>
      </c>
      <c r="S157" s="38">
        <v>23</v>
      </c>
      <c r="T157" s="38">
        <v>466375</v>
      </c>
      <c r="U157" s="38">
        <v>467213</v>
      </c>
    </row>
    <row r="158" spans="1:21" ht="15.75">
      <c r="A158" s="29">
        <v>127</v>
      </c>
      <c r="B158" s="40" t="s">
        <v>211</v>
      </c>
      <c r="C158" s="45" t="s">
        <v>72</v>
      </c>
      <c r="D158" s="41">
        <v>16799876.359999999</v>
      </c>
      <c r="E158" s="41">
        <v>584091.01</v>
      </c>
      <c r="F158" s="41">
        <v>242497.29</v>
      </c>
      <c r="G158" s="32">
        <v>341593.72</v>
      </c>
      <c r="H158" s="41">
        <v>48788229.32</v>
      </c>
      <c r="I158" s="77">
        <f t="shared" ref="I158:I163" si="60">(H158/$H$164)</f>
        <v>2.1565013090899376E-3</v>
      </c>
      <c r="J158" s="41">
        <v>52158168.079999998</v>
      </c>
      <c r="K158" s="77">
        <f t="shared" ref="K158:K163" si="61">(J158/$J$164)</f>
        <v>2.2707203730059251E-3</v>
      </c>
      <c r="L158" s="77">
        <f t="shared" ref="L158:L163" si="62">((J158-H158)/H158)</f>
        <v>6.9072782656175266E-2</v>
      </c>
      <c r="M158" s="34">
        <f t="shared" si="56"/>
        <v>4.6492677738999306E-3</v>
      </c>
      <c r="N158" s="47">
        <f t="shared" si="57"/>
        <v>6.5491893709929546E-3</v>
      </c>
      <c r="O158" s="48">
        <f t="shared" si="58"/>
        <v>102.77410789689912</v>
      </c>
      <c r="P158" s="48">
        <f t="shared" si="59"/>
        <v>0.67308709505165476</v>
      </c>
      <c r="Q158" s="41">
        <v>104.03</v>
      </c>
      <c r="R158" s="41">
        <v>104.03</v>
      </c>
      <c r="S158" s="38">
        <v>48</v>
      </c>
      <c r="T158" s="38">
        <v>472783</v>
      </c>
      <c r="U158" s="38">
        <v>507503</v>
      </c>
    </row>
    <row r="159" spans="1:21" ht="15.75">
      <c r="A159" s="29">
        <v>128</v>
      </c>
      <c r="B159" s="40" t="s">
        <v>212</v>
      </c>
      <c r="C159" s="45" t="s">
        <v>185</v>
      </c>
      <c r="D159" s="41">
        <v>25532150.68</v>
      </c>
      <c r="E159" s="41">
        <v>471694.36</v>
      </c>
      <c r="F159" s="41">
        <v>132998.31</v>
      </c>
      <c r="G159" s="32">
        <v>278953.2</v>
      </c>
      <c r="H159" s="41">
        <v>51039942.149999999</v>
      </c>
      <c r="I159" s="77">
        <f t="shared" si="60"/>
        <v>2.2560298579483206E-3</v>
      </c>
      <c r="J159" s="41">
        <v>51239375.689999998</v>
      </c>
      <c r="K159" s="77">
        <f t="shared" si="61"/>
        <v>2.2307204904307583E-3</v>
      </c>
      <c r="L159" s="77">
        <f t="shared" si="62"/>
        <v>3.9074013723191317E-3</v>
      </c>
      <c r="M159" s="34">
        <f t="shared" si="56"/>
        <v>2.5956270584685573E-3</v>
      </c>
      <c r="N159" s="47">
        <f t="shared" si="57"/>
        <v>5.4441178535756677E-3</v>
      </c>
      <c r="O159" s="48">
        <f t="shared" si="58"/>
        <v>98.49218182831703</v>
      </c>
      <c r="P159" s="48">
        <f t="shared" si="59"/>
        <v>0.53620304552916165</v>
      </c>
      <c r="Q159" s="41">
        <v>100</v>
      </c>
      <c r="R159" s="41">
        <v>98.11</v>
      </c>
      <c r="S159" s="38">
        <v>5</v>
      </c>
      <c r="T159" s="38">
        <v>520238</v>
      </c>
      <c r="U159" s="38">
        <v>520238</v>
      </c>
    </row>
    <row r="160" spans="1:21" ht="15.75">
      <c r="A160" s="29">
        <v>129</v>
      </c>
      <c r="B160" s="30" t="s">
        <v>213</v>
      </c>
      <c r="C160" s="30" t="s">
        <v>85</v>
      </c>
      <c r="D160" s="41">
        <v>7252964430.3599997</v>
      </c>
      <c r="E160" s="41">
        <v>208337555.38</v>
      </c>
      <c r="F160" s="41">
        <v>11310119.15</v>
      </c>
      <c r="G160" s="32">
        <v>197027436.22999999</v>
      </c>
      <c r="H160" s="41">
        <v>6798493644.54</v>
      </c>
      <c r="I160" s="77">
        <f t="shared" si="60"/>
        <v>0.30050199912215486</v>
      </c>
      <c r="J160" s="41">
        <v>7252964430.3599997</v>
      </c>
      <c r="K160" s="77">
        <f t="shared" si="61"/>
        <v>0.31575982636976402</v>
      </c>
      <c r="L160" s="77">
        <f t="shared" si="62"/>
        <v>6.6848747617053936E-2</v>
      </c>
      <c r="M160" s="34">
        <f t="shared" si="56"/>
        <v>1.5593788248370914E-3</v>
      </c>
      <c r="N160" s="47">
        <f t="shared" si="57"/>
        <v>2.7165090649730453E-2</v>
      </c>
      <c r="O160" s="48">
        <f t="shared" si="58"/>
        <v>118.57619439633262</v>
      </c>
      <c r="P160" s="48">
        <f t="shared" si="59"/>
        <v>3.2211330696764358</v>
      </c>
      <c r="Q160" s="41">
        <v>124.22</v>
      </c>
      <c r="R160" s="41">
        <v>124.22</v>
      </c>
      <c r="S160" s="38">
        <v>450</v>
      </c>
      <c r="T160" s="38">
        <v>57758234</v>
      </c>
      <c r="U160" s="38">
        <v>61167121</v>
      </c>
    </row>
    <row r="161" spans="1:21" ht="15.75">
      <c r="A161" s="29">
        <v>130</v>
      </c>
      <c r="B161" s="30" t="s">
        <v>214</v>
      </c>
      <c r="C161" s="30" t="s">
        <v>215</v>
      </c>
      <c r="D161" s="41">
        <v>320616737.62</v>
      </c>
      <c r="E161" s="41">
        <v>3178364.04</v>
      </c>
      <c r="F161" s="41">
        <v>712261.96</v>
      </c>
      <c r="G161" s="32">
        <v>2466102.08</v>
      </c>
      <c r="H161" s="41">
        <v>316806215.31999999</v>
      </c>
      <c r="I161" s="77">
        <f t="shared" si="60"/>
        <v>1.4003234542175605E-2</v>
      </c>
      <c r="J161" s="41">
        <v>334760806.25999999</v>
      </c>
      <c r="K161" s="77">
        <f t="shared" si="61"/>
        <v>1.4573904928803463E-2</v>
      </c>
      <c r="L161" s="77">
        <f t="shared" si="62"/>
        <v>5.6673733253195184E-2</v>
      </c>
      <c r="M161" s="34">
        <f t="shared" si="56"/>
        <v>2.1276742876727471E-3</v>
      </c>
      <c r="N161" s="47">
        <f t="shared" si="57"/>
        <v>7.3667586942201442E-3</v>
      </c>
      <c r="O161" s="48">
        <f t="shared" si="58"/>
        <v>101.39965053007815</v>
      </c>
      <c r="P161" s="48">
        <f t="shared" si="59"/>
        <v>0.7469867571333374</v>
      </c>
      <c r="Q161" s="41">
        <v>101.4</v>
      </c>
      <c r="R161" s="41">
        <v>101.4</v>
      </c>
      <c r="S161" s="38">
        <v>307</v>
      </c>
      <c r="T161" s="38">
        <v>3082201</v>
      </c>
      <c r="U161" s="38">
        <v>3301400</v>
      </c>
    </row>
    <row r="162" spans="1:21" ht="15.75">
      <c r="A162" s="29">
        <v>131</v>
      </c>
      <c r="B162" s="40" t="s">
        <v>216</v>
      </c>
      <c r="C162" s="40" t="s">
        <v>51</v>
      </c>
      <c r="D162" s="41">
        <v>8586240256.5799999</v>
      </c>
      <c r="E162" s="41">
        <v>63767004.719999999</v>
      </c>
      <c r="F162" s="41">
        <v>14337075.32</v>
      </c>
      <c r="G162" s="32">
        <v>49429929.399999999</v>
      </c>
      <c r="H162" s="41">
        <v>8848651723.0699997</v>
      </c>
      <c r="I162" s="77">
        <f t="shared" si="60"/>
        <v>0.39112157359355026</v>
      </c>
      <c r="J162" s="41">
        <v>8592079755.6200008</v>
      </c>
      <c r="K162" s="77">
        <f t="shared" si="61"/>
        <v>0.37405858498813493</v>
      </c>
      <c r="L162" s="77">
        <f t="shared" si="62"/>
        <v>-2.8995600175004105E-2</v>
      </c>
      <c r="M162" s="34">
        <f t="shared" si="56"/>
        <v>1.6686385284799352E-3</v>
      </c>
      <c r="N162" s="47">
        <f t="shared" si="57"/>
        <v>5.752964451670544E-3</v>
      </c>
      <c r="O162" s="48">
        <f t="shared" si="58"/>
        <v>121.63366066612983</v>
      </c>
      <c r="P162" s="48">
        <f t="shared" si="59"/>
        <v>0.6997541259388026</v>
      </c>
      <c r="Q162" s="41">
        <v>121.63</v>
      </c>
      <c r="R162" s="41">
        <v>121.63</v>
      </c>
      <c r="S162" s="38">
        <v>1024</v>
      </c>
      <c r="T162" s="38">
        <v>73119965.909999996</v>
      </c>
      <c r="U162" s="38">
        <v>70638996.709999993</v>
      </c>
    </row>
    <row r="163" spans="1:21" ht="15.75">
      <c r="A163" s="29">
        <v>132</v>
      </c>
      <c r="B163" s="30" t="s">
        <v>217</v>
      </c>
      <c r="C163" s="30" t="s">
        <v>56</v>
      </c>
      <c r="D163" s="41">
        <v>1740418863</v>
      </c>
      <c r="E163" s="41">
        <v>22756622</v>
      </c>
      <c r="F163" s="41">
        <v>3889146</v>
      </c>
      <c r="G163" s="32">
        <v>18867475</v>
      </c>
      <c r="H163" s="41">
        <v>2236948378</v>
      </c>
      <c r="I163" s="77">
        <f t="shared" si="60"/>
        <v>9.8875941446517998E-2</v>
      </c>
      <c r="J163" s="41">
        <v>2256835520</v>
      </c>
      <c r="K163" s="77">
        <f t="shared" si="61"/>
        <v>9.825196287429544E-2</v>
      </c>
      <c r="L163" s="77">
        <f t="shared" si="62"/>
        <v>8.8902999262685713E-3</v>
      </c>
      <c r="M163" s="34">
        <f t="shared" si="56"/>
        <v>1.7232740115681979E-3</v>
      </c>
      <c r="N163" s="47">
        <f t="shared" si="57"/>
        <v>8.3601462458371793E-3</v>
      </c>
      <c r="O163" s="48">
        <f t="shared" si="58"/>
        <v>1.1346073134989811</v>
      </c>
      <c r="P163" s="48">
        <f t="shared" si="59"/>
        <v>9.4854830724479169E-3</v>
      </c>
      <c r="Q163" s="32">
        <v>1.1299999999999999</v>
      </c>
      <c r="R163" s="32">
        <v>1.1299999999999999</v>
      </c>
      <c r="S163" s="38">
        <v>107</v>
      </c>
      <c r="T163" s="38">
        <v>1996417335</v>
      </c>
      <c r="U163" s="38">
        <v>1989089523</v>
      </c>
    </row>
    <row r="164" spans="1:21">
      <c r="A164" s="92" t="s">
        <v>59</v>
      </c>
      <c r="B164" s="92"/>
      <c r="C164" s="92"/>
      <c r="D164" s="92"/>
      <c r="E164" s="92"/>
      <c r="F164" s="92"/>
      <c r="G164" s="92"/>
      <c r="H164" s="49">
        <f>SUM(H153:H163)</f>
        <v>22623788408.73</v>
      </c>
      <c r="I164" s="87">
        <f>(H164/$H$165)</f>
        <v>1.597909714658708E-2</v>
      </c>
      <c r="J164" s="49">
        <f>SUM(J153:J163)</f>
        <v>22969877180.849998</v>
      </c>
      <c r="K164" s="87">
        <f>(J164/$J$165)</f>
        <v>1.5531894012576059E-2</v>
      </c>
      <c r="L164" s="88">
        <f>((J164-H164)/H164)</f>
        <v>1.5297560508763035E-2</v>
      </c>
      <c r="M164" s="46"/>
      <c r="N164" s="46"/>
      <c r="O164" s="50"/>
      <c r="P164" s="50"/>
      <c r="Q164" s="49"/>
      <c r="R164" s="49"/>
      <c r="S164" s="70">
        <f>SUM(S153:S163)</f>
        <v>17765</v>
      </c>
      <c r="T164" s="70"/>
      <c r="U164" s="70"/>
    </row>
    <row r="165" spans="1:21">
      <c r="A165" s="91" t="s">
        <v>218</v>
      </c>
      <c r="B165" s="91"/>
      <c r="C165" s="91"/>
      <c r="D165" s="91"/>
      <c r="E165" s="91"/>
      <c r="F165" s="91"/>
      <c r="G165" s="91"/>
      <c r="H165" s="78">
        <f>SUM(H21,H53,H86,H109,H116,H143,H149,H164)</f>
        <v>1415836464425.1592</v>
      </c>
      <c r="I165" s="79"/>
      <c r="J165" s="78">
        <f>SUM(J21,J53,J86,J109,J116,J143,J149,J164)</f>
        <v>1478884491630.6704</v>
      </c>
      <c r="K165" s="79"/>
      <c r="L165" s="79"/>
      <c r="M165" s="80"/>
      <c r="N165" s="81"/>
      <c r="O165" s="82"/>
      <c r="P165" s="82"/>
      <c r="Q165" s="78"/>
      <c r="R165" s="78"/>
      <c r="S165" s="83">
        <f>SUM(S21,S53,S86,S109,S116,S143,S149,S164)</f>
        <v>422877</v>
      </c>
      <c r="T165" s="83"/>
      <c r="U165" s="83"/>
    </row>
    <row r="166" spans="1:21" ht="5.25" customHeight="1">
      <c r="A166" s="71"/>
      <c r="B166" s="71"/>
      <c r="C166" s="71"/>
      <c r="D166" s="72"/>
      <c r="E166" s="72"/>
      <c r="F166" s="72"/>
      <c r="G166" s="73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</row>
    <row r="167" spans="1:21" ht="15.75">
      <c r="A167" s="84" t="s">
        <v>220</v>
      </c>
      <c r="B167" s="85" t="s">
        <v>221</v>
      </c>
      <c r="C167" s="74"/>
      <c r="D167" s="72"/>
      <c r="E167" s="72"/>
      <c r="F167" s="72"/>
      <c r="G167" s="73"/>
      <c r="H167" s="75"/>
      <c r="I167" s="72"/>
      <c r="J167" s="75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6"/>
    </row>
  </sheetData>
  <sheetProtection algorithmName="SHA-512" hashValue="fq58ptGGMxEEaVwvxlfKmyF/+A7fzNHMk91rMISjnoprG/oxKj0BVarRHjrOayErzjVNSgilt1tc+p0+jIDgtQ==" saltValue="TkN3uRTyY6b6k325M57n4g==" spinCount="100000" sheet="1" objects="1" scenarios="1"/>
  <mergeCells count="32">
    <mergeCell ref="A1:U1"/>
    <mergeCell ref="A99:U99"/>
    <mergeCell ref="A155:U155"/>
    <mergeCell ref="A89:U89"/>
    <mergeCell ref="A3:U3"/>
    <mergeCell ref="A21:G21"/>
    <mergeCell ref="A22:U22"/>
    <mergeCell ref="A23:U23"/>
    <mergeCell ref="A53:G53"/>
    <mergeCell ref="A4:U4"/>
    <mergeCell ref="A54:U54"/>
    <mergeCell ref="A55:U55"/>
    <mergeCell ref="A86:G86"/>
    <mergeCell ref="A87:U87"/>
    <mergeCell ref="A88:U88"/>
    <mergeCell ref="A150:U150"/>
    <mergeCell ref="A100:U100"/>
    <mergeCell ref="A109:G109"/>
    <mergeCell ref="A110:U110"/>
    <mergeCell ref="A111:U111"/>
    <mergeCell ref="A116:G116"/>
    <mergeCell ref="A117:U117"/>
    <mergeCell ref="A118:U118"/>
    <mergeCell ref="A143:G143"/>
    <mergeCell ref="A144:U144"/>
    <mergeCell ref="A145:U145"/>
    <mergeCell ref="A165:G165"/>
    <mergeCell ref="A149:G149"/>
    <mergeCell ref="A151:U151"/>
    <mergeCell ref="A152:U152"/>
    <mergeCell ref="A156:U156"/>
    <mergeCell ref="A164:G164"/>
  </mergeCells>
  <pageMargins left="0.7" right="0.7" top="0.75" bottom="0.75" header="0.3" footer="0.3"/>
  <ignoredErrors>
    <ignoredError sqref="I21 I53 I86 I109 I116 I143 I149 I16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workbookViewId="0">
      <selection activeCell="N1" sqref="N1"/>
    </sheetView>
  </sheetViews>
  <sheetFormatPr defaultRowHeight="15"/>
  <cols>
    <col min="1" max="1" width="34" customWidth="1"/>
    <col min="2" max="2" width="16.140625" customWidth="1"/>
    <col min="3" max="3" width="16.28515625" customWidth="1"/>
  </cols>
  <sheetData>
    <row r="1" spans="1:3">
      <c r="A1" s="9"/>
      <c r="B1" s="9"/>
      <c r="C1" s="9"/>
    </row>
    <row r="2" spans="1:3">
      <c r="A2" s="9"/>
      <c r="B2" s="9"/>
      <c r="C2" s="9"/>
    </row>
    <row r="3" spans="1:3">
      <c r="A3" s="9"/>
      <c r="B3" s="9"/>
      <c r="C3" s="9"/>
    </row>
    <row r="4" spans="1:3" ht="33" customHeight="1">
      <c r="A4" s="12" t="s">
        <v>5</v>
      </c>
      <c r="B4" s="21" t="s">
        <v>10</v>
      </c>
      <c r="C4" s="21" t="s">
        <v>9</v>
      </c>
    </row>
    <row r="5" spans="1:3" ht="19.5" customHeight="1">
      <c r="A5" s="22" t="s">
        <v>0</v>
      </c>
      <c r="B5" s="23">
        <f>16142783399.1/1000000000</f>
        <v>16.142783399100001</v>
      </c>
      <c r="C5" s="23">
        <f>16908516222.28/1000000000</f>
        <v>16.908516222279999</v>
      </c>
    </row>
    <row r="6" spans="1:3" ht="15.75">
      <c r="A6" s="12" t="s">
        <v>1</v>
      </c>
      <c r="B6" s="23">
        <f>624792055004.98/1000000000</f>
        <v>624.79205500497994</v>
      </c>
      <c r="C6" s="23">
        <f>695062692480.01/1000000000</f>
        <v>695.06269248001001</v>
      </c>
    </row>
    <row r="7" spans="1:3" ht="15.75">
      <c r="A7" s="12" t="s">
        <v>6</v>
      </c>
      <c r="B7" s="23">
        <f>347373796022.12/1000000000</f>
        <v>347.37379602212002</v>
      </c>
      <c r="C7" s="23">
        <f>353822145940.99/1000000000</f>
        <v>353.82214594098997</v>
      </c>
    </row>
    <row r="8" spans="1:3" ht="15.75">
      <c r="A8" s="12" t="s">
        <v>2</v>
      </c>
      <c r="B8" s="23">
        <f>325968446101.93/1000000000</f>
        <v>325.96844610193</v>
      </c>
      <c r="C8" s="23">
        <f>321922342334.32/1000000000</f>
        <v>321.92234233432004</v>
      </c>
    </row>
    <row r="9" spans="1:3" ht="15.75">
      <c r="A9" s="12" t="s">
        <v>7</v>
      </c>
      <c r="B9" s="23">
        <f>45688239118.31/1000000000</f>
        <v>45.688239118309994</v>
      </c>
      <c r="C9" s="23">
        <f>46357532510.62/1000000000</f>
        <v>46.357532510620004</v>
      </c>
    </row>
    <row r="10" spans="1:3" ht="15.75">
      <c r="A10" s="12" t="s">
        <v>3</v>
      </c>
      <c r="B10" s="23">
        <f>30274803491.25/1000000000</f>
        <v>30.274803491250001</v>
      </c>
      <c r="C10" s="23">
        <f>30595879635.8702/1000000000</f>
        <v>30.595879635870201</v>
      </c>
    </row>
    <row r="11" spans="1:3" ht="15.75">
      <c r="A11" s="12" t="s">
        <v>4</v>
      </c>
      <c r="B11" s="23">
        <f>2972552878.74/1000000000</f>
        <v>2.9725528787399997</v>
      </c>
      <c r="C11" s="23">
        <f>3055092712.49/1000000000</f>
        <v>3.0550927124899996</v>
      </c>
    </row>
    <row r="12" spans="1:3" ht="15.75">
      <c r="A12" s="12" t="s">
        <v>8</v>
      </c>
      <c r="B12" s="23">
        <f>22623788408.73/1000000000</f>
        <v>22.62378840873</v>
      </c>
      <c r="C12" s="23">
        <f>22969877180.85/1000000000</f>
        <v>22.969877180849998</v>
      </c>
    </row>
    <row r="13" spans="1:3">
      <c r="A13" s="9"/>
      <c r="B13" s="9"/>
      <c r="C13" s="9"/>
    </row>
    <row r="16" spans="1:3" ht="16.5">
      <c r="B16" s="16"/>
      <c r="C16" s="2"/>
    </row>
    <row r="17" spans="1:3" ht="16.5">
      <c r="A17" s="90"/>
      <c r="B17" s="14"/>
      <c r="C17" s="4"/>
    </row>
    <row r="18" spans="1:3" ht="16.5">
      <c r="A18" s="6"/>
      <c r="B18" s="17"/>
      <c r="C18" s="5"/>
    </row>
    <row r="19" spans="1:3" ht="16.5">
      <c r="A19" s="7"/>
      <c r="B19" s="14"/>
      <c r="C19" s="4"/>
    </row>
    <row r="20" spans="1:3" ht="16.5">
      <c r="A20" s="7"/>
      <c r="B20" s="17"/>
      <c r="C20" s="5"/>
    </row>
    <row r="21" spans="1:3" ht="16.5">
      <c r="A21" s="7"/>
      <c r="B21" s="14"/>
      <c r="C21" s="19"/>
    </row>
    <row r="22" spans="1:3" ht="16.5">
      <c r="A22" s="7"/>
      <c r="B22" s="18"/>
      <c r="C22" s="18"/>
    </row>
    <row r="23" spans="1:3" ht="16.5">
      <c r="A23" s="7"/>
      <c r="B23" s="14"/>
      <c r="C23" s="14"/>
    </row>
    <row r="24" spans="1:3" ht="16.5">
      <c r="A24" s="7"/>
      <c r="B24" s="14"/>
      <c r="C24" s="14"/>
    </row>
    <row r="25" spans="1:3" ht="16.5">
      <c r="A25" s="7"/>
      <c r="B25" s="11"/>
      <c r="C25" s="11"/>
    </row>
    <row r="26" spans="1:3" ht="16.5">
      <c r="A26" s="7"/>
      <c r="B26" s="11"/>
      <c r="C26" s="11"/>
    </row>
    <row r="27" spans="1:3">
      <c r="B27" s="10"/>
      <c r="C27" s="10"/>
    </row>
    <row r="28" spans="1:3">
      <c r="B28" s="10"/>
      <c r="C28" s="10"/>
    </row>
  </sheetData>
  <sheetProtection algorithmName="SHA-512" hashValue="iUv2cCSzt0I2xOPWZgAXsWJKPAKUX1bhzP9DN+BW/RqdqHoVotjIy3K7cUPWXDF3y5wBc2zcXk24M4NZggCK3A==" saltValue="UHm05V5jPD/GO6dPOcOkw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zoomScale="85" zoomScaleNormal="85" workbookViewId="0">
      <selection activeCell="N1" sqref="N1"/>
    </sheetView>
  </sheetViews>
  <sheetFormatPr defaultRowHeight="15"/>
  <cols>
    <col min="1" max="1" width="26.7109375" customWidth="1"/>
    <col min="2" max="2" width="21.28515625" customWidth="1"/>
  </cols>
  <sheetData>
    <row r="1" spans="1:2" ht="16.5">
      <c r="A1" s="12" t="s">
        <v>5</v>
      </c>
      <c r="B1" s="28" t="s">
        <v>9</v>
      </c>
    </row>
    <row r="2" spans="1:2" ht="16.5">
      <c r="A2" s="13" t="s">
        <v>4</v>
      </c>
      <c r="B2" s="20">
        <v>3055092712.4900002</v>
      </c>
    </row>
    <row r="3" spans="1:2" ht="16.5">
      <c r="A3" s="13" t="s">
        <v>0</v>
      </c>
      <c r="B3" s="20">
        <v>16908516222.280001</v>
      </c>
    </row>
    <row r="4" spans="1:2" ht="16.5">
      <c r="A4" s="13" t="s">
        <v>8</v>
      </c>
      <c r="B4" s="20">
        <v>22969877180.849998</v>
      </c>
    </row>
    <row r="5" spans="1:2" ht="16.5">
      <c r="A5" s="13" t="s">
        <v>3</v>
      </c>
      <c r="B5" s="20">
        <v>30615522296.290199</v>
      </c>
    </row>
    <row r="6" spans="1:2" ht="16.5">
      <c r="A6" s="13" t="s">
        <v>7</v>
      </c>
      <c r="B6" s="20">
        <v>46357532510.620003</v>
      </c>
    </row>
    <row r="7" spans="1:2" ht="16.5">
      <c r="A7" s="13" t="s">
        <v>2</v>
      </c>
      <c r="B7" s="20">
        <v>321922342334.32001</v>
      </c>
    </row>
    <row r="8" spans="1:2" ht="16.5">
      <c r="A8" s="13" t="s">
        <v>6</v>
      </c>
      <c r="B8" s="20">
        <v>341992915893.80994</v>
      </c>
    </row>
    <row r="9" spans="1:2" ht="16.5">
      <c r="A9" s="13" t="s">
        <v>1</v>
      </c>
      <c r="B9" s="20">
        <v>695062692480.01001</v>
      </c>
    </row>
    <row r="12" spans="1:2" ht="16.5">
      <c r="A12" s="13"/>
    </row>
    <row r="13" spans="1:2">
      <c r="B13" s="20"/>
    </row>
    <row r="14" spans="1:2" ht="16.5">
      <c r="A14" s="13"/>
      <c r="B14" s="20"/>
    </row>
    <row r="15" spans="1:2" ht="16.5">
      <c r="A15" s="8"/>
      <c r="B15" s="20"/>
    </row>
    <row r="16" spans="1:2" ht="16.5">
      <c r="A16" s="8"/>
      <c r="B16" s="20"/>
    </row>
    <row r="17" spans="1:17" ht="16.5">
      <c r="A17" s="8"/>
      <c r="B17" s="20"/>
    </row>
    <row r="18" spans="1:17" ht="16.5">
      <c r="A18" s="8"/>
      <c r="B18" s="20"/>
    </row>
    <row r="19" spans="1:17" ht="16.5">
      <c r="A19" s="27"/>
      <c r="B19" s="20"/>
    </row>
    <row r="20" spans="1:17" ht="16.5">
      <c r="A20" s="26"/>
      <c r="B20" s="20"/>
    </row>
    <row r="21" spans="1:17" ht="16.5">
      <c r="A21" s="8"/>
      <c r="B21" s="5"/>
    </row>
    <row r="22" spans="1:17" ht="16.5">
      <c r="B22" s="17"/>
    </row>
    <row r="32" spans="1:17" ht="16.5" customHeight="1">
      <c r="A32" s="109" t="s">
        <v>225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5"/>
    </row>
    <row r="33" spans="1:17" ht="15" customHeight="1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5"/>
    </row>
  </sheetData>
  <sheetProtection algorithmName="SHA-512" hashValue="xIAM/9kyUzmczttdzXho0jIRrctdfINCrwWgewgLilEXBMDzLmx4uzJ7WHSP9uUsFZDVo1ZdGL5ImJSD2wodVQ==" saltValue="nzfjc7hllOjX1sFV9B+Cow==" spinCount="100000" sheet="1" objects="1" scenarios="1"/>
  <sortState xmlns:xlrd2="http://schemas.microsoft.com/office/spreadsheetml/2017/richdata2" ref="B13:B20">
    <sortCondition ref="B13:B20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0FCE2-DF19-46A7-82E6-668A9D444BD6}">
  <dimension ref="A5:B13"/>
  <sheetViews>
    <sheetView workbookViewId="0">
      <selection activeCell="I1" sqref="I1"/>
    </sheetView>
  </sheetViews>
  <sheetFormatPr defaultRowHeight="15"/>
  <cols>
    <col min="1" max="1" width="34.7109375" customWidth="1"/>
    <col min="2" max="2" width="15" customWidth="1"/>
  </cols>
  <sheetData>
    <row r="5" spans="1:2" ht="15.75">
      <c r="A5" s="1" t="s">
        <v>5</v>
      </c>
      <c r="B5" s="24" t="s">
        <v>11</v>
      </c>
    </row>
    <row r="6" spans="1:2" ht="16.5">
      <c r="A6" s="3" t="s">
        <v>0</v>
      </c>
      <c r="B6" s="25">
        <v>39877</v>
      </c>
    </row>
    <row r="7" spans="1:2" ht="16.5">
      <c r="A7" s="3" t="s">
        <v>1</v>
      </c>
      <c r="B7" s="25">
        <v>210963</v>
      </c>
    </row>
    <row r="8" spans="1:2" ht="16.5">
      <c r="A8" s="3" t="s">
        <v>6</v>
      </c>
      <c r="B8" s="25">
        <v>48842</v>
      </c>
    </row>
    <row r="9" spans="1:2" ht="16.5">
      <c r="A9" s="3" t="s">
        <v>2</v>
      </c>
      <c r="B9" s="25">
        <v>10308</v>
      </c>
    </row>
    <row r="10" spans="1:2" ht="16.5">
      <c r="A10" s="3" t="s">
        <v>7</v>
      </c>
      <c r="B10" s="25">
        <v>36845</v>
      </c>
    </row>
    <row r="11" spans="1:2" ht="16.5">
      <c r="A11" s="3" t="s">
        <v>3</v>
      </c>
      <c r="B11" s="25">
        <v>47258</v>
      </c>
    </row>
    <row r="12" spans="1:2" ht="16.5">
      <c r="A12" s="3" t="s">
        <v>4</v>
      </c>
      <c r="B12" s="25">
        <v>11019</v>
      </c>
    </row>
    <row r="13" spans="1:2" ht="16.5">
      <c r="A13" s="3" t="s">
        <v>8</v>
      </c>
      <c r="B13" s="25">
        <v>17765</v>
      </c>
    </row>
  </sheetData>
  <sheetProtection algorithmName="SHA-512" hashValue="KyqrjElPRUFlHRq/avYR3DX1M5evuIqJS8Sn5NDxelISoi0YJXfnSyFiE7dGMRXzmFpr2BK0qOeoe9dK4VIotg==" saltValue="biuZR7CjDH2QF/Q2KPKaKw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January 2023</vt:lpstr>
      <vt:lpstr>NAV Comparison</vt:lpstr>
      <vt:lpstr>Market Share</vt:lpstr>
      <vt:lpstr>Unitholders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USER</cp:lastModifiedBy>
  <dcterms:created xsi:type="dcterms:W3CDTF">2023-10-09T09:40:10Z</dcterms:created>
  <dcterms:modified xsi:type="dcterms:W3CDTF">2024-02-23T11:10:08Z</dcterms:modified>
</cp:coreProperties>
</file>