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Monthly Spreadsheet of Mutual Funds\Monthly Mutal Fund Updates 2023\"/>
    </mc:Choice>
  </mc:AlternateContent>
  <xr:revisionPtr revIDLastSave="0" documentId="13_ncr:1_{7121F784-0C21-4BC0-ABD7-65C1DD101D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ne 2023" sheetId="7" r:id="rId1"/>
    <sheet name="NAV Comparison" sheetId="2" r:id="rId2"/>
    <sheet name="Market Share" sheetId="3" r:id="rId3"/>
    <sheet name="Unitholders" sheetId="6" r:id="rId4"/>
  </sheets>
  <calcPr calcId="181029"/>
</workbook>
</file>

<file path=xl/calcChain.xml><?xml version="1.0" encoding="utf-8"?>
<calcChain xmlns="http://schemas.openxmlformats.org/spreadsheetml/2006/main">
  <c r="R99" i="7" l="1"/>
  <c r="Q99" i="7"/>
  <c r="J99" i="7"/>
  <c r="G99" i="7"/>
  <c r="F99" i="7"/>
  <c r="E99" i="7"/>
  <c r="D99" i="7"/>
  <c r="N136" i="7" l="1"/>
  <c r="B9" i="3"/>
  <c r="B7" i="3"/>
  <c r="B6" i="3"/>
  <c r="B5" i="3"/>
  <c r="B4" i="3"/>
  <c r="B3" i="3"/>
  <c r="B2" i="3"/>
  <c r="B13" i="6"/>
  <c r="B12" i="6"/>
  <c r="B11" i="6"/>
  <c r="B10" i="6"/>
  <c r="B9" i="6"/>
  <c r="B8" i="6"/>
  <c r="B7" i="6"/>
  <c r="B6" i="6"/>
  <c r="D12" i="2"/>
  <c r="D11" i="2"/>
  <c r="D10" i="2"/>
  <c r="D9" i="2"/>
  <c r="D7" i="2"/>
  <c r="D6" i="2"/>
  <c r="D5" i="2"/>
  <c r="C12" i="2"/>
  <c r="C11" i="2"/>
  <c r="C10" i="2"/>
  <c r="C9" i="2"/>
  <c r="C8" i="2"/>
  <c r="C7" i="2"/>
  <c r="C6" i="2"/>
  <c r="C5" i="2"/>
  <c r="B12" i="2"/>
  <c r="B11" i="2"/>
  <c r="B10" i="2"/>
  <c r="B9" i="2"/>
  <c r="B8" i="2"/>
  <c r="B7" i="2"/>
  <c r="B6" i="2"/>
  <c r="B5" i="2"/>
  <c r="L57" i="7" l="1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56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H110" i="7" l="1"/>
  <c r="H109" i="7"/>
  <c r="H108" i="7"/>
  <c r="H107" i="7"/>
  <c r="H106" i="7"/>
  <c r="H105" i="7"/>
  <c r="H104" i="7"/>
  <c r="H103" i="7"/>
  <c r="H102" i="7"/>
  <c r="H97" i="7"/>
  <c r="H96" i="7"/>
  <c r="H95" i="7"/>
  <c r="H91" i="7"/>
  <c r="R102" i="7" l="1"/>
  <c r="Q102" i="7"/>
  <c r="J102" i="7"/>
  <c r="G102" i="7"/>
  <c r="F102" i="7"/>
  <c r="E102" i="7"/>
  <c r="D102" i="7"/>
  <c r="D128" i="7"/>
  <c r="P128" i="7"/>
  <c r="O128" i="7"/>
  <c r="N128" i="7"/>
  <c r="M128" i="7"/>
  <c r="L128" i="7"/>
  <c r="D66" i="7"/>
  <c r="P66" i="7"/>
  <c r="O66" i="7"/>
  <c r="N66" i="7"/>
  <c r="M66" i="7"/>
  <c r="D9" i="7"/>
  <c r="P9" i="7"/>
  <c r="O9" i="7"/>
  <c r="N9" i="7"/>
  <c r="M9" i="7"/>
  <c r="L9" i="7"/>
  <c r="R108" i="7"/>
  <c r="Q108" i="7"/>
  <c r="J108" i="7"/>
  <c r="G108" i="7"/>
  <c r="F108" i="7"/>
  <c r="E108" i="7"/>
  <c r="D108" i="7"/>
  <c r="R107" i="7" l="1"/>
  <c r="Q107" i="7"/>
  <c r="J107" i="7"/>
  <c r="G107" i="7"/>
  <c r="F107" i="7"/>
  <c r="E107" i="7"/>
  <c r="D107" i="7"/>
  <c r="R105" i="7"/>
  <c r="Q105" i="7"/>
  <c r="J105" i="7"/>
  <c r="G105" i="7"/>
  <c r="F105" i="7"/>
  <c r="E105" i="7"/>
  <c r="D105" i="7"/>
  <c r="J98" i="7"/>
  <c r="D98" i="7"/>
  <c r="R91" i="7" l="1"/>
  <c r="R97" i="7"/>
  <c r="Q97" i="7"/>
  <c r="J97" i="7"/>
  <c r="G97" i="7"/>
  <c r="F97" i="7"/>
  <c r="E97" i="7"/>
  <c r="D97" i="7"/>
  <c r="Q91" i="7"/>
  <c r="J91" i="7"/>
  <c r="G91" i="7"/>
  <c r="F91" i="7"/>
  <c r="E91" i="7"/>
  <c r="D91" i="7"/>
  <c r="R106" i="7"/>
  <c r="Q106" i="7"/>
  <c r="J106" i="7"/>
  <c r="G106" i="7"/>
  <c r="F106" i="7"/>
  <c r="E106" i="7"/>
  <c r="D106" i="7"/>
  <c r="R103" i="7" l="1"/>
  <c r="Q103" i="7"/>
  <c r="J103" i="7"/>
  <c r="G103" i="7"/>
  <c r="F103" i="7"/>
  <c r="E103" i="7"/>
  <c r="D103" i="7"/>
  <c r="R110" i="7"/>
  <c r="Q110" i="7"/>
  <c r="J110" i="7"/>
  <c r="G110" i="7"/>
  <c r="F110" i="7"/>
  <c r="E110" i="7"/>
  <c r="D110" i="7"/>
  <c r="R96" i="7"/>
  <c r="Q96" i="7"/>
  <c r="J96" i="7"/>
  <c r="E96" i="7"/>
  <c r="G96" i="7"/>
  <c r="F96" i="7"/>
  <c r="D96" i="7"/>
  <c r="R104" i="7" l="1"/>
  <c r="Q104" i="7"/>
  <c r="J104" i="7"/>
  <c r="G104" i="7"/>
  <c r="F104" i="7"/>
  <c r="E104" i="7"/>
  <c r="D104" i="7"/>
  <c r="M97" i="7"/>
  <c r="R90" i="7"/>
  <c r="Q90" i="7"/>
  <c r="S166" i="7"/>
  <c r="J166" i="7"/>
  <c r="H166" i="7"/>
  <c r="P165" i="7"/>
  <c r="O165" i="7"/>
  <c r="N165" i="7"/>
  <c r="M165" i="7"/>
  <c r="L165" i="7"/>
  <c r="I165" i="7"/>
  <c r="P164" i="7"/>
  <c r="O164" i="7"/>
  <c r="N164" i="7"/>
  <c r="M164" i="7"/>
  <c r="L164" i="7"/>
  <c r="I164" i="7"/>
  <c r="P163" i="7"/>
  <c r="O163" i="7"/>
  <c r="N163" i="7"/>
  <c r="M163" i="7"/>
  <c r="L163" i="7"/>
  <c r="I163" i="7"/>
  <c r="P162" i="7"/>
  <c r="O162" i="7"/>
  <c r="N162" i="7"/>
  <c r="M162" i="7"/>
  <c r="L162" i="7"/>
  <c r="I162" i="7"/>
  <c r="P161" i="7"/>
  <c r="O161" i="7"/>
  <c r="N161" i="7"/>
  <c r="M161" i="7"/>
  <c r="L161" i="7"/>
  <c r="I161" i="7"/>
  <c r="P160" i="7"/>
  <c r="O160" i="7"/>
  <c r="N160" i="7"/>
  <c r="M160" i="7"/>
  <c r="L160" i="7"/>
  <c r="I160" i="7"/>
  <c r="P159" i="7"/>
  <c r="O159" i="7"/>
  <c r="N159" i="7"/>
  <c r="M159" i="7"/>
  <c r="L159" i="7"/>
  <c r="I159" i="7"/>
  <c r="P156" i="7"/>
  <c r="O156" i="7"/>
  <c r="N156" i="7"/>
  <c r="M156" i="7"/>
  <c r="L156" i="7"/>
  <c r="I156" i="7"/>
  <c r="P155" i="7"/>
  <c r="O155" i="7"/>
  <c r="N155" i="7"/>
  <c r="M155" i="7"/>
  <c r="L155" i="7"/>
  <c r="I155" i="7"/>
  <c r="S151" i="7"/>
  <c r="J151" i="7"/>
  <c r="H151" i="7"/>
  <c r="P150" i="7"/>
  <c r="O150" i="7"/>
  <c r="N150" i="7"/>
  <c r="M150" i="7"/>
  <c r="L150" i="7"/>
  <c r="P149" i="7"/>
  <c r="O149" i="7"/>
  <c r="N149" i="7"/>
  <c r="M149" i="7"/>
  <c r="L149" i="7"/>
  <c r="I149" i="7"/>
  <c r="P148" i="7"/>
  <c r="O148" i="7"/>
  <c r="N148" i="7"/>
  <c r="M148" i="7"/>
  <c r="L148" i="7"/>
  <c r="J145" i="7"/>
  <c r="K128" i="7" s="1"/>
  <c r="H145" i="7"/>
  <c r="I128" i="7" s="1"/>
  <c r="P144" i="7"/>
  <c r="O144" i="7"/>
  <c r="N144" i="7"/>
  <c r="M144" i="7"/>
  <c r="L144" i="7"/>
  <c r="I144" i="7"/>
  <c r="P143" i="7"/>
  <c r="O143" i="7"/>
  <c r="N143" i="7"/>
  <c r="M143" i="7"/>
  <c r="L143" i="7"/>
  <c r="I143" i="7"/>
  <c r="P142" i="7"/>
  <c r="O142" i="7"/>
  <c r="N142" i="7"/>
  <c r="M142" i="7"/>
  <c r="L142" i="7"/>
  <c r="I142" i="7"/>
  <c r="P141" i="7"/>
  <c r="O141" i="7"/>
  <c r="N141" i="7"/>
  <c r="M141" i="7"/>
  <c r="L141" i="7"/>
  <c r="I141" i="7"/>
  <c r="P140" i="7"/>
  <c r="O140" i="7"/>
  <c r="N140" i="7"/>
  <c r="M140" i="7"/>
  <c r="L140" i="7"/>
  <c r="I140" i="7"/>
  <c r="P139" i="7"/>
  <c r="O139" i="7"/>
  <c r="N139" i="7"/>
  <c r="M139" i="7"/>
  <c r="L139" i="7"/>
  <c r="I139" i="7"/>
  <c r="P138" i="7"/>
  <c r="O138" i="7"/>
  <c r="N138" i="7"/>
  <c r="M138" i="7"/>
  <c r="L138" i="7"/>
  <c r="I138" i="7"/>
  <c r="P137" i="7"/>
  <c r="O137" i="7"/>
  <c r="N137" i="7"/>
  <c r="M137" i="7"/>
  <c r="L137" i="7"/>
  <c r="I137" i="7"/>
  <c r="P136" i="7"/>
  <c r="O136" i="7"/>
  <c r="M136" i="7"/>
  <c r="L136" i="7"/>
  <c r="I136" i="7"/>
  <c r="P135" i="7"/>
  <c r="O135" i="7"/>
  <c r="N135" i="7"/>
  <c r="M135" i="7"/>
  <c r="L135" i="7"/>
  <c r="I135" i="7"/>
  <c r="P134" i="7"/>
  <c r="O134" i="7"/>
  <c r="N134" i="7"/>
  <c r="M134" i="7"/>
  <c r="L134" i="7"/>
  <c r="I134" i="7"/>
  <c r="P133" i="7"/>
  <c r="O133" i="7"/>
  <c r="N133" i="7"/>
  <c r="M133" i="7"/>
  <c r="L133" i="7"/>
  <c r="I133" i="7"/>
  <c r="P132" i="7"/>
  <c r="O132" i="7"/>
  <c r="N132" i="7"/>
  <c r="M132" i="7"/>
  <c r="L132" i="7"/>
  <c r="I132" i="7"/>
  <c r="P131" i="7"/>
  <c r="O131" i="7"/>
  <c r="N131" i="7"/>
  <c r="M131" i="7"/>
  <c r="L131" i="7"/>
  <c r="I131" i="7"/>
  <c r="P130" i="7"/>
  <c r="O130" i="7"/>
  <c r="N130" i="7"/>
  <c r="M130" i="7"/>
  <c r="L130" i="7"/>
  <c r="I130" i="7"/>
  <c r="P129" i="7"/>
  <c r="O129" i="7"/>
  <c r="N129" i="7"/>
  <c r="M129" i="7"/>
  <c r="L129" i="7"/>
  <c r="I129" i="7"/>
  <c r="P127" i="7"/>
  <c r="O127" i="7"/>
  <c r="N127" i="7"/>
  <c r="M127" i="7"/>
  <c r="L127" i="7"/>
  <c r="I127" i="7"/>
  <c r="S126" i="7"/>
  <c r="S145" i="7" s="1"/>
  <c r="P126" i="7"/>
  <c r="O126" i="7"/>
  <c r="N126" i="7"/>
  <c r="M126" i="7"/>
  <c r="L126" i="7"/>
  <c r="I126" i="7"/>
  <c r="P125" i="7"/>
  <c r="O125" i="7"/>
  <c r="N125" i="7"/>
  <c r="M125" i="7"/>
  <c r="L125" i="7"/>
  <c r="I125" i="7"/>
  <c r="P124" i="7"/>
  <c r="O124" i="7"/>
  <c r="N124" i="7"/>
  <c r="M124" i="7"/>
  <c r="L124" i="7"/>
  <c r="I124" i="7"/>
  <c r="P123" i="7"/>
  <c r="O123" i="7"/>
  <c r="N123" i="7"/>
  <c r="M123" i="7"/>
  <c r="L123" i="7"/>
  <c r="I123" i="7"/>
  <c r="P122" i="7"/>
  <c r="O122" i="7"/>
  <c r="N122" i="7"/>
  <c r="M122" i="7"/>
  <c r="L122" i="7"/>
  <c r="I122" i="7"/>
  <c r="P121" i="7"/>
  <c r="O121" i="7"/>
  <c r="N121" i="7"/>
  <c r="M121" i="7"/>
  <c r="L121" i="7"/>
  <c r="I121" i="7"/>
  <c r="S118" i="7"/>
  <c r="J118" i="7"/>
  <c r="H118" i="7"/>
  <c r="P117" i="7"/>
  <c r="O117" i="7"/>
  <c r="N117" i="7"/>
  <c r="M117" i="7"/>
  <c r="L117" i="7"/>
  <c r="I117" i="7"/>
  <c r="P116" i="7"/>
  <c r="O116" i="7"/>
  <c r="N116" i="7"/>
  <c r="M116" i="7"/>
  <c r="L116" i="7"/>
  <c r="I116" i="7"/>
  <c r="P115" i="7"/>
  <c r="O115" i="7"/>
  <c r="N115" i="7"/>
  <c r="M115" i="7"/>
  <c r="L115" i="7"/>
  <c r="I115" i="7"/>
  <c r="P114" i="7"/>
  <c r="O114" i="7"/>
  <c r="N114" i="7"/>
  <c r="M114" i="7"/>
  <c r="L114" i="7"/>
  <c r="I114" i="7"/>
  <c r="S111" i="7"/>
  <c r="P110" i="7"/>
  <c r="O109" i="7"/>
  <c r="M109" i="7"/>
  <c r="L109" i="7"/>
  <c r="P108" i="7"/>
  <c r="M108" i="7"/>
  <c r="O107" i="7"/>
  <c r="M107" i="7"/>
  <c r="L107" i="7"/>
  <c r="P106" i="7"/>
  <c r="O105" i="7"/>
  <c r="M105" i="7"/>
  <c r="L105" i="7"/>
  <c r="P104" i="7"/>
  <c r="M104" i="7"/>
  <c r="O103" i="7"/>
  <c r="M103" i="7"/>
  <c r="L103" i="7"/>
  <c r="P102" i="7"/>
  <c r="P99" i="7"/>
  <c r="O99" i="7"/>
  <c r="N99" i="7"/>
  <c r="M99" i="7"/>
  <c r="P98" i="7"/>
  <c r="O98" i="7"/>
  <c r="N98" i="7"/>
  <c r="M98" i="7"/>
  <c r="L98" i="7"/>
  <c r="P97" i="7"/>
  <c r="O96" i="7"/>
  <c r="M96" i="7"/>
  <c r="L96" i="7"/>
  <c r="P95" i="7"/>
  <c r="P94" i="7"/>
  <c r="O94" i="7"/>
  <c r="N94" i="7"/>
  <c r="M94" i="7"/>
  <c r="L94" i="7"/>
  <c r="P93" i="7"/>
  <c r="O93" i="7"/>
  <c r="N93" i="7"/>
  <c r="M93" i="7"/>
  <c r="L93" i="7"/>
  <c r="P92" i="7"/>
  <c r="O92" i="7"/>
  <c r="N92" i="7"/>
  <c r="M92" i="7"/>
  <c r="L92" i="7"/>
  <c r="P91" i="7"/>
  <c r="M91" i="7"/>
  <c r="P90" i="7"/>
  <c r="O90" i="7"/>
  <c r="N90" i="7"/>
  <c r="M90" i="7"/>
  <c r="L90" i="7"/>
  <c r="S86" i="7"/>
  <c r="J86" i="7"/>
  <c r="H86" i="7"/>
  <c r="P85" i="7"/>
  <c r="O85" i="7"/>
  <c r="N85" i="7"/>
  <c r="M85" i="7"/>
  <c r="P84" i="7"/>
  <c r="O84" i="7"/>
  <c r="N84" i="7"/>
  <c r="M84" i="7"/>
  <c r="P83" i="7"/>
  <c r="O83" i="7"/>
  <c r="N83" i="7"/>
  <c r="M83" i="7"/>
  <c r="P82" i="7"/>
  <c r="O82" i="7"/>
  <c r="N82" i="7"/>
  <c r="M82" i="7"/>
  <c r="P81" i="7"/>
  <c r="O81" i="7"/>
  <c r="N81" i="7"/>
  <c r="M81" i="7"/>
  <c r="P80" i="7"/>
  <c r="O80" i="7"/>
  <c r="N80" i="7"/>
  <c r="M80" i="7"/>
  <c r="P79" i="7"/>
  <c r="O79" i="7"/>
  <c r="N79" i="7"/>
  <c r="M79" i="7"/>
  <c r="P78" i="7"/>
  <c r="O78" i="7"/>
  <c r="N78" i="7"/>
  <c r="M78" i="7"/>
  <c r="P77" i="7"/>
  <c r="O77" i="7"/>
  <c r="N77" i="7"/>
  <c r="M77" i="7"/>
  <c r="P76" i="7"/>
  <c r="O76" i="7"/>
  <c r="N76" i="7"/>
  <c r="M76" i="7"/>
  <c r="P75" i="7"/>
  <c r="O75" i="7"/>
  <c r="N75" i="7"/>
  <c r="M75" i="7"/>
  <c r="P74" i="7"/>
  <c r="O74" i="7"/>
  <c r="N74" i="7"/>
  <c r="M74" i="7"/>
  <c r="P73" i="7"/>
  <c r="O73" i="7"/>
  <c r="N73" i="7"/>
  <c r="M73" i="7"/>
  <c r="P72" i="7"/>
  <c r="O72" i="7"/>
  <c r="N72" i="7"/>
  <c r="M72" i="7"/>
  <c r="P71" i="7"/>
  <c r="O71" i="7"/>
  <c r="N71" i="7"/>
  <c r="M71" i="7"/>
  <c r="P70" i="7"/>
  <c r="O70" i="7"/>
  <c r="N70" i="7"/>
  <c r="M70" i="7"/>
  <c r="P69" i="7"/>
  <c r="O69" i="7"/>
  <c r="N69" i="7"/>
  <c r="M69" i="7"/>
  <c r="P68" i="7"/>
  <c r="O68" i="7"/>
  <c r="N68" i="7"/>
  <c r="M68" i="7"/>
  <c r="P67" i="7"/>
  <c r="O67" i="7"/>
  <c r="N67" i="7"/>
  <c r="M67" i="7"/>
  <c r="P65" i="7"/>
  <c r="O65" i="7"/>
  <c r="N65" i="7"/>
  <c r="M65" i="7"/>
  <c r="P64" i="7"/>
  <c r="O64" i="7"/>
  <c r="N64" i="7"/>
  <c r="M64" i="7"/>
  <c r="P63" i="7"/>
  <c r="O63" i="7"/>
  <c r="N63" i="7"/>
  <c r="M63" i="7"/>
  <c r="P62" i="7"/>
  <c r="O62" i="7"/>
  <c r="N62" i="7"/>
  <c r="M62" i="7"/>
  <c r="P61" i="7"/>
  <c r="O61" i="7"/>
  <c r="N61" i="7"/>
  <c r="M61" i="7"/>
  <c r="P60" i="7"/>
  <c r="O60" i="7"/>
  <c r="N60" i="7"/>
  <c r="M60" i="7"/>
  <c r="P59" i="7"/>
  <c r="O59" i="7"/>
  <c r="N59" i="7"/>
  <c r="M59" i="7"/>
  <c r="P58" i="7"/>
  <c r="O58" i="7"/>
  <c r="N58" i="7"/>
  <c r="M58" i="7"/>
  <c r="P57" i="7"/>
  <c r="O57" i="7"/>
  <c r="N57" i="7"/>
  <c r="M57" i="7"/>
  <c r="P56" i="7"/>
  <c r="O56" i="7"/>
  <c r="N56" i="7"/>
  <c r="M56" i="7"/>
  <c r="S53" i="7"/>
  <c r="J53" i="7"/>
  <c r="H53" i="7"/>
  <c r="P52" i="7"/>
  <c r="O52" i="7"/>
  <c r="N52" i="7"/>
  <c r="M52" i="7"/>
  <c r="L52" i="7"/>
  <c r="P51" i="7"/>
  <c r="O51" i="7"/>
  <c r="N51" i="7"/>
  <c r="M51" i="7"/>
  <c r="L51" i="7"/>
  <c r="P50" i="7"/>
  <c r="O50" i="7"/>
  <c r="N50" i="7"/>
  <c r="M50" i="7"/>
  <c r="L50" i="7"/>
  <c r="P49" i="7"/>
  <c r="O49" i="7"/>
  <c r="N49" i="7"/>
  <c r="M49" i="7"/>
  <c r="L49" i="7"/>
  <c r="P48" i="7"/>
  <c r="O48" i="7"/>
  <c r="N48" i="7"/>
  <c r="M48" i="7"/>
  <c r="L48" i="7"/>
  <c r="P47" i="7"/>
  <c r="O47" i="7"/>
  <c r="N47" i="7"/>
  <c r="M47" i="7"/>
  <c r="L47" i="7"/>
  <c r="P46" i="7"/>
  <c r="O46" i="7"/>
  <c r="N46" i="7"/>
  <c r="M46" i="7"/>
  <c r="L46" i="7"/>
  <c r="P45" i="7"/>
  <c r="O45" i="7"/>
  <c r="N45" i="7"/>
  <c r="M45" i="7"/>
  <c r="L45" i="7"/>
  <c r="P44" i="7"/>
  <c r="O44" i="7"/>
  <c r="N44" i="7"/>
  <c r="M44" i="7"/>
  <c r="L44" i="7"/>
  <c r="P43" i="7"/>
  <c r="O43" i="7"/>
  <c r="N43" i="7"/>
  <c r="M43" i="7"/>
  <c r="L43" i="7"/>
  <c r="P42" i="7"/>
  <c r="O42" i="7"/>
  <c r="N42" i="7"/>
  <c r="M42" i="7"/>
  <c r="L42" i="7"/>
  <c r="P41" i="7"/>
  <c r="O41" i="7"/>
  <c r="N41" i="7"/>
  <c r="M41" i="7"/>
  <c r="L41" i="7"/>
  <c r="P40" i="7"/>
  <c r="O40" i="7"/>
  <c r="N40" i="7"/>
  <c r="M40" i="7"/>
  <c r="L40" i="7"/>
  <c r="P39" i="7"/>
  <c r="O39" i="7"/>
  <c r="N39" i="7"/>
  <c r="M39" i="7"/>
  <c r="L39" i="7"/>
  <c r="P38" i="7"/>
  <c r="O38" i="7"/>
  <c r="N38" i="7"/>
  <c r="M38" i="7"/>
  <c r="L38" i="7"/>
  <c r="P37" i="7"/>
  <c r="O37" i="7"/>
  <c r="N37" i="7"/>
  <c r="M37" i="7"/>
  <c r="L37" i="7"/>
  <c r="P36" i="7"/>
  <c r="O36" i="7"/>
  <c r="N36" i="7"/>
  <c r="M36" i="7"/>
  <c r="L36" i="7"/>
  <c r="P35" i="7"/>
  <c r="O35" i="7"/>
  <c r="N35" i="7"/>
  <c r="M35" i="7"/>
  <c r="L35" i="7"/>
  <c r="P34" i="7"/>
  <c r="O34" i="7"/>
  <c r="N34" i="7"/>
  <c r="M34" i="7"/>
  <c r="L34" i="7"/>
  <c r="P33" i="7"/>
  <c r="O33" i="7"/>
  <c r="N33" i="7"/>
  <c r="M33" i="7"/>
  <c r="L33" i="7"/>
  <c r="P32" i="7"/>
  <c r="O32" i="7"/>
  <c r="N32" i="7"/>
  <c r="M32" i="7"/>
  <c r="L32" i="7"/>
  <c r="P31" i="7"/>
  <c r="O31" i="7"/>
  <c r="N31" i="7"/>
  <c r="M31" i="7"/>
  <c r="L31" i="7"/>
  <c r="P30" i="7"/>
  <c r="O30" i="7"/>
  <c r="N30" i="7"/>
  <c r="M30" i="7"/>
  <c r="L30" i="7"/>
  <c r="P29" i="7"/>
  <c r="O29" i="7"/>
  <c r="N29" i="7"/>
  <c r="M29" i="7"/>
  <c r="L29" i="7"/>
  <c r="P28" i="7"/>
  <c r="O28" i="7"/>
  <c r="N28" i="7"/>
  <c r="M28" i="7"/>
  <c r="L28" i="7"/>
  <c r="P27" i="7"/>
  <c r="O27" i="7"/>
  <c r="N27" i="7"/>
  <c r="M27" i="7"/>
  <c r="L27" i="7"/>
  <c r="P26" i="7"/>
  <c r="O26" i="7"/>
  <c r="N26" i="7"/>
  <c r="M26" i="7"/>
  <c r="L26" i="7"/>
  <c r="P25" i="7"/>
  <c r="O25" i="7"/>
  <c r="N25" i="7"/>
  <c r="M25" i="7"/>
  <c r="L25" i="7"/>
  <c r="P24" i="7"/>
  <c r="O24" i="7"/>
  <c r="N24" i="7"/>
  <c r="M24" i="7"/>
  <c r="L24" i="7"/>
  <c r="I24" i="7"/>
  <c r="S21" i="7"/>
  <c r="J21" i="7"/>
  <c r="H21" i="7"/>
  <c r="P20" i="7"/>
  <c r="O20" i="7"/>
  <c r="N20" i="7"/>
  <c r="M20" i="7"/>
  <c r="L20" i="7"/>
  <c r="P19" i="7"/>
  <c r="O19" i="7"/>
  <c r="N19" i="7"/>
  <c r="M19" i="7"/>
  <c r="L19" i="7"/>
  <c r="P18" i="7"/>
  <c r="O18" i="7"/>
  <c r="N18" i="7"/>
  <c r="M18" i="7"/>
  <c r="L18" i="7"/>
  <c r="P17" i="7"/>
  <c r="O17" i="7"/>
  <c r="N17" i="7"/>
  <c r="M17" i="7"/>
  <c r="L17" i="7"/>
  <c r="P16" i="7"/>
  <c r="O16" i="7"/>
  <c r="N16" i="7"/>
  <c r="M16" i="7"/>
  <c r="L16" i="7"/>
  <c r="P15" i="7"/>
  <c r="O15" i="7"/>
  <c r="N15" i="7"/>
  <c r="M15" i="7"/>
  <c r="L15" i="7"/>
  <c r="P14" i="7"/>
  <c r="O14" i="7"/>
  <c r="N14" i="7"/>
  <c r="M14" i="7"/>
  <c r="L14" i="7"/>
  <c r="P13" i="7"/>
  <c r="O13" i="7"/>
  <c r="N13" i="7"/>
  <c r="M13" i="7"/>
  <c r="L13" i="7"/>
  <c r="P12" i="7"/>
  <c r="O12" i="7"/>
  <c r="N12" i="7"/>
  <c r="M12" i="7"/>
  <c r="L12" i="7"/>
  <c r="P11" i="7"/>
  <c r="O11" i="7"/>
  <c r="N11" i="7"/>
  <c r="M11" i="7"/>
  <c r="L11" i="7"/>
  <c r="P10" i="7"/>
  <c r="O10" i="7"/>
  <c r="N10" i="7"/>
  <c r="M10" i="7"/>
  <c r="L10" i="7"/>
  <c r="P8" i="7"/>
  <c r="O8" i="7"/>
  <c r="N8" i="7"/>
  <c r="M8" i="7"/>
  <c r="L8" i="7"/>
  <c r="P7" i="7"/>
  <c r="O7" i="7"/>
  <c r="N7" i="7"/>
  <c r="M7" i="7"/>
  <c r="L7" i="7"/>
  <c r="P6" i="7"/>
  <c r="O6" i="7"/>
  <c r="N6" i="7"/>
  <c r="M6" i="7"/>
  <c r="L6" i="7"/>
  <c r="P5" i="7"/>
  <c r="O5" i="7"/>
  <c r="N5" i="7"/>
  <c r="M5" i="7"/>
  <c r="L5" i="7"/>
  <c r="I5" i="7"/>
  <c r="L86" i="7" l="1"/>
  <c r="K79" i="7"/>
  <c r="K80" i="7"/>
  <c r="K81" i="7"/>
  <c r="K82" i="7"/>
  <c r="K83" i="7"/>
  <c r="K84" i="7"/>
  <c r="K85" i="7"/>
  <c r="K160" i="7"/>
  <c r="K161" i="7"/>
  <c r="K162" i="7"/>
  <c r="K163" i="7"/>
  <c r="K164" i="7"/>
  <c r="K165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66" i="7"/>
  <c r="L118" i="7"/>
  <c r="L145" i="7"/>
  <c r="L166" i="7"/>
  <c r="K114" i="7"/>
  <c r="K116" i="7"/>
  <c r="K115" i="7"/>
  <c r="K117" i="7"/>
  <c r="K159" i="7"/>
  <c r="K155" i="7"/>
  <c r="K156" i="7"/>
  <c r="K135" i="7"/>
  <c r="K138" i="7"/>
  <c r="K123" i="7"/>
  <c r="K131" i="7"/>
  <c r="K141" i="7"/>
  <c r="K121" i="7"/>
  <c r="K125" i="7"/>
  <c r="K129" i="7"/>
  <c r="K133" i="7"/>
  <c r="K143" i="7"/>
  <c r="K122" i="7"/>
  <c r="K124" i="7"/>
  <c r="K126" i="7"/>
  <c r="K127" i="7"/>
  <c r="K130" i="7"/>
  <c r="K132" i="7"/>
  <c r="K134" i="7"/>
  <c r="K136" i="7"/>
  <c r="K137" i="7"/>
  <c r="K139" i="7"/>
  <c r="K140" i="7"/>
  <c r="K142" i="7"/>
  <c r="K144" i="7"/>
  <c r="K61" i="7"/>
  <c r="K71" i="7"/>
  <c r="K57" i="7"/>
  <c r="K65" i="7"/>
  <c r="K67" i="7"/>
  <c r="K75" i="7"/>
  <c r="K59" i="7"/>
  <c r="K63" i="7"/>
  <c r="K69" i="7"/>
  <c r="K73" i="7"/>
  <c r="K77" i="7"/>
  <c r="K56" i="7"/>
  <c r="K58" i="7"/>
  <c r="K60" i="7"/>
  <c r="K62" i="7"/>
  <c r="K64" i="7"/>
  <c r="K68" i="7"/>
  <c r="K70" i="7"/>
  <c r="K72" i="7"/>
  <c r="K74" i="7"/>
  <c r="K76" i="7"/>
  <c r="K78" i="7"/>
  <c r="K24" i="7"/>
  <c r="L21" i="7"/>
  <c r="L53" i="7"/>
  <c r="H111" i="7"/>
  <c r="I99" i="7" s="1"/>
  <c r="L91" i="7"/>
  <c r="O95" i="7"/>
  <c r="N95" i="7"/>
  <c r="I97" i="7"/>
  <c r="L97" i="7"/>
  <c r="O102" i="7"/>
  <c r="N102" i="7"/>
  <c r="I104" i="7"/>
  <c r="L104" i="7"/>
  <c r="P105" i="7"/>
  <c r="N105" i="7"/>
  <c r="O106" i="7"/>
  <c r="N106" i="7"/>
  <c r="I108" i="7"/>
  <c r="L108" i="7"/>
  <c r="P109" i="7"/>
  <c r="N109" i="7"/>
  <c r="O110" i="7"/>
  <c r="N110" i="7"/>
  <c r="K149" i="7"/>
  <c r="K5" i="7"/>
  <c r="S167" i="7"/>
  <c r="J111" i="7"/>
  <c r="O91" i="7"/>
  <c r="N91" i="7"/>
  <c r="M95" i="7"/>
  <c r="I95" i="7"/>
  <c r="L95" i="7"/>
  <c r="P96" i="7"/>
  <c r="N96" i="7"/>
  <c r="O97" i="7"/>
  <c r="N97" i="7"/>
  <c r="L99" i="7"/>
  <c r="M102" i="7"/>
  <c r="L102" i="7"/>
  <c r="P103" i="7"/>
  <c r="N103" i="7"/>
  <c r="O104" i="7"/>
  <c r="N104" i="7"/>
  <c r="M106" i="7"/>
  <c r="I106" i="7"/>
  <c r="L106" i="7"/>
  <c r="P107" i="7"/>
  <c r="N107" i="7"/>
  <c r="O108" i="7"/>
  <c r="N108" i="7"/>
  <c r="M110" i="7"/>
  <c r="L110" i="7"/>
  <c r="K148" i="7"/>
  <c r="K150" i="7"/>
  <c r="I150" i="7"/>
  <c r="I148" i="7"/>
  <c r="L151" i="7"/>
  <c r="K95" i="7" l="1"/>
  <c r="B8" i="3"/>
  <c r="D8" i="2"/>
  <c r="I110" i="7"/>
  <c r="I102" i="7"/>
  <c r="K108" i="7"/>
  <c r="K104" i="7"/>
  <c r="K97" i="7"/>
  <c r="K91" i="7"/>
  <c r="K106" i="7"/>
  <c r="I98" i="7"/>
  <c r="I94" i="7"/>
  <c r="I92" i="7"/>
  <c r="I90" i="7"/>
  <c r="I107" i="7"/>
  <c r="I103" i="7"/>
  <c r="I96" i="7"/>
  <c r="I93" i="7"/>
  <c r="I109" i="7"/>
  <c r="I105" i="7"/>
  <c r="L111" i="7"/>
  <c r="K93" i="7"/>
  <c r="K107" i="7"/>
  <c r="K103" i="7"/>
  <c r="K98" i="7"/>
  <c r="K96" i="7"/>
  <c r="K94" i="7"/>
  <c r="K92" i="7"/>
  <c r="K109" i="7"/>
  <c r="K105" i="7"/>
  <c r="K99" i="7"/>
  <c r="K90" i="7"/>
  <c r="K110" i="7"/>
  <c r="K102" i="7"/>
  <c r="I91" i="7"/>
  <c r="H167" i="7"/>
  <c r="I111" i="7" s="1"/>
  <c r="J167" i="7"/>
  <c r="K166" i="7" l="1"/>
  <c r="K145" i="7"/>
  <c r="K118" i="7"/>
  <c r="K86" i="7"/>
  <c r="K151" i="7"/>
  <c r="K53" i="7"/>
  <c r="K21" i="7"/>
  <c r="I166" i="7"/>
  <c r="I145" i="7"/>
  <c r="I118" i="7"/>
  <c r="I86" i="7"/>
  <c r="I21" i="7"/>
  <c r="I53" i="7"/>
  <c r="I151" i="7"/>
  <c r="K111" i="7"/>
</calcChain>
</file>

<file path=xl/sharedStrings.xml><?xml version="1.0" encoding="utf-8"?>
<sst xmlns="http://schemas.openxmlformats.org/spreadsheetml/2006/main" count="420" uniqueCount="301">
  <si>
    <t>MONTHLY UPDATE ON REGISTERED MUTUAL FUNDS AS AT 30TH JUNE, 2023</t>
  </si>
  <si>
    <t>S/N</t>
  </si>
  <si>
    <t>FUND</t>
  </si>
  <si>
    <t>FUND MANAGER</t>
  </si>
  <si>
    <t>TOTAL VALUE OF INVESTMENT (N)</t>
  </si>
  <si>
    <t>TOTAL INCOME (N)</t>
  </si>
  <si>
    <t>TOTAL EXPENSES (N)</t>
  </si>
  <si>
    <t>NET INCOME/LOSS (N)</t>
  </si>
  <si>
    <t>% ON TOTAL</t>
  </si>
  <si>
    <t xml:space="preserve">NET ASSET VALUE (N) </t>
  </si>
  <si>
    <t>% CHANGE IN NAV</t>
  </si>
  <si>
    <t>EXPENSE RATIO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</si>
  <si>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</si>
  <si>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</si>
  <si>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</si>
  <si>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</si>
  <si>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</si>
  <si>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</si>
  <si>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OPENING NUMBER OF UNITS</t>
  </si>
  <si>
    <t>CLOSING NUMBER OF UNITS</t>
  </si>
  <si>
    <t>EQUITY BASED FUNDS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</si>
  <si>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</si>
  <si>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</si>
  <si>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</si>
  <si>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</si>
  <si>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</si>
  <si>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</si>
  <si>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</si>
  <si>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</si>
  <si>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</si>
  <si>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</si>
  <si>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62,460,482.57</t>
  </si>
  <si>
    <t>523,392,877.72</t>
  </si>
  <si>
    <t>Frontier Fund</t>
  </si>
  <si>
    <t>SCM Capital Limited</t>
  </si>
  <si>
    <t>Futureview Equity Fund</t>
  </si>
  <si>
    <t xml:space="preserve">Futureview Asset Management Limited </t>
  </si>
  <si>
    <t>Guaranty Trust Equity Income Fund</t>
  </si>
  <si>
    <t>Guaranty Trust Fund Managers Limited</t>
  </si>
  <si>
    <t>Legacy Equity Fund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</si>
  <si>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</si>
  <si>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</si>
  <si>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</si>
  <si>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</si>
  <si>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</si>
  <si>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</si>
  <si>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</si>
  <si>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</si>
  <si>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</si>
  <si>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Cowry Treasurers Limited</t>
  </si>
  <si>
    <t>United Capital Equity Fund</t>
  </si>
  <si>
    <t>United Capital Asset Mgt. Ltd</t>
  </si>
  <si>
    <t>Sub 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</si>
  <si>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</si>
  <si>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</si>
  <si>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</si>
  <si>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</si>
  <si>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</si>
  <si>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</si>
  <si>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</si>
  <si>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 xml:space="preserve">AXA Mansard Investments Limited </t>
  </si>
  <si>
    <t>Chapel Hill Denham Money Market Fund(Frml NGIF)</t>
  </si>
  <si>
    <t>Coral Money Market Fund (FSDH Treasury Bill Fund)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</si>
  <si>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</si>
  <si>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</si>
  <si>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</si>
  <si>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</si>
  <si>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</si>
  <si>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</si>
  <si>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</si>
  <si>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</si>
  <si>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</si>
  <si>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</si>
  <si>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</si>
  <si>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</si>
  <si>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</si>
  <si>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</si>
  <si>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</si>
  <si>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</si>
  <si>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</si>
  <si>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</si>
  <si>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>Greenwich Plus Money Market</t>
  </si>
  <si>
    <t xml:space="preserve">Greenwich Asst Management Ltd </t>
  </si>
  <si>
    <t>Guaranty Trust Money Market Fund</t>
  </si>
  <si>
    <t>Legacy Money Market Fund</t>
  </si>
  <si>
    <t>Meristem Money Market Fund</t>
  </si>
  <si>
    <t>Norrenberger Money Market Fund</t>
  </si>
  <si>
    <t>Norrenberger Investment and Capital Management Limited</t>
  </si>
  <si>
    <t>NOVA Prime Money Market Fund</t>
  </si>
  <si>
    <t>NOVAMBL Asset Management Limited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</si>
  <si>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</si>
  <si>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</si>
  <si>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</si>
  <si>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</si>
  <si>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</si>
  <si>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</si>
  <si>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</si>
  <si>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</si>
  <si>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</si>
  <si>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</si>
  <si>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</si>
  <si>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</si>
  <si>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</si>
  <si>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</si>
  <si>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</si>
  <si>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</si>
  <si>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</si>
  <si>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</si>
  <si>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</si>
  <si>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</si>
  <si>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</si>
  <si>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Assset &amp; Trust Limited</t>
  </si>
  <si>
    <t>Chapel Hill Denham Nigeria Bond Fund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</si>
  <si>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</si>
  <si>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</si>
  <si>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</si>
  <si>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</si>
  <si>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</si>
  <si>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</si>
  <si>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</si>
  <si>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</si>
  <si>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</si>
  <si>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</si>
  <si>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</si>
  <si>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</si>
  <si>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</si>
  <si>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</si>
  <si>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</si>
  <si>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</si>
  <si>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</si>
  <si>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</si>
  <si>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</si>
  <si>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</si>
  <si>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</si>
  <si>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</si>
  <si>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</si>
  <si>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Vantage Guaranteed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</si>
  <si>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</si>
  <si>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</si>
  <si>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</si>
  <si>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</si>
  <si>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</si>
  <si>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</si>
  <si>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</si>
  <si>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</si>
  <si>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</si>
  <si>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</si>
  <si>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</si>
  <si>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</si>
  <si>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</si>
  <si>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 xml:space="preserve">Nigerian Eurobond Fund </t>
  </si>
  <si>
    <t>Norrenberger Dollar Fund</t>
  </si>
  <si>
    <t>Norrenberger Investment &amp; Capital Management Limited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</si>
  <si>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</si>
  <si>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</si>
  <si>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</si>
  <si>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</si>
  <si>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</si>
  <si>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</si>
  <si>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</si>
  <si>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</si>
  <si>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</si>
  <si>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 xml:space="preserve">United Capital Global Fixed Income Fund </t>
  </si>
  <si>
    <t>Vantage Dollar Fund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</si>
  <si>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</si>
  <si>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</si>
  <si>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</si>
  <si>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</si>
  <si>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</si>
  <si>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</si>
  <si>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BALANCED FUNDS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</si>
  <si>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</si>
  <si>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</si>
  <si>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</si>
  <si>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</si>
  <si>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</si>
  <si>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</si>
  <si>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</si>
  <si>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</si>
  <si>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</si>
  <si>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Emerging Africa Balanced-Diversity Fund</t>
  </si>
  <si>
    <t>FBN Balanced Fund</t>
  </si>
  <si>
    <t>GDL Canary Balanced Fund</t>
  </si>
  <si>
    <t>Greenwich Balanced Fund</t>
  </si>
  <si>
    <t>Guaranty Trust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</si>
  <si>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</si>
  <si>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</si>
  <si>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</si>
  <si>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</si>
  <si>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</si>
  <si>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</si>
  <si>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</si>
  <si>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</si>
  <si>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Women's Balanced Fund</t>
  </si>
  <si>
    <t>Zenith Balanced Strategy Fund</t>
  </si>
  <si>
    <t>ETHICAL FUNDS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</si>
  <si>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</si>
  <si>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</si>
  <si>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</si>
  <si>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</si>
  <si>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</si>
  <si>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</si>
  <si>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</si>
  <si>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</si>
  <si>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 xml:space="preserve">Capital Trust Investments &amp; Asset Mgt. Ltd </t>
  </si>
  <si>
    <t>Cordros Halal Fixed Income Fund</t>
  </si>
  <si>
    <t>EDC Halal Fund</t>
  </si>
  <si>
    <t>FBN Halal Fund</t>
  </si>
  <si>
    <t>Norrenberger Islamic Fund</t>
  </si>
  <si>
    <t>Stanbic IBTC Shariah Fixed Income Fund</t>
  </si>
  <si>
    <t>United Capital Sukuk Fund</t>
  </si>
  <si>
    <t>Grand Total</t>
  </si>
  <si>
    <t>Note:</t>
  </si>
  <si>
    <t>FUNDS</t>
  </si>
  <si>
    <t>April 2023</t>
  </si>
  <si>
    <t>May 2023</t>
  </si>
  <si>
    <t>BONDS/FIXED INCOME FUNDS</t>
  </si>
  <si>
    <t>DOLLAR FUNDS</t>
  </si>
  <si>
    <t>REAL ESTATE INVESTMENT TRUST</t>
  </si>
  <si>
    <t>SHARI'AH COMPLAINT FUNDS</t>
  </si>
  <si>
    <t>UNIT HOLDERS</t>
  </si>
  <si>
    <t>5,510,102,445.48</t>
  </si>
  <si>
    <t xml:space="preserve">  2,798,900</t>
  </si>
  <si>
    <t>271,208,906</t>
  </si>
  <si>
    <t>1,886,535,226.29</t>
  </si>
  <si>
    <t>1,948,597,406.77</t>
  </si>
  <si>
    <t>901,862,591.15</t>
  </si>
  <si>
    <t>10,991,914.28</t>
  </si>
  <si>
    <t>1,861,570.26</t>
  </si>
  <si>
    <t>9,130,344.02</t>
  </si>
  <si>
    <t>1,237,266,697</t>
  </si>
  <si>
    <t>1,937,696,659</t>
  </si>
  <si>
    <t>209,131,037.62</t>
  </si>
  <si>
    <t>27,368,013.14</t>
  </si>
  <si>
    <t>181,763,024.48</t>
  </si>
  <si>
    <t>22,778,898,528.7500</t>
  </si>
  <si>
    <t>24,177,193,661.9000</t>
  </si>
  <si>
    <t>213,158,666.95</t>
  </si>
  <si>
    <t>2,662,350.62</t>
  </si>
  <si>
    <t>391,684.19</t>
  </si>
  <si>
    <t>361,041,487.10</t>
  </si>
  <si>
    <t>2,826,205.06</t>
  </si>
  <si>
    <t>209,604,706.51</t>
  </si>
  <si>
    <t>10,618,803.13</t>
  </si>
  <si>
    <t>1,449,667.18</t>
  </si>
  <si>
    <t>721,608,808.95</t>
  </si>
  <si>
    <t>713,348,258.11</t>
  </si>
  <si>
    <t>76,543,447.98</t>
  </si>
  <si>
    <t>87,924,303,026</t>
  </si>
  <si>
    <t>737,578,758</t>
  </si>
  <si>
    <t>161,809,692</t>
  </si>
  <si>
    <t>575,769,066</t>
  </si>
  <si>
    <t>50,700,929,820</t>
  </si>
  <si>
    <t>54,133,639,603</t>
  </si>
  <si>
    <t xml:space="preserve">       2,506,990,396.47</t>
  </si>
  <si>
    <t>20,117,310.27</t>
  </si>
  <si>
    <t>4,308,775.53</t>
  </si>
  <si>
    <t>15,808,534.74</t>
  </si>
  <si>
    <t>1,327.00</t>
  </si>
  <si>
    <t>105,746,339.9200</t>
  </si>
  <si>
    <t>105,229,640.0100</t>
  </si>
  <si>
    <t>21,899,725,261.59</t>
  </si>
  <si>
    <t>128,496,523.76</t>
  </si>
  <si>
    <t>34,837,851.48</t>
  </si>
  <si>
    <t>12,598,529,421.76</t>
  </si>
  <si>
    <t>158,860.45</t>
  </si>
  <si>
    <t>164,123.86</t>
  </si>
  <si>
    <t>6,195,349,472.09</t>
  </si>
  <si>
    <t>22,365,609</t>
  </si>
  <si>
    <t>22,378,868.92</t>
  </si>
  <si>
    <t>16.1698</t>
  </si>
  <si>
    <t>16.3405</t>
  </si>
  <si>
    <t>6,301.00</t>
  </si>
  <si>
    <t>700,584,387.35</t>
  </si>
  <si>
    <t>3,437,902.74</t>
  </si>
  <si>
    <t>23,358,921.85</t>
  </si>
  <si>
    <t>678,430,711.42</t>
  </si>
  <si>
    <t>18.5908</t>
  </si>
  <si>
    <t>18.7804</t>
  </si>
  <si>
    <t>1,508.00</t>
  </si>
  <si>
    <t>35,733,327.1500</t>
  </si>
  <si>
    <t>36,494,245.4300</t>
  </si>
  <si>
    <t>9,208,704,373.35</t>
  </si>
  <si>
    <t>100,478,486.32</t>
  </si>
  <si>
    <t>14,699,396.05</t>
  </si>
  <si>
    <t>85,779,090.27</t>
  </si>
  <si>
    <t>2,043,988,673</t>
  </si>
  <si>
    <t xml:space="preserve"> 29,200,408</t>
  </si>
  <si>
    <t xml:space="preserve">365,518.868.49 </t>
  </si>
  <si>
    <t>28 754 897.86</t>
  </si>
  <si>
    <t>15,735,761.49</t>
  </si>
  <si>
    <t>NET ASSET VALUE (N) PREVIOUS - MAY</t>
  </si>
  <si>
    <t>Cowry Equity Fund</t>
  </si>
  <si>
    <t>Cowry Fixed Income Fund</t>
  </si>
  <si>
    <t>Norrenberger Investment &amp; Capital Mgt. Ltd.</t>
  </si>
  <si>
    <t>Cowry Balanced Fund</t>
  </si>
  <si>
    <r>
      <t>US$/NG</t>
    </r>
    <r>
      <rPr>
        <strike/>
        <sz val="10"/>
        <color theme="0"/>
        <rFont val="Times New Roman"/>
        <family val="1"/>
      </rPr>
      <t>N</t>
    </r>
    <r>
      <rPr>
        <sz val="10"/>
        <color theme="0"/>
        <rFont val="Times New Roman"/>
        <family val="1"/>
      </rPr>
      <t xml:space="preserve"> I&amp;E as at 30th June, 2023 = N770.88</t>
    </r>
  </si>
  <si>
    <t>FCMB Asset Management Limited</t>
  </si>
  <si>
    <t>June 2023</t>
  </si>
  <si>
    <t>The chart above shows that the Money Market Fund has the highest share of the Aggregate Net Asset Value (NAV) at 44.92%, followed by Dollar Fund (Eurobonds and Fixed Income) with 27.93%, Bond/Fixed Income Fund at 17.65%, Real Estate Investment Trust at 5.11%.  Next is Balanced Fund at 1.69%, Shari'ah Compliant Fund at 1.43%, Equity Fund at 1.11% and Ethical Fund at 0.15%.</t>
  </si>
  <si>
    <t>FBN Bond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</si>
</sst>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 &quot;* #,##0.00&quot; &quot;;&quot;-&quot;* #,##0.00&quot; &quot;;&quot; &quot;* &quot;-&quot;??&quot; &quot;"/>
    <numFmt numFmtId="167" formatCode="&quot; &quot;* #,##0&quot; &quot;;&quot;-&quot;* #,##0&quot; &quot;;&quot; &quot;* &quot;-&quot;??&quot; &quot;"/>
    <numFmt numFmtId="168" formatCode="&quot; &quot;* #,##0.00&quot; &quot;;&quot; &quot;* \(#,##0.00\);&quot; &quot;* &quot;-&quot;??&quot; &quot;"/>
  </numFmts>
  <fonts count="44">
    <font>
      <sz val="11"/>
      <color theme="1"/>
      <name val="Calibri"/>
      <charset val="134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8"/>
      <color theme="0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sz val="10"/>
      <color theme="1"/>
      <name val="Calibri"/>
      <family val="2"/>
      <scheme val="minor"/>
    </font>
    <font>
      <b/>
      <sz val="10"/>
      <color indexed="8"/>
      <name val="Century Gothic"/>
      <family val="2"/>
    </font>
    <font>
      <b/>
      <sz val="10"/>
      <color theme="1"/>
      <name val="Century Gothic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0"/>
      <name val="Times New Roman"/>
      <family val="1"/>
    </font>
    <font>
      <strike/>
      <sz val="10"/>
      <color theme="0"/>
      <name val="Times New Roman"/>
      <family val="1"/>
    </font>
    <font>
      <sz val="10"/>
      <color indexed="8"/>
      <name val="Arial Narrow"/>
      <family val="2"/>
    </font>
    <font>
      <b/>
      <sz val="8"/>
      <color indexed="8"/>
      <name val="Century Gothic"/>
      <family val="2"/>
    </font>
    <font>
      <sz val="8"/>
      <name val="Century Gothic"/>
      <family val="2"/>
    </font>
    <font>
      <sz val="8"/>
      <color indexed="8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b/>
      <sz val="8"/>
      <color rgb="FF00B050"/>
      <name val="Century Gothic"/>
      <family val="2"/>
    </font>
    <font>
      <sz val="8"/>
      <color theme="1"/>
      <name val="Century Gothic"/>
      <family val="2"/>
    </font>
    <font>
      <sz val="8"/>
      <color rgb="FFFF0000"/>
      <name val="Century Gothic"/>
      <family val="2"/>
    </font>
    <font>
      <b/>
      <sz val="8"/>
      <color rgb="FFFF0000"/>
      <name val="Century Gothic"/>
      <family val="2"/>
    </font>
    <font>
      <b/>
      <sz val="32"/>
      <color indexed="9"/>
      <name val="Segoe UI Black"/>
      <family val="2"/>
    </font>
    <font>
      <b/>
      <sz val="11"/>
      <color indexed="8"/>
      <name val="Century Gothic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8"/>
      <color rgb="FF000000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0"/>
      <color rgb="FFFF0000"/>
      <name val="Century Gothic"/>
      <family val="2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9">
    <xf numFmtId="0" fontId="0" fillId="0" borderId="0"/>
    <xf numFmtId="164" fontId="10" fillId="0" borderId="0" applyFont="0" applyFill="0" applyBorder="0" applyAlignment="0" applyProtection="0"/>
    <xf numFmtId="44" fontId="10" fillId="0" borderId="0" applyFont="0" applyFill="0" applyBorder="0" applyAlignment="0" applyProtection="0">
      <alignment vertical="center"/>
    </xf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2" fillId="0" borderId="0"/>
    <xf numFmtId="9" fontId="10" fillId="0" borderId="0" applyFont="0" applyFill="0" applyBorder="0" applyAlignment="0" applyProtection="0"/>
  </cellStyleXfs>
  <cellXfs count="16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165" fontId="1" fillId="0" borderId="0" xfId="4" applyNumberFormat="1" applyFont="1"/>
    <xf numFmtId="0" fontId="4" fillId="0" borderId="0" xfId="0" applyFont="1" applyAlignment="1">
      <alignment horizontal="right"/>
    </xf>
    <xf numFmtId="0" fontId="7" fillId="2" borderId="0" xfId="0" applyFont="1" applyFill="1" applyAlignment="1">
      <alignment wrapText="1"/>
    </xf>
    <xf numFmtId="0" fontId="2" fillId="0" borderId="0" xfId="0" applyFont="1" applyAlignment="1">
      <alignment horizontal="right"/>
    </xf>
    <xf numFmtId="4" fontId="6" fillId="2" borderId="0" xfId="0" applyNumberFormat="1" applyFont="1" applyFill="1"/>
    <xf numFmtId="4" fontId="6" fillId="2" borderId="0" xfId="0" applyNumberFormat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4" fontId="5" fillId="2" borderId="0" xfId="0" applyNumberFormat="1" applyFont="1" applyFill="1"/>
    <xf numFmtId="164" fontId="6" fillId="2" borderId="0" xfId="1" applyFont="1" applyFill="1" applyBorder="1" applyAlignment="1">
      <alignment horizontal="right" vertical="top" wrapText="1"/>
    </xf>
    <xf numFmtId="164" fontId="5" fillId="2" borderId="0" xfId="1" applyFont="1" applyFill="1" applyBorder="1" applyAlignment="1">
      <alignment horizontal="right" vertical="top" wrapText="1"/>
    </xf>
    <xf numFmtId="0" fontId="9" fillId="0" borderId="0" xfId="0" applyFont="1"/>
    <xf numFmtId="0" fontId="13" fillId="0" borderId="0" xfId="0" applyFont="1"/>
    <xf numFmtId="0" fontId="17" fillId="2" borderId="0" xfId="0" applyFont="1" applyFill="1"/>
    <xf numFmtId="0" fontId="13" fillId="2" borderId="0" xfId="0" applyFont="1" applyFill="1"/>
    <xf numFmtId="164" fontId="13" fillId="2" borderId="0" xfId="1" applyFont="1" applyFill="1" applyBorder="1" applyAlignment="1"/>
    <xf numFmtId="0" fontId="18" fillId="7" borderId="0" xfId="0" applyFont="1" applyFill="1" applyAlignment="1">
      <alignment horizontal="right" vertical="center"/>
    </xf>
    <xf numFmtId="0" fontId="18" fillId="7" borderId="0" xfId="0" applyFont="1" applyFill="1" applyAlignment="1">
      <alignment horizontal="left"/>
    </xf>
    <xf numFmtId="0" fontId="20" fillId="2" borderId="0" xfId="0" applyFont="1" applyFill="1"/>
    <xf numFmtId="166" fontId="16" fillId="2" borderId="0" xfId="0" applyNumberFormat="1" applyFont="1" applyFill="1"/>
    <xf numFmtId="168" fontId="16" fillId="2" borderId="0" xfId="0" applyNumberFormat="1" applyFont="1" applyFill="1"/>
    <xf numFmtId="166" fontId="23" fillId="2" borderId="2" xfId="0" applyNumberFormat="1" applyFont="1" applyFill="1" applyBorder="1" applyAlignment="1">
      <alignment horizontal="left"/>
    </xf>
    <xf numFmtId="166" fontId="23" fillId="2" borderId="2" xfId="0" applyNumberFormat="1" applyFont="1" applyFill="1" applyBorder="1"/>
    <xf numFmtId="167" fontId="22" fillId="2" borderId="3" xfId="0" applyNumberFormat="1" applyFont="1" applyFill="1" applyBorder="1" applyAlignment="1">
      <alignment horizontal="center" wrapText="1"/>
    </xf>
    <xf numFmtId="49" fontId="22" fillId="2" borderId="3" xfId="0" applyNumberFormat="1" applyFont="1" applyFill="1" applyBorder="1" applyAlignment="1">
      <alignment wrapText="1"/>
    </xf>
    <xf numFmtId="4" fontId="23" fillId="2" borderId="3" xfId="0" applyNumberFormat="1" applyFont="1" applyFill="1" applyBorder="1"/>
    <xf numFmtId="164" fontId="23" fillId="2" borderId="3" xfId="1" applyFont="1" applyFill="1" applyBorder="1" applyAlignment="1"/>
    <xf numFmtId="166" fontId="23" fillId="2" borderId="3" xfId="0" applyNumberFormat="1" applyFont="1" applyFill="1" applyBorder="1" applyAlignment="1">
      <alignment horizontal="left"/>
    </xf>
    <xf numFmtId="10" fontId="23" fillId="2" borderId="3" xfId="0" applyNumberFormat="1" applyFont="1" applyFill="1" applyBorder="1" applyAlignment="1">
      <alignment horizontal="center"/>
    </xf>
    <xf numFmtId="10" fontId="24" fillId="6" borderId="3" xfId="0" applyNumberFormat="1" applyFont="1" applyFill="1" applyBorder="1" applyAlignment="1">
      <alignment horizontal="center" vertical="center"/>
    </xf>
    <xf numFmtId="10" fontId="23" fillId="6" borderId="3" xfId="0" applyNumberFormat="1" applyFont="1" applyFill="1" applyBorder="1" applyAlignment="1">
      <alignment horizontal="center" vertical="center"/>
    </xf>
    <xf numFmtId="166" fontId="23" fillId="6" borderId="3" xfId="0" applyNumberFormat="1" applyFont="1" applyFill="1" applyBorder="1" applyAlignment="1">
      <alignment horizontal="right" vertical="center"/>
    </xf>
    <xf numFmtId="166" fontId="23" fillId="2" borderId="3" xfId="0" applyNumberFormat="1" applyFont="1" applyFill="1" applyBorder="1"/>
    <xf numFmtId="164" fontId="23" fillId="2" borderId="3" xfId="1" applyFont="1" applyFill="1" applyBorder="1"/>
    <xf numFmtId="49" fontId="22" fillId="2" borderId="3" xfId="0" applyNumberFormat="1" applyFont="1" applyFill="1" applyBorder="1"/>
    <xf numFmtId="49" fontId="22" fillId="2" borderId="3" xfId="0" applyNumberFormat="1" applyFont="1" applyFill="1" applyBorder="1" applyAlignment="1">
      <alignment vertical="center" wrapText="1"/>
    </xf>
    <xf numFmtId="4" fontId="22" fillId="2" borderId="3" xfId="0" applyNumberFormat="1" applyFont="1" applyFill="1" applyBorder="1" applyAlignment="1">
      <alignment wrapText="1"/>
    </xf>
    <xf numFmtId="0" fontId="22" fillId="2" borderId="3" xfId="0" applyFont="1" applyFill="1" applyBorder="1" applyAlignment="1">
      <alignment wrapText="1"/>
    </xf>
    <xf numFmtId="166" fontId="22" fillId="2" borderId="3" xfId="0" applyNumberFormat="1" applyFont="1" applyFill="1" applyBorder="1"/>
    <xf numFmtId="164" fontId="22" fillId="2" borderId="3" xfId="1" applyFont="1" applyFill="1" applyBorder="1"/>
    <xf numFmtId="164" fontId="23" fillId="2" borderId="3" xfId="1" applyFont="1" applyFill="1" applyBorder="1" applyAlignment="1">
      <alignment horizontal="right"/>
    </xf>
    <xf numFmtId="166" fontId="23" fillId="2" borderId="3" xfId="0" applyNumberFormat="1" applyFont="1" applyFill="1" applyBorder="1" applyAlignment="1">
      <alignment horizontal="right"/>
    </xf>
    <xf numFmtId="166" fontId="24" fillId="2" borderId="3" xfId="0" applyNumberFormat="1" applyFont="1" applyFill="1" applyBorder="1" applyAlignment="1">
      <alignment horizontal="left"/>
    </xf>
    <xf numFmtId="10" fontId="26" fillId="2" borderId="3" xfId="0" applyNumberFormat="1" applyFont="1" applyFill="1" applyBorder="1" applyAlignment="1">
      <alignment horizontal="center"/>
    </xf>
    <xf numFmtId="10" fontId="26" fillId="6" borderId="3" xfId="0" applyNumberFormat="1" applyFont="1" applyFill="1" applyBorder="1" applyAlignment="1">
      <alignment horizontal="center" vertical="center"/>
    </xf>
    <xf numFmtId="166" fontId="26" fillId="6" borderId="3" xfId="0" applyNumberFormat="1" applyFont="1" applyFill="1" applyBorder="1" applyAlignment="1">
      <alignment horizontal="right" vertical="center"/>
    </xf>
    <xf numFmtId="166" fontId="26" fillId="2" borderId="3" xfId="0" applyNumberFormat="1" applyFont="1" applyFill="1" applyBorder="1"/>
    <xf numFmtId="164" fontId="24" fillId="2" borderId="3" xfId="1" applyFont="1" applyFill="1" applyBorder="1"/>
    <xf numFmtId="164" fontId="26" fillId="2" borderId="3" xfId="1" applyFont="1" applyFill="1" applyBorder="1"/>
    <xf numFmtId="166" fontId="23" fillId="6" borderId="3" xfId="0" applyNumberFormat="1" applyFont="1" applyFill="1" applyBorder="1" applyAlignment="1">
      <alignment horizontal="center" vertical="center"/>
    </xf>
    <xf numFmtId="164" fontId="27" fillId="2" borderId="3" xfId="1" applyFont="1" applyFill="1" applyBorder="1"/>
    <xf numFmtId="0" fontId="27" fillId="2" borderId="3" xfId="0" applyFont="1" applyFill="1" applyBorder="1"/>
    <xf numFmtId="49" fontId="22" fillId="2" borderId="3" xfId="0" applyNumberFormat="1" applyFont="1" applyFill="1" applyBorder="1" applyAlignment="1">
      <alignment vertical="top" wrapText="1"/>
    </xf>
    <xf numFmtId="166" fontId="21" fillId="2" borderId="3" xfId="0" applyNumberFormat="1" applyFont="1" applyFill="1" applyBorder="1"/>
    <xf numFmtId="10" fontId="21" fillId="2" borderId="3" xfId="0" applyNumberFormat="1" applyFont="1" applyFill="1" applyBorder="1" applyAlignment="1">
      <alignment horizontal="center"/>
    </xf>
    <xf numFmtId="10" fontId="29" fillId="6" borderId="3" xfId="0" applyNumberFormat="1" applyFont="1" applyFill="1" applyBorder="1" applyAlignment="1">
      <alignment horizontal="center" vertical="center"/>
    </xf>
    <xf numFmtId="10" fontId="21" fillId="6" borderId="3" xfId="0" applyNumberFormat="1" applyFont="1" applyFill="1" applyBorder="1" applyAlignment="1">
      <alignment horizontal="center" vertical="center"/>
    </xf>
    <xf numFmtId="166" fontId="21" fillId="6" borderId="3" xfId="0" applyNumberFormat="1" applyFont="1" applyFill="1" applyBorder="1" applyAlignment="1">
      <alignment horizontal="center" vertical="center"/>
    </xf>
    <xf numFmtId="164" fontId="21" fillId="2" borderId="3" xfId="1" applyFont="1" applyFill="1" applyBorder="1"/>
    <xf numFmtId="10" fontId="25" fillId="6" borderId="3" xfId="0" applyNumberFormat="1" applyFont="1" applyFill="1" applyBorder="1" applyAlignment="1">
      <alignment horizontal="center" vertical="center"/>
    </xf>
    <xf numFmtId="2" fontId="23" fillId="2" borderId="3" xfId="0" applyNumberFormat="1" applyFont="1" applyFill="1" applyBorder="1"/>
    <xf numFmtId="164" fontId="23" fillId="2" borderId="3" xfId="1" applyFont="1" applyFill="1" applyBorder="1" applyAlignment="1">
      <alignment wrapText="1"/>
    </xf>
    <xf numFmtId="167" fontId="22" fillId="2" borderId="3" xfId="0" applyNumberFormat="1" applyFont="1" applyFill="1" applyBorder="1" applyAlignment="1">
      <alignment horizontal="right" wrapText="1"/>
    </xf>
    <xf numFmtId="164" fontId="23" fillId="2" borderId="3" xfId="1" applyFont="1" applyFill="1" applyBorder="1" applyAlignment="1">
      <alignment horizontal="left"/>
    </xf>
    <xf numFmtId="166" fontId="21" fillId="6" borderId="3" xfId="0" applyNumberFormat="1" applyFont="1" applyFill="1" applyBorder="1" applyAlignment="1">
      <alignment horizontal="right" vertical="center"/>
    </xf>
    <xf numFmtId="164" fontId="21" fillId="2" borderId="3" xfId="1" applyFont="1" applyFill="1" applyBorder="1" applyAlignment="1"/>
    <xf numFmtId="49" fontId="23" fillId="2" borderId="3" xfId="0" applyNumberFormat="1" applyFont="1" applyFill="1" applyBorder="1" applyAlignment="1">
      <alignment horizontal="right"/>
    </xf>
    <xf numFmtId="3" fontId="27" fillId="2" borderId="3" xfId="0" applyNumberFormat="1" applyFont="1" applyFill="1" applyBorder="1"/>
    <xf numFmtId="0" fontId="22" fillId="2" borderId="3" xfId="0" applyFont="1" applyFill="1" applyBorder="1"/>
    <xf numFmtId="4" fontId="27" fillId="2" borderId="3" xfId="0" applyNumberFormat="1" applyFont="1" applyFill="1" applyBorder="1"/>
    <xf numFmtId="164" fontId="21" fillId="2" borderId="3" xfId="1" applyFont="1" applyFill="1" applyBorder="1" applyAlignment="1">
      <alignment wrapText="1"/>
    </xf>
    <xf numFmtId="10" fontId="21" fillId="6" borderId="3" xfId="0" applyNumberFormat="1" applyFont="1" applyFill="1" applyBorder="1" applyAlignment="1">
      <alignment horizontal="right" vertical="center"/>
    </xf>
    <xf numFmtId="166" fontId="23" fillId="2" borderId="3" xfId="0" applyNumberFormat="1" applyFont="1" applyFill="1" applyBorder="1" applyAlignment="1">
      <alignment horizontal="right" wrapText="1"/>
    </xf>
    <xf numFmtId="49" fontId="31" fillId="5" borderId="3" xfId="0" applyNumberFormat="1" applyFont="1" applyFill="1" applyBorder="1" applyAlignment="1">
      <alignment horizontal="center" vertical="top" wrapText="1"/>
    </xf>
    <xf numFmtId="164" fontId="31" fillId="5" borderId="3" xfId="1" applyFont="1" applyFill="1" applyBorder="1" applyAlignment="1">
      <alignment horizontal="center" vertical="top" wrapText="1"/>
    </xf>
    <xf numFmtId="164" fontId="9" fillId="0" borderId="0" xfId="1" applyFont="1" applyBorder="1"/>
    <xf numFmtId="4" fontId="34" fillId="2" borderId="0" xfId="0" applyNumberFormat="1" applyFont="1" applyFill="1"/>
    <xf numFmtId="166" fontId="22" fillId="2" borderId="0" xfId="0" applyNumberFormat="1" applyFont="1" applyFill="1"/>
    <xf numFmtId="164" fontId="33" fillId="2" borderId="2" xfId="1" applyFont="1" applyFill="1" applyBorder="1"/>
    <xf numFmtId="164" fontId="33" fillId="2" borderId="2" xfId="1" applyFont="1" applyFill="1" applyBorder="1" applyAlignment="1">
      <alignment horizontal="right" vertical="top" wrapText="1"/>
    </xf>
    <xf numFmtId="43" fontId="9" fillId="0" borderId="0" xfId="4" applyFont="1"/>
    <xf numFmtId="4" fontId="33" fillId="2" borderId="2" xfId="0" applyNumberFormat="1" applyFont="1" applyFill="1" applyBorder="1"/>
    <xf numFmtId="4" fontId="33" fillId="2" borderId="2" xfId="0" applyNumberFormat="1" applyFont="1" applyFill="1" applyBorder="1" applyAlignment="1">
      <alignment horizontal="right"/>
    </xf>
    <xf numFmtId="166" fontId="22" fillId="2" borderId="2" xfId="0" applyNumberFormat="1" applyFont="1" applyFill="1" applyBorder="1"/>
    <xf numFmtId="0" fontId="34" fillId="0" borderId="0" xfId="0" applyFont="1" applyAlignment="1">
      <alignment horizontal="right"/>
    </xf>
    <xf numFmtId="0" fontId="32" fillId="0" borderId="0" xfId="0" applyFont="1" applyAlignment="1">
      <alignment horizontal="right"/>
    </xf>
    <xf numFmtId="4" fontId="34" fillId="2" borderId="1" xfId="0" applyNumberFormat="1" applyFont="1" applyFill="1" applyBorder="1" applyAlignment="1">
      <alignment horizontal="right"/>
    </xf>
    <xf numFmtId="0" fontId="35" fillId="0" borderId="0" xfId="0" applyFont="1"/>
    <xf numFmtId="4" fontId="34" fillId="2" borderId="0" xfId="0" applyNumberFormat="1" applyFont="1" applyFill="1" applyAlignment="1">
      <alignment horizontal="right"/>
    </xf>
    <xf numFmtId="0" fontId="36" fillId="0" borderId="0" xfId="0" applyFont="1"/>
    <xf numFmtId="0" fontId="37" fillId="0" borderId="2" xfId="0" applyFont="1" applyBorder="1" applyAlignment="1">
      <alignment horizontal="right"/>
    </xf>
    <xf numFmtId="16" fontId="37" fillId="2" borderId="2" xfId="0" quotePrefix="1" applyNumberFormat="1" applyFont="1" applyFill="1" applyBorder="1" applyAlignment="1">
      <alignment horizontal="right"/>
    </xf>
    <xf numFmtId="164" fontId="38" fillId="2" borderId="2" xfId="1" applyFont="1" applyFill="1" applyBorder="1" applyAlignment="1">
      <alignment horizontal="right" vertical="top" wrapText="1"/>
    </xf>
    <xf numFmtId="164" fontId="38" fillId="2" borderId="2" xfId="1" applyFont="1" applyFill="1" applyBorder="1"/>
    <xf numFmtId="4" fontId="38" fillId="2" borderId="2" xfId="0" applyNumberFormat="1" applyFont="1" applyFill="1" applyBorder="1"/>
    <xf numFmtId="4" fontId="38" fillId="2" borderId="2" xfId="0" applyNumberFormat="1" applyFont="1" applyFill="1" applyBorder="1" applyAlignment="1">
      <alignment horizontal="right"/>
    </xf>
    <xf numFmtId="166" fontId="38" fillId="2" borderId="2" xfId="0" applyNumberFormat="1" applyFont="1" applyFill="1" applyBorder="1"/>
    <xf numFmtId="0" fontId="39" fillId="0" borderId="3" xfId="0" applyFont="1" applyBorder="1"/>
    <xf numFmtId="4" fontId="39" fillId="0" borderId="3" xfId="0" applyNumberFormat="1" applyFont="1" applyBorder="1" applyAlignment="1">
      <alignment horizontal="right"/>
    </xf>
    <xf numFmtId="166" fontId="39" fillId="0" borderId="3" xfId="0" applyNumberFormat="1" applyFont="1" applyBorder="1"/>
    <xf numFmtId="4" fontId="39" fillId="0" borderId="3" xfId="0" applyNumberFormat="1" applyFont="1" applyBorder="1"/>
    <xf numFmtId="164" fontId="39" fillId="8" borderId="3" xfId="0" applyNumberFormat="1" applyFont="1" applyFill="1" applyBorder="1"/>
    <xf numFmtId="166" fontId="39" fillId="8" borderId="3" xfId="0" applyNumberFormat="1" applyFont="1" applyFill="1" applyBorder="1" applyAlignment="1">
      <alignment horizontal="left"/>
    </xf>
    <xf numFmtId="166" fontId="23" fillId="0" borderId="3" xfId="0" applyNumberFormat="1" applyFont="1" applyBorder="1"/>
    <xf numFmtId="3" fontId="39" fillId="0" borderId="3" xfId="0" applyNumberFormat="1" applyFont="1" applyBorder="1"/>
    <xf numFmtId="3" fontId="39" fillId="0" borderId="3" xfId="0" applyNumberFormat="1" applyFont="1" applyBorder="1" applyAlignment="1">
      <alignment vertical="center"/>
    </xf>
    <xf numFmtId="166" fontId="39" fillId="8" borderId="3" xfId="0" applyNumberFormat="1" applyFont="1" applyFill="1" applyBorder="1"/>
    <xf numFmtId="4" fontId="27" fillId="0" borderId="3" xfId="0" applyNumberFormat="1" applyFont="1" applyBorder="1"/>
    <xf numFmtId="166" fontId="23" fillId="0" borderId="3" xfId="0" applyNumberFormat="1" applyFont="1" applyBorder="1" applyAlignment="1">
      <alignment horizontal="right"/>
    </xf>
    <xf numFmtId="4" fontId="23" fillId="0" borderId="3" xfId="0" applyNumberFormat="1" applyFont="1" applyBorder="1" applyAlignment="1">
      <alignment horizontal="right"/>
    </xf>
    <xf numFmtId="4" fontId="23" fillId="2" borderId="3" xfId="1" applyNumberFormat="1" applyFont="1" applyFill="1" applyBorder="1" applyAlignment="1">
      <alignment horizontal="right"/>
    </xf>
    <xf numFmtId="3" fontId="27" fillId="0" borderId="3" xfId="0" applyNumberFormat="1" applyFont="1" applyBorder="1"/>
    <xf numFmtId="166" fontId="39" fillId="2" borderId="3" xfId="0" applyNumberFormat="1" applyFont="1" applyFill="1" applyBorder="1" applyAlignment="1">
      <alignment horizontal="right"/>
    </xf>
    <xf numFmtId="164" fontId="39" fillId="8" borderId="3" xfId="1" applyFont="1" applyFill="1" applyBorder="1" applyAlignment="1">
      <alignment horizontal="right"/>
    </xf>
    <xf numFmtId="4" fontId="39" fillId="2" borderId="3" xfId="0" applyNumberFormat="1" applyFont="1" applyFill="1" applyBorder="1" applyAlignment="1">
      <alignment horizontal="right"/>
    </xf>
    <xf numFmtId="2" fontId="23" fillId="0" borderId="3" xfId="0" applyNumberFormat="1" applyFont="1" applyBorder="1"/>
    <xf numFmtId="164" fontId="23" fillId="0" borderId="3" xfId="1" applyFont="1" applyFill="1" applyBorder="1" applyAlignment="1"/>
    <xf numFmtId="164" fontId="22" fillId="0" borderId="3" xfId="1" applyFont="1" applyBorder="1" applyAlignment="1"/>
    <xf numFmtId="4" fontId="23" fillId="2" borderId="3" xfId="0" applyNumberFormat="1" applyFont="1" applyFill="1" applyBorder="1" applyAlignment="1">
      <alignment horizontal="right"/>
    </xf>
    <xf numFmtId="4" fontId="39" fillId="2" borderId="3" xfId="0" applyNumberFormat="1" applyFont="1" applyFill="1" applyBorder="1"/>
    <xf numFmtId="43" fontId="22" fillId="0" borderId="3" xfId="1" applyNumberFormat="1" applyFont="1" applyFill="1" applyBorder="1"/>
    <xf numFmtId="3" fontId="23" fillId="2" borderId="3" xfId="0" applyNumberFormat="1" applyFont="1" applyFill="1" applyBorder="1"/>
    <xf numFmtId="43" fontId="27" fillId="0" borderId="3" xfId="2" applyNumberFormat="1" applyFont="1" applyBorder="1" applyAlignment="1">
      <alignment horizontal="right"/>
    </xf>
    <xf numFmtId="0" fontId="27" fillId="0" borderId="3" xfId="0" applyFont="1" applyBorder="1"/>
    <xf numFmtId="4" fontId="27" fillId="0" borderId="3" xfId="0" applyNumberFormat="1" applyFont="1" applyBorder="1" applyAlignment="1">
      <alignment vertical="center"/>
    </xf>
    <xf numFmtId="3" fontId="39" fillId="2" borderId="3" xfId="0" applyNumberFormat="1" applyFont="1" applyFill="1" applyBorder="1"/>
    <xf numFmtId="165" fontId="22" fillId="2" borderId="3" xfId="0" applyNumberFormat="1" applyFont="1" applyFill="1" applyBorder="1"/>
    <xf numFmtId="164" fontId="27" fillId="2" borderId="3" xfId="1" applyFont="1" applyFill="1" applyBorder="1" applyAlignment="1"/>
    <xf numFmtId="166" fontId="14" fillId="5" borderId="3" xfId="0" applyNumberFormat="1" applyFont="1" applyFill="1" applyBorder="1"/>
    <xf numFmtId="10" fontId="14" fillId="5" borderId="3" xfId="0" applyNumberFormat="1" applyFont="1" applyFill="1" applyBorder="1"/>
    <xf numFmtId="10" fontId="42" fillId="5" borderId="3" xfId="0" applyNumberFormat="1" applyFont="1" applyFill="1" applyBorder="1" applyAlignment="1">
      <alignment horizontal="right" vertical="center"/>
    </xf>
    <xf numFmtId="10" fontId="14" fillId="5" borderId="3" xfId="0" applyNumberFormat="1" applyFont="1" applyFill="1" applyBorder="1" applyAlignment="1">
      <alignment horizontal="right" vertical="center"/>
    </xf>
    <xf numFmtId="166" fontId="14" fillId="5" borderId="3" xfId="0" applyNumberFormat="1" applyFont="1" applyFill="1" applyBorder="1" applyAlignment="1">
      <alignment horizontal="right" vertical="center"/>
    </xf>
    <xf numFmtId="164" fontId="14" fillId="5" borderId="3" xfId="1" applyFont="1" applyFill="1" applyBorder="1"/>
    <xf numFmtId="164" fontId="39" fillId="0" borderId="3" xfId="1" applyFont="1" applyBorder="1"/>
    <xf numFmtId="164" fontId="39" fillId="0" borderId="3" xfId="1" applyFont="1" applyBorder="1" applyAlignment="1">
      <alignment horizontal="right"/>
    </xf>
    <xf numFmtId="164" fontId="23" fillId="0" borderId="3" xfId="1" applyFont="1" applyBorder="1"/>
    <xf numFmtId="164" fontId="39" fillId="0" borderId="3" xfId="1" applyFont="1" applyBorder="1" applyAlignment="1">
      <alignment vertical="center"/>
    </xf>
    <xf numFmtId="164" fontId="27" fillId="0" borderId="3" xfId="1" applyFont="1" applyBorder="1"/>
    <xf numFmtId="164" fontId="23" fillId="0" borderId="3" xfId="1" applyFont="1" applyBorder="1" applyAlignment="1">
      <alignment horizontal="right"/>
    </xf>
    <xf numFmtId="164" fontId="39" fillId="2" borderId="3" xfId="1" applyFont="1" applyFill="1" applyBorder="1"/>
    <xf numFmtId="16" fontId="2" fillId="2" borderId="0" xfId="0" quotePrefix="1" applyNumberFormat="1" applyFont="1" applyFill="1" applyAlignment="1">
      <alignment horizontal="right" wrapText="1"/>
    </xf>
    <xf numFmtId="0" fontId="2" fillId="0" borderId="0" xfId="0" applyFont="1" applyAlignment="1">
      <alignment horizontal="right" wrapText="1"/>
    </xf>
    <xf numFmtId="43" fontId="1" fillId="0" borderId="0" xfId="4" applyFont="1" applyBorder="1"/>
    <xf numFmtId="43" fontId="43" fillId="0" borderId="0" xfId="4" applyFont="1" applyBorder="1"/>
    <xf numFmtId="16" fontId="4" fillId="2" borderId="0" xfId="0" applyNumberFormat="1" applyFont="1" applyFill="1"/>
    <xf numFmtId="164" fontId="5" fillId="2" borderId="0" xfId="1" applyFont="1" applyFill="1" applyBorder="1"/>
    <xf numFmtId="49" fontId="21" fillId="2" borderId="3" xfId="0" applyNumberFormat="1" applyFont="1" applyFill="1" applyBorder="1" applyAlignment="1">
      <alignment horizontal="right"/>
    </xf>
    <xf numFmtId="49" fontId="14" fillId="5" borderId="3" xfId="0" applyNumberFormat="1" applyFont="1" applyFill="1" applyBorder="1" applyAlignment="1">
      <alignment horizontal="right"/>
    </xf>
    <xf numFmtId="167" fontId="28" fillId="2" borderId="3" xfId="0" applyNumberFormat="1" applyFont="1" applyFill="1" applyBorder="1" applyAlignment="1">
      <alignment horizontal="center" wrapText="1"/>
    </xf>
    <xf numFmtId="49" fontId="25" fillId="2" borderId="3" xfId="0" applyNumberFormat="1" applyFont="1" applyFill="1" applyBorder="1" applyAlignment="1">
      <alignment horizontal="center" vertical="top" wrapText="1"/>
    </xf>
    <xf numFmtId="0" fontId="25" fillId="2" borderId="3" xfId="0" applyFont="1" applyFill="1" applyBorder="1" applyAlignment="1">
      <alignment horizontal="center" wrapText="1"/>
    </xf>
    <xf numFmtId="0" fontId="40" fillId="2" borderId="3" xfId="0" applyFont="1" applyFill="1" applyBorder="1" applyAlignment="1">
      <alignment horizontal="center" wrapText="1"/>
    </xf>
    <xf numFmtId="49" fontId="40" fillId="2" borderId="3" xfId="0" applyNumberFormat="1" applyFont="1" applyFill="1" applyBorder="1" applyAlignment="1">
      <alignment horizontal="center" vertical="top" wrapText="1"/>
    </xf>
    <xf numFmtId="49" fontId="25" fillId="2" borderId="3" xfId="0" applyNumberFormat="1" applyFont="1" applyFill="1" applyBorder="1" applyAlignment="1">
      <alignment horizontal="right"/>
    </xf>
    <xf numFmtId="167" fontId="29" fillId="2" borderId="3" xfId="0" applyNumberFormat="1" applyFont="1" applyFill="1" applyBorder="1" applyAlignment="1">
      <alignment horizontal="center" wrapText="1"/>
    </xf>
    <xf numFmtId="49" fontId="29" fillId="2" borderId="3" xfId="0" applyNumberFormat="1" applyFont="1" applyFill="1" applyBorder="1" applyAlignment="1">
      <alignment horizontal="center" wrapText="1"/>
    </xf>
    <xf numFmtId="166" fontId="41" fillId="2" borderId="3" xfId="0" applyNumberFormat="1" applyFont="1" applyFill="1" applyBorder="1" applyAlignment="1">
      <alignment horizontal="center" wrapText="1"/>
    </xf>
    <xf numFmtId="49" fontId="15" fillId="2" borderId="3" xfId="0" applyNumberFormat="1" applyFont="1" applyFill="1" applyBorder="1" applyAlignment="1">
      <alignment horizontal="center" vertical="top" wrapText="1"/>
    </xf>
    <xf numFmtId="49" fontId="30" fillId="4" borderId="3" xfId="0" applyNumberFormat="1" applyFont="1" applyFill="1" applyBorder="1" applyAlignment="1">
      <alignment horizontal="center"/>
    </xf>
    <xf numFmtId="0" fontId="30" fillId="4" borderId="3" xfId="0" applyFont="1" applyFill="1" applyBorder="1" applyAlignment="1">
      <alignment horizontal="center"/>
    </xf>
    <xf numFmtId="49" fontId="14" fillId="2" borderId="3" xfId="0" applyNumberFormat="1" applyFont="1" applyFill="1" applyBorder="1" applyAlignment="1">
      <alignment horizontal="center" vertical="top" wrapText="1"/>
    </xf>
    <xf numFmtId="167" fontId="25" fillId="2" borderId="3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center" wrapText="1"/>
    </xf>
  </cellXfs>
  <cellStyles count="9">
    <cellStyle name="Comma" xfId="1" builtinId="3"/>
    <cellStyle name="Comma 10 13" xfId="3" xr:uid="{00000000-0005-0000-0000-000001000000}"/>
    <cellStyle name="Comma 2" xfId="4" xr:uid="{00000000-0005-0000-0000-000002000000}"/>
    <cellStyle name="Comma 3 2" xfId="5" xr:uid="{00000000-0005-0000-0000-000003000000}"/>
    <cellStyle name="Currency" xfId="2" builtinId="4"/>
    <cellStyle name="Normal" xfId="0" builtinId="0"/>
    <cellStyle name="Normal 2" xfId="6" xr:uid="{00000000-0005-0000-0000-000006000000}"/>
    <cellStyle name="Normal 27 2" xfId="7" xr:uid="{00000000-0005-0000-0000-000007000000}"/>
    <cellStyle name="Percent 2 2" xfId="8" xr:uid="{00000000-0005-0000-0000-000008000000}"/>
  </cellStyles>
  <dxfs count="0"/>
  <tableStyles count="0" defaultTableStyle="TableStyleMedium2" defaultPivotStyle="PivotStyleLight16"/>
  <colors>
    <mruColors>
      <color rgb="FF66CCFF"/>
      <color rgb="FF0C68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6782232141243309E-2"/>
          <c:y val="0.13762355835576065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April 2023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17.025818154790002</c:v>
                </c:pt>
                <c:pt idx="1">
                  <c:v>793.02213220629005</c:v>
                </c:pt>
                <c:pt idx="2">
                  <c:v>324.97606562525999</c:v>
                </c:pt>
                <c:pt idx="3">
                  <c:v>331.27678452063503</c:v>
                </c:pt>
                <c:pt idx="4">
                  <c:v>93.61998441546001</c:v>
                </c:pt>
                <c:pt idx="5">
                  <c:v>31.120467757330001</c:v>
                </c:pt>
                <c:pt idx="6">
                  <c:v>3.01916895959</c:v>
                </c:pt>
                <c:pt idx="7">
                  <c:v>25.071429293579602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A-4359-9F0D-FE85636E117C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May 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18.395824731344003</c:v>
                </c:pt>
                <c:pt idx="1">
                  <c:v>749.90059886271001</c:v>
                </c:pt>
                <c:pt idx="2">
                  <c:v>324.25729366239</c:v>
                </c:pt>
                <c:pt idx="3">
                  <c:v>329.52342707508802</c:v>
                </c:pt>
                <c:pt idx="4">
                  <c:v>92.979365311570007</c:v>
                </c:pt>
                <c:pt idx="5">
                  <c:v>33.483827699670002</c:v>
                </c:pt>
                <c:pt idx="6">
                  <c:v>3.2110145877699998</c:v>
                </c:pt>
                <c:pt idx="7">
                  <c:v>25.485626359523202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AA-4359-9F0D-FE85636E117C}"/>
            </c:ext>
          </c:extLst>
        </c:ser>
        <c:ser>
          <c:idx val="2"/>
          <c:order val="2"/>
          <c:tx>
            <c:strRef>
              <c:f>'NAV Comparison'!$D$4</c:f>
              <c:strCache>
                <c:ptCount val="1"/>
                <c:pt idx="0">
                  <c:v>June 2023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E3D-47EB-A243-FBFD81F49CA3}"/>
              </c:ext>
            </c:extLst>
          </c:dPt>
          <c:dLbls>
            <c:dLbl>
              <c:idx val="1"/>
              <c:tx>
                <c:rich>
                  <a:bodyPr/>
                  <a:lstStyle/>
                  <a:p>
                    <a:fld id="{2A38D65B-29BB-410F-8883-5194CAA1F46E}" type="VALUE">
                      <a:rPr lang="en-US"/>
                      <a:pPr/>
                      <a:t>[VALUE]</a:t>
                    </a:fld>
                    <a:fld id="{F2B4144B-926B-46EB-980E-1B45CDCE7C7F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421844424213203E-2"/>
                      <c:h val="4.193771972000724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E3D-47EB-A243-FBFD81F49CA3}"/>
                </c:ext>
              </c:extLst>
            </c:dLbl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Comparison'!$D$5:$D$12</c:f>
              <c:numCache>
                <c:formatCode>_(* #,##0.00_);_(* \(#,##0.00\);_(* "-"??_);_(@_)</c:formatCode>
                <c:ptCount val="8"/>
                <c:pt idx="0">
                  <c:v>20.083601851879997</c:v>
                </c:pt>
                <c:pt idx="1">
                  <c:v>816.07201842012989</c:v>
                </c:pt>
                <c:pt idx="2">
                  <c:v>320.65438520590004</c:v>
                </c:pt>
                <c:pt idx="3">
                  <c:v>508.82282737584808</c:v>
                </c:pt>
                <c:pt idx="4">
                  <c:v>92.907293507540004</c:v>
                </c:pt>
                <c:pt idx="5">
                  <c:v>30.761614356480003</c:v>
                </c:pt>
                <c:pt idx="6">
                  <c:v>2.7995843278099999</c:v>
                </c:pt>
                <c:pt idx="7">
                  <c:v>25.98775500991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3-40B6-896F-89A27AF5B6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8"/>
        <c:overlap val="-24"/>
        <c:axId val="10944175"/>
        <c:axId val="10939183"/>
      </c:barChart>
      <c:catAx>
        <c:axId val="1094417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09708693"/>
          <c:y val="9.3377148481089307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217560112984199"/>
          <c:y val="0.167450900141421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June 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EFB-4C10-9AB4-42CC08E056A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EFB-4C10-9AB4-42CC08E056A6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EFB-4C10-9AB4-42CC08E056A6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EFB-4C10-9AB4-42CC08E056A6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EFB-4C10-9AB4-42CC08E056A6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EFB-4C10-9AB4-42CC08E056A6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6EFB-4C10-9AB4-42CC08E056A6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6EFB-4C10-9AB4-42CC08E056A6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FB-4C10-9AB4-42CC08E056A6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FB-4C10-9AB4-42CC08E056A6}"/>
                </c:ext>
              </c:extLst>
            </c:dLbl>
            <c:dLbl>
              <c:idx val="2"/>
              <c:layout>
                <c:manualLayout>
                  <c:x val="-6.3908902826365604E-2"/>
                  <c:y val="-8.285611329149060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FB-4C10-9AB4-42CC08E056A6}"/>
                </c:ext>
              </c:extLst>
            </c:dLbl>
            <c:dLbl>
              <c:idx val="3"/>
              <c:layout>
                <c:manualLayout>
                  <c:x val="-2.6526955148730099E-2"/>
                  <c:y val="-6.3523020190142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FB-4C10-9AB4-42CC08E056A6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FB-4C10-9AB4-42CC08E056A6}"/>
                </c:ext>
              </c:extLst>
            </c:dLbl>
            <c:dLbl>
              <c:idx val="5"/>
              <c:layout>
                <c:manualLayout>
                  <c:x val="0.17345977414073499"/>
                  <c:y val="7.180870146235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FB-4C10-9AB4-42CC08E056A6}"/>
                </c:ext>
              </c:extLst>
            </c:dLbl>
            <c:dLbl>
              <c:idx val="6"/>
              <c:layout>
                <c:manualLayout>
                  <c:x val="-0.11676596925004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EFB-4C10-9AB4-42CC08E056A6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EFB-4C10-9AB4-42CC08E056A6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2799584327.8099999</c:v>
                </c:pt>
                <c:pt idx="1">
                  <c:v>20083601851.879997</c:v>
                </c:pt>
                <c:pt idx="2" formatCode="#,##0.00">
                  <c:v>25987755009.91</c:v>
                </c:pt>
                <c:pt idx="3" formatCode="#,##0.00">
                  <c:v>30761614356.480003</c:v>
                </c:pt>
                <c:pt idx="4" formatCode="#,##0.00">
                  <c:v>92907293507.540009</c:v>
                </c:pt>
                <c:pt idx="5" formatCode="#,##0.00">
                  <c:v>320654385205.90002</c:v>
                </c:pt>
                <c:pt idx="6" formatCode="#,##0.00">
                  <c:v>508822827375.84808</c:v>
                </c:pt>
                <c:pt idx="7" formatCode="&quot; &quot;* #,##0.00&quot; &quot;;&quot;-&quot;* #,##0.00&quot; &quot;;&quot; &quot;* &quot;-&quot;??&quot; &quot;">
                  <c:v>816072018420.12988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FB-4C10-9AB4-42CC08E056A6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UNITHOLDERS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40882</c:v>
                </c:pt>
                <c:pt idx="1">
                  <c:v>176016</c:v>
                </c:pt>
                <c:pt idx="2">
                  <c:v>49567</c:v>
                </c:pt>
                <c:pt idx="3">
                  <c:v>11047</c:v>
                </c:pt>
                <c:pt idx="4">
                  <c:v>8672</c:v>
                </c:pt>
                <c:pt idx="5">
                  <c:v>41808</c:v>
                </c:pt>
                <c:pt idx="6">
                  <c:v>9590</c:v>
                </c:pt>
                <c:pt idx="7">
                  <c:v>18198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8-4643-B890-E38BB02CC0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627446192"/>
        <c:axId val="1627445712"/>
      </c:barChart>
      <c:catAx>
        <c:axId val="162744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CLASSES OF FUNDS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0.45444443923449229"/>
              <c:y val="0.919445711603429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900" b="0" i="0" u="none" strike="noStrike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45712"/>
        <c:crosses val="autoZero"/>
        <c:auto val="1"/>
        <c:lblAlgn val="ctr"/>
        <c:lblOffset val="100"/>
        <c:noMultiLvlLbl val="0"/>
      </c:catAx>
      <c:valAx>
        <c:axId val="16274457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crossAx val="16274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dk1"/>
    </cs:fontRef>
    <cs:defRPr sz="9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/>
  </cs:title>
  <cs:trendline>
    <cs:lnRef idx="0"/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53340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593912</xdr:colOff>
      <xdr:row>30</xdr:row>
      <xdr:rowOff>179293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28574</xdr:colOff>
      <xdr:row>19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9"/>
  <sheetViews>
    <sheetView tabSelected="1" zoomScaleNormal="100" workbookViewId="0">
      <pane ySplit="2" topLeftCell="A3" activePane="bottomLeft" state="frozen"/>
      <selection pane="bottomLeft" activeCell="A3" sqref="A3:U3"/>
    </sheetView>
  </sheetViews>
  <sheetFormatPr defaultColWidth="9" defaultRowHeight="12.75"/>
  <cols>
    <col min="1" max="1" width="6.7109375" style="16" customWidth="1"/>
    <col min="2" max="2" width="53.7109375" style="16" customWidth="1"/>
    <col min="3" max="3" width="54.85546875" style="16" customWidth="1"/>
    <col min="4" max="4" width="21.5703125" style="16" customWidth="1"/>
    <col min="5" max="5" width="19.28515625" style="16" customWidth="1"/>
    <col min="6" max="6" width="19.7109375" style="16" customWidth="1"/>
    <col min="7" max="7" width="20" style="16" customWidth="1"/>
    <col min="8" max="8" width="22" style="16" customWidth="1"/>
    <col min="9" max="9" width="9" style="16"/>
    <col min="10" max="10" width="23" style="16" customWidth="1"/>
    <col min="11" max="11" width="9" style="16"/>
    <col min="12" max="12" width="11.5703125" style="16" customWidth="1"/>
    <col min="13" max="13" width="12.140625" style="16" customWidth="1"/>
    <col min="14" max="14" width="12.5703125" style="16" customWidth="1"/>
    <col min="15" max="15" width="12.28515625" style="16" customWidth="1"/>
    <col min="16" max="16" width="12.7109375" style="16" customWidth="1"/>
    <col min="17" max="18" width="14.42578125" style="16" customWidth="1"/>
    <col min="19" max="19" width="13.7109375" style="16" customWidth="1"/>
    <col min="20" max="21" width="20.140625" style="16" customWidth="1"/>
    <col min="22" max="16384" width="9" style="16"/>
  </cols>
  <sheetData>
    <row r="1" spans="1:21" ht="40.5" customHeight="1">
      <c r="A1" s="163" t="s">
        <v>0</v>
      </c>
      <c r="B1" s="163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</row>
    <row r="2" spans="1:21" ht="48" customHeight="1">
      <c r="A2" s="77" t="s">
        <v>1</v>
      </c>
      <c r="B2" s="77" t="s">
        <v>2</v>
      </c>
      <c r="C2" s="77" t="s">
        <v>3</v>
      </c>
      <c r="D2" s="77" t="s">
        <v>4</v>
      </c>
      <c r="E2" s="77" t="s">
        <v>5</v>
      </c>
      <c r="F2" s="77" t="s">
        <v>6</v>
      </c>
      <c r="G2" s="78" t="s">
        <v>7</v>
      </c>
      <c r="H2" s="77" t="s">
        <v>291</v>
      </c>
      <c r="I2" s="77" t="s">
        <v>8</v>
      </c>
      <c r="J2" s="77" t="s">
        <v>9</v>
      </c>
      <c r="K2" s="77" t="s">
        <v>8</v>
      </c>
      <c r="L2" s="77" t="s">
        <v>10</v>
      </c>
      <c r="M2" s="77" t="s">
        <v>11</v>
      </c>
      <c r="N2" s="77" t="s">
        <v>12</v>
      </c>
      <c r="O2" s="77" t="s">
        <v>13</v>
      </c>
      <c r="P2" s="77" t="s">
        <v>14</v>
      </c>
      <c r="Q2" s="77" t="s">
        <v>15</v>
      </c>
      <c r="R2" s="77" t="s">
        <v>16</v>
      </c>
      <c r="S2" s="77" t="s">
        <v>17</v>
      </c>
      <c r="T2" s="77" t="s">
        <v>18</v>
      </c>
      <c r="U2" s="77" t="s">
        <v>19</v>
      </c>
    </row>
    <row r="3" spans="1:21" ht="6" customHeight="1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</row>
    <row r="4" spans="1:21" ht="17.25" customHeight="1">
      <c r="A4" s="165" t="s">
        <v>20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</row>
    <row r="5" spans="1:21" ht="15" customHeight="1">
      <c r="A5" s="27">
        <v>1</v>
      </c>
      <c r="B5" s="28" t="s">
        <v>21</v>
      </c>
      <c r="C5" s="28" t="s">
        <v>22</v>
      </c>
      <c r="D5" s="29">
        <v>543940827.25</v>
      </c>
      <c r="E5" s="29">
        <v>1133959.82</v>
      </c>
      <c r="F5" s="29">
        <v>993033.19</v>
      </c>
      <c r="G5" s="30">
        <v>140926.63</v>
      </c>
      <c r="H5" s="25">
        <v>469893594.55000001</v>
      </c>
      <c r="I5" s="32">
        <f t="shared" ref="I5:I20" si="0">(H5/$H$21)</f>
        <v>2.5543491602709432E-2</v>
      </c>
      <c r="J5" s="31">
        <v>548213517.25</v>
      </c>
      <c r="K5" s="32">
        <f t="shared" ref="K5:K20" si="1">(J5/$J$21)</f>
        <v>2.7296573657114326E-2</v>
      </c>
      <c r="L5" s="32">
        <f t="shared" ref="L5:L21" si="2">((J5-H5)/H5)</f>
        <v>0.16667586791644634</v>
      </c>
      <c r="M5" s="33">
        <f t="shared" ref="M5" si="3">(F5/J5)</f>
        <v>1.8113985860497312E-3</v>
      </c>
      <c r="N5" s="34">
        <f t="shared" ref="N5" si="4">G5/J5</f>
        <v>2.5706522288419548E-4</v>
      </c>
      <c r="O5" s="35">
        <f t="shared" ref="O5" si="5">J5/U5</f>
        <v>246.52516933524734</v>
      </c>
      <c r="P5" s="35">
        <f t="shared" ref="P5" si="6">G5/U5</f>
        <v>6.337304760172939E-2</v>
      </c>
      <c r="Q5" s="36">
        <v>246.52520000000001</v>
      </c>
      <c r="R5" s="36">
        <v>250.09899999999999</v>
      </c>
      <c r="S5" s="37">
        <v>1720</v>
      </c>
      <c r="T5" s="37">
        <v>2136568.4599000001</v>
      </c>
      <c r="U5" s="37">
        <v>2223762.8665999998</v>
      </c>
    </row>
    <row r="6" spans="1:21" ht="14.25">
      <c r="A6" s="27">
        <v>2</v>
      </c>
      <c r="B6" s="28" t="s">
        <v>23</v>
      </c>
      <c r="C6" s="28" t="s">
        <v>24</v>
      </c>
      <c r="D6" s="29">
        <v>526788147.89999998</v>
      </c>
      <c r="E6" s="29">
        <v>6442966.3899999997</v>
      </c>
      <c r="F6" s="29">
        <v>4963928.66</v>
      </c>
      <c r="G6" s="30">
        <v>1479037.73</v>
      </c>
      <c r="H6" s="25">
        <v>508627794.54000002</v>
      </c>
      <c r="I6" s="32">
        <f t="shared" si="0"/>
        <v>2.7649088962745275E-2</v>
      </c>
      <c r="J6" s="31">
        <v>546120825.70000005</v>
      </c>
      <c r="K6" s="32">
        <f t="shared" si="1"/>
        <v>2.7192374641149264E-2</v>
      </c>
      <c r="L6" s="32">
        <f t="shared" si="2"/>
        <v>7.3714082404616729E-2</v>
      </c>
      <c r="M6" s="33">
        <f t="shared" ref="M6:M20" si="7">(F6/J6)</f>
        <v>9.0894330089635322E-3</v>
      </c>
      <c r="N6" s="34">
        <f t="shared" ref="N6:N20" si="8">G6/J6</f>
        <v>2.7082609935342003E-3</v>
      </c>
      <c r="O6" s="35">
        <f t="shared" ref="O6:O20" si="9">J6/U6</f>
        <v>183.28380206711009</v>
      </c>
      <c r="P6" s="35">
        <f t="shared" ref="P6:P20" si="10">G6/U6</f>
        <v>0.49638037188499728</v>
      </c>
      <c r="Q6" s="36">
        <v>183.86</v>
      </c>
      <c r="R6" s="36">
        <v>185.64</v>
      </c>
      <c r="S6" s="37">
        <v>249</v>
      </c>
      <c r="T6" s="37">
        <v>2972828.86</v>
      </c>
      <c r="U6" s="37">
        <v>2979645.88</v>
      </c>
    </row>
    <row r="7" spans="1:21" ht="14.25">
      <c r="A7" s="27">
        <v>3</v>
      </c>
      <c r="B7" s="28" t="s">
        <v>25</v>
      </c>
      <c r="C7" s="38" t="s">
        <v>26</v>
      </c>
      <c r="D7" s="36">
        <v>2437557384.4099998</v>
      </c>
      <c r="E7" s="29">
        <v>13670501.859999999</v>
      </c>
      <c r="F7" s="29">
        <v>15601210.699999999</v>
      </c>
      <c r="G7" s="30">
        <v>272350108.05000001</v>
      </c>
      <c r="H7" s="25">
        <v>2562878317</v>
      </c>
      <c r="I7" s="32">
        <f t="shared" si="0"/>
        <v>0.13931847875421433</v>
      </c>
      <c r="J7" s="31">
        <v>2941170298</v>
      </c>
      <c r="K7" s="32">
        <f t="shared" si="1"/>
        <v>0.14644635557364832</v>
      </c>
      <c r="L7" s="32">
        <f t="shared" si="2"/>
        <v>0.14760434722582266</v>
      </c>
      <c r="M7" s="33">
        <f t="shared" si="7"/>
        <v>5.3044227702859796E-3</v>
      </c>
      <c r="N7" s="34">
        <f t="shared" si="8"/>
        <v>9.2599231073154278E-2</v>
      </c>
      <c r="O7" s="35">
        <f t="shared" si="9"/>
        <v>27.043932333397162</v>
      </c>
      <c r="P7" s="35">
        <f t="shared" si="10"/>
        <v>2.5042473392669922</v>
      </c>
      <c r="Q7" s="36">
        <v>26.9087</v>
      </c>
      <c r="R7" s="36">
        <v>27.72</v>
      </c>
      <c r="S7" s="37">
        <v>763</v>
      </c>
      <c r="T7" s="37">
        <v>103528367</v>
      </c>
      <c r="U7" s="37">
        <v>108755275</v>
      </c>
    </row>
    <row r="8" spans="1:21" ht="14.25">
      <c r="A8" s="27">
        <v>4</v>
      </c>
      <c r="B8" s="39" t="s">
        <v>27</v>
      </c>
      <c r="C8" s="39" t="s">
        <v>28</v>
      </c>
      <c r="D8" s="29">
        <v>263975128.13</v>
      </c>
      <c r="E8" s="29">
        <v>802371.43</v>
      </c>
      <c r="F8" s="29">
        <v>676429.5</v>
      </c>
      <c r="G8" s="30">
        <v>176203.96</v>
      </c>
      <c r="H8" s="25">
        <v>277144564.86000001</v>
      </c>
      <c r="I8" s="32">
        <f t="shared" si="0"/>
        <v>1.5065623254595545E-2</v>
      </c>
      <c r="J8" s="31">
        <v>315366740.06999999</v>
      </c>
      <c r="K8" s="32">
        <f t="shared" si="1"/>
        <v>1.5702698270752612E-2</v>
      </c>
      <c r="L8" s="32">
        <f t="shared" si="2"/>
        <v>0.13791421538180973</v>
      </c>
      <c r="M8" s="33">
        <f t="shared" si="7"/>
        <v>2.1448980315738344E-3</v>
      </c>
      <c r="N8" s="34">
        <f t="shared" si="8"/>
        <v>5.5872715036750259E-4</v>
      </c>
      <c r="O8" s="35">
        <f t="shared" si="9"/>
        <v>163.91086418227854</v>
      </c>
      <c r="P8" s="35">
        <f t="shared" si="10"/>
        <v>9.1581450058839234E-2</v>
      </c>
      <c r="Q8" s="36">
        <v>162.27000000000001</v>
      </c>
      <c r="R8" s="101">
        <v>165.55</v>
      </c>
      <c r="S8" s="37">
        <v>1439</v>
      </c>
      <c r="T8" s="37">
        <v>1815510.79</v>
      </c>
      <c r="U8" s="37">
        <v>1924013.65</v>
      </c>
    </row>
    <row r="9" spans="1:21" ht="14.25">
      <c r="A9" s="27">
        <v>5</v>
      </c>
      <c r="B9" s="40" t="s">
        <v>292</v>
      </c>
      <c r="C9" s="41" t="s">
        <v>49</v>
      </c>
      <c r="D9" s="36">
        <f>34426876.75+4853699.76+25628107.93</f>
        <v>64908684.439999998</v>
      </c>
      <c r="E9" s="42">
        <v>487447.52</v>
      </c>
      <c r="F9" s="42">
        <v>94494.9</v>
      </c>
      <c r="G9" s="42">
        <v>392952.62</v>
      </c>
      <c r="H9" s="26">
        <v>53362635.869999997</v>
      </c>
      <c r="I9" s="32">
        <f t="shared" si="0"/>
        <v>2.900801494323724E-3</v>
      </c>
      <c r="J9" s="36">
        <v>67439825.489999995</v>
      </c>
      <c r="K9" s="32">
        <f t="shared" si="1"/>
        <v>3.3579547128737295E-3</v>
      </c>
      <c r="L9" s="32">
        <f t="shared" ref="L9" si="11">((J9-H9)/H9)</f>
        <v>0.26380236640285737</v>
      </c>
      <c r="M9" s="33">
        <f t="shared" ref="M9" si="12">(F9/J9)</f>
        <v>1.4011735545491845E-3</v>
      </c>
      <c r="N9" s="34">
        <f t="shared" ref="N9" si="13">G9/J9</f>
        <v>5.8267146622179083E-3</v>
      </c>
      <c r="O9" s="35">
        <f t="shared" ref="O9" si="14">J9/U9</f>
        <v>125.82802102870792</v>
      </c>
      <c r="P9" s="35">
        <f t="shared" ref="P9" si="15">G9/U9</f>
        <v>0.73316397504583575</v>
      </c>
      <c r="Q9" s="42">
        <v>125.6739</v>
      </c>
      <c r="R9" s="42">
        <v>126.20059999999999</v>
      </c>
      <c r="S9" s="43">
        <v>44</v>
      </c>
      <c r="T9" s="43">
        <v>535968.26</v>
      </c>
      <c r="U9" s="43">
        <v>535968.26</v>
      </c>
    </row>
    <row r="10" spans="1:21" ht="14.25">
      <c r="A10" s="27">
        <v>6</v>
      </c>
      <c r="B10" s="28" t="s">
        <v>29</v>
      </c>
      <c r="C10" s="28" t="s">
        <v>30</v>
      </c>
      <c r="D10" s="102">
        <v>523392877.72000003</v>
      </c>
      <c r="E10" s="102">
        <v>1020779.49</v>
      </c>
      <c r="F10" s="102">
        <v>1106274.94</v>
      </c>
      <c r="G10" s="44" t="s">
        <v>31</v>
      </c>
      <c r="H10" s="25">
        <v>440208573.58999997</v>
      </c>
      <c r="I10" s="32">
        <f t="shared" si="0"/>
        <v>2.3929809074552878E-2</v>
      </c>
      <c r="J10" s="45" t="s">
        <v>32</v>
      </c>
      <c r="K10" s="32">
        <f t="shared" si="1"/>
        <v>2.606070771468744E-2</v>
      </c>
      <c r="L10" s="32">
        <f t="shared" si="2"/>
        <v>0.18896566109926788</v>
      </c>
      <c r="M10" s="33">
        <f t="shared" si="7"/>
        <v>2.1136606688634094E-3</v>
      </c>
      <c r="N10" s="34">
        <f t="shared" si="8"/>
        <v>0.11933766244984048</v>
      </c>
      <c r="O10" s="35">
        <f t="shared" si="9"/>
        <v>229.29860506569131</v>
      </c>
      <c r="P10" s="35">
        <f t="shared" si="10"/>
        <v>27.363959531548755</v>
      </c>
      <c r="Q10" s="103">
        <v>229.3</v>
      </c>
      <c r="R10" s="103">
        <v>232.29</v>
      </c>
      <c r="S10" s="138">
        <v>1458</v>
      </c>
      <c r="T10" s="139">
        <v>2185732.7200000002</v>
      </c>
      <c r="U10" s="139">
        <v>2282582.04</v>
      </c>
    </row>
    <row r="11" spans="1:21" ht="14.25">
      <c r="A11" s="27">
        <v>7</v>
      </c>
      <c r="B11" s="28" t="s">
        <v>33</v>
      </c>
      <c r="C11" s="38" t="s">
        <v>34</v>
      </c>
      <c r="D11" s="29">
        <v>325103303.69999999</v>
      </c>
      <c r="E11" s="29">
        <v>12014444.720000001</v>
      </c>
      <c r="F11" s="29">
        <v>814570.01</v>
      </c>
      <c r="G11" s="30">
        <v>11199874.710000001</v>
      </c>
      <c r="H11" s="25">
        <v>283421441.63</v>
      </c>
      <c r="I11" s="32">
        <f t="shared" si="0"/>
        <v>1.5406835288394987E-2</v>
      </c>
      <c r="J11" s="31">
        <v>318487442.5</v>
      </c>
      <c r="K11" s="32">
        <f t="shared" si="1"/>
        <v>1.5858083866076386E-2</v>
      </c>
      <c r="L11" s="32">
        <f t="shared" si="2"/>
        <v>0.12372388153955494</v>
      </c>
      <c r="M11" s="33">
        <f t="shared" si="7"/>
        <v>2.557620493938313E-3</v>
      </c>
      <c r="N11" s="34">
        <f t="shared" si="8"/>
        <v>3.5165828272805455E-2</v>
      </c>
      <c r="O11" s="35">
        <f t="shared" si="9"/>
        <v>160.20196932954468</v>
      </c>
      <c r="P11" s="35">
        <f t="shared" si="10"/>
        <v>5.6336349424080137</v>
      </c>
      <c r="Q11" s="36">
        <v>160.19999999999999</v>
      </c>
      <c r="R11" s="36">
        <v>163.22999999999999</v>
      </c>
      <c r="S11" s="37">
        <v>2470</v>
      </c>
      <c r="T11" s="37">
        <v>1989830</v>
      </c>
      <c r="U11" s="37">
        <v>1988037</v>
      </c>
    </row>
    <row r="12" spans="1:21" ht="14.25">
      <c r="A12" s="27">
        <v>8</v>
      </c>
      <c r="B12" s="28" t="s">
        <v>35</v>
      </c>
      <c r="C12" s="28" t="s">
        <v>36</v>
      </c>
      <c r="D12" s="29">
        <v>269301670.07999998</v>
      </c>
      <c r="E12" s="29">
        <v>70663.009999999995</v>
      </c>
      <c r="F12" s="29">
        <v>37615.81</v>
      </c>
      <c r="G12" s="30">
        <v>33047.199999999997</v>
      </c>
      <c r="H12" s="25">
        <v>32114613.764001053</v>
      </c>
      <c r="I12" s="32">
        <f t="shared" si="0"/>
        <v>1.7457555849225985E-3</v>
      </c>
      <c r="J12" s="31">
        <v>38465210.340000004</v>
      </c>
      <c r="K12" s="32">
        <f t="shared" si="1"/>
        <v>1.9152545755331896E-3</v>
      </c>
      <c r="L12" s="32">
        <f t="shared" si="2"/>
        <v>0.1977478733721427</v>
      </c>
      <c r="M12" s="33">
        <f t="shared" si="7"/>
        <v>9.7791769933162909E-4</v>
      </c>
      <c r="N12" s="34">
        <f t="shared" si="8"/>
        <v>8.5914517840642577E-4</v>
      </c>
      <c r="O12" s="35">
        <f t="shared" si="9"/>
        <v>152.63972357142859</v>
      </c>
      <c r="P12" s="35">
        <f t="shared" si="10"/>
        <v>0.13113968253968253</v>
      </c>
      <c r="Q12" s="36">
        <v>125.387544167301</v>
      </c>
      <c r="R12" s="36">
        <v>129.18634455456299</v>
      </c>
      <c r="S12" s="37">
        <v>2</v>
      </c>
      <c r="T12" s="37">
        <v>252000</v>
      </c>
      <c r="U12" s="37">
        <v>252000</v>
      </c>
    </row>
    <row r="13" spans="1:21" ht="14.25">
      <c r="A13" s="27">
        <v>9</v>
      </c>
      <c r="B13" s="38" t="s">
        <v>37</v>
      </c>
      <c r="C13" s="38" t="s">
        <v>38</v>
      </c>
      <c r="D13" s="104">
        <v>444492615.88</v>
      </c>
      <c r="E13" s="104">
        <v>1438378.57</v>
      </c>
      <c r="F13" s="104">
        <v>853207.39</v>
      </c>
      <c r="G13" s="104">
        <v>43181417.530000001</v>
      </c>
      <c r="H13" s="25">
        <v>406650314.75999999</v>
      </c>
      <c r="I13" s="32">
        <f t="shared" si="0"/>
        <v>2.2105576710954564E-2</v>
      </c>
      <c r="J13" s="104">
        <v>452617044.60000002</v>
      </c>
      <c r="K13" s="32">
        <f t="shared" si="1"/>
        <v>2.2536646958953292E-2</v>
      </c>
      <c r="L13" s="32">
        <f t="shared" si="2"/>
        <v>0.11303748742240377</v>
      </c>
      <c r="M13" s="33">
        <f t="shared" si="7"/>
        <v>1.885053601448044E-3</v>
      </c>
      <c r="N13" s="34">
        <f t="shared" si="8"/>
        <v>9.540386966240201E-2</v>
      </c>
      <c r="O13" s="35">
        <f t="shared" si="9"/>
        <v>1.6646443642048372</v>
      </c>
      <c r="P13" s="35">
        <f t="shared" si="10"/>
        <v>0.15881351395685034</v>
      </c>
      <c r="Q13" s="36">
        <v>1.6</v>
      </c>
      <c r="R13" s="36">
        <v>1.65</v>
      </c>
      <c r="S13" s="37">
        <v>238</v>
      </c>
      <c r="T13" s="138">
        <v>268377236.53</v>
      </c>
      <c r="U13" s="138">
        <v>271900145.36000001</v>
      </c>
    </row>
    <row r="14" spans="1:21" ht="14.25">
      <c r="A14" s="27">
        <v>10</v>
      </c>
      <c r="B14" s="28" t="s">
        <v>39</v>
      </c>
      <c r="C14" s="28" t="s">
        <v>297</v>
      </c>
      <c r="D14" s="29">
        <v>1239272153.5999999</v>
      </c>
      <c r="E14" s="30">
        <v>2535280.88</v>
      </c>
      <c r="F14" s="29">
        <v>1812356.59</v>
      </c>
      <c r="G14" s="30">
        <v>722924.29</v>
      </c>
      <c r="H14" s="25">
        <v>1141455216.98</v>
      </c>
      <c r="I14" s="32">
        <f t="shared" si="0"/>
        <v>6.2049689733948948E-2</v>
      </c>
      <c r="J14" s="31">
        <v>1232883426.3499999</v>
      </c>
      <c r="K14" s="32">
        <f t="shared" si="1"/>
        <v>6.1387565609133575E-2</v>
      </c>
      <c r="L14" s="32">
        <f t="shared" si="2"/>
        <v>8.0097938149422676E-2</v>
      </c>
      <c r="M14" s="33">
        <f t="shared" si="7"/>
        <v>1.4700145620138258E-3</v>
      </c>
      <c r="N14" s="34">
        <f t="shared" si="8"/>
        <v>5.8636873085417816E-4</v>
      </c>
      <c r="O14" s="35">
        <f t="shared" si="9"/>
        <v>2.5092067927210815</v>
      </c>
      <c r="P14" s="35">
        <f t="shared" si="10"/>
        <v>1.4713204024985433E-3</v>
      </c>
      <c r="Q14" s="36">
        <v>2.48</v>
      </c>
      <c r="R14" s="36">
        <v>2.5299999999999998</v>
      </c>
      <c r="S14" s="37">
        <v>3678</v>
      </c>
      <c r="T14" s="37">
        <v>491307717</v>
      </c>
      <c r="U14" s="37">
        <v>491343890</v>
      </c>
    </row>
    <row r="15" spans="1:21" ht="14.25">
      <c r="A15" s="27">
        <v>11</v>
      </c>
      <c r="B15" s="28" t="s">
        <v>40</v>
      </c>
      <c r="C15" s="28" t="s">
        <v>41</v>
      </c>
      <c r="D15" s="104">
        <v>353015569.08999997</v>
      </c>
      <c r="E15" s="104">
        <v>8371455.1900000004</v>
      </c>
      <c r="F15" s="104">
        <v>629459.63</v>
      </c>
      <c r="G15" s="105">
        <v>38259866.420000002</v>
      </c>
      <c r="H15" s="25">
        <v>355032053.18000001</v>
      </c>
      <c r="I15" s="32">
        <f t="shared" si="0"/>
        <v>1.9299599684436727E-2</v>
      </c>
      <c r="J15" s="106">
        <v>386054626.31</v>
      </c>
      <c r="K15" s="32">
        <f t="shared" si="1"/>
        <v>1.9222379987276137E-2</v>
      </c>
      <c r="L15" s="32">
        <f t="shared" si="2"/>
        <v>8.7379640379319945E-2</v>
      </c>
      <c r="M15" s="33">
        <f t="shared" si="7"/>
        <v>1.6304936843174803E-3</v>
      </c>
      <c r="N15" s="34">
        <f t="shared" si="8"/>
        <v>9.9104799716290701E-2</v>
      </c>
      <c r="O15" s="35">
        <f t="shared" si="9"/>
        <v>15.228737351874553</v>
      </c>
      <c r="P15" s="35">
        <f t="shared" si="10"/>
        <v>1.5092409651895229</v>
      </c>
      <c r="Q15" s="107">
        <v>15.3</v>
      </c>
      <c r="R15" s="107">
        <v>15.38</v>
      </c>
      <c r="S15" s="140">
        <v>210</v>
      </c>
      <c r="T15" s="140">
        <v>24408024.280000001</v>
      </c>
      <c r="U15" s="140">
        <v>25350402.82</v>
      </c>
    </row>
    <row r="16" spans="1:21" ht="14.25">
      <c r="A16" s="27">
        <v>12</v>
      </c>
      <c r="B16" s="39" t="s">
        <v>42</v>
      </c>
      <c r="C16" s="39" t="s">
        <v>43</v>
      </c>
      <c r="D16" s="29">
        <v>377473215.77999997</v>
      </c>
      <c r="E16" s="29">
        <v>4459565.84</v>
      </c>
      <c r="F16" s="29">
        <v>521951.99</v>
      </c>
      <c r="G16" s="30">
        <v>3937613.85</v>
      </c>
      <c r="H16" s="25">
        <v>344566786.22000003</v>
      </c>
      <c r="I16" s="32">
        <f t="shared" si="0"/>
        <v>1.8730706084240125E-2</v>
      </c>
      <c r="J16" s="31">
        <v>377581761.14999998</v>
      </c>
      <c r="K16" s="32">
        <f t="shared" si="1"/>
        <v>1.8800500225742877E-2</v>
      </c>
      <c r="L16" s="32">
        <f t="shared" si="2"/>
        <v>9.581589477089196E-2</v>
      </c>
      <c r="M16" s="33">
        <f t="shared" si="7"/>
        <v>1.3823548796697486E-3</v>
      </c>
      <c r="N16" s="34">
        <f t="shared" si="8"/>
        <v>1.0428506498849991E-2</v>
      </c>
      <c r="O16" s="35">
        <f t="shared" si="9"/>
        <v>1.9206472073257062</v>
      </c>
      <c r="P16" s="35">
        <f t="shared" si="10"/>
        <v>2.0029481883594213E-2</v>
      </c>
      <c r="Q16" s="36">
        <v>1.89</v>
      </c>
      <c r="R16" s="36">
        <v>1.92</v>
      </c>
      <c r="S16" s="37">
        <v>16</v>
      </c>
      <c r="T16" s="37">
        <v>196590899</v>
      </c>
      <c r="U16" s="37">
        <v>196590899</v>
      </c>
    </row>
    <row r="17" spans="1:21" ht="14.25">
      <c r="A17" s="27">
        <v>13</v>
      </c>
      <c r="B17" s="28" t="s">
        <v>44</v>
      </c>
      <c r="C17" s="28" t="s">
        <v>45</v>
      </c>
      <c r="D17" s="29">
        <v>958588616.14999998</v>
      </c>
      <c r="E17" s="29">
        <v>49933103.899999999</v>
      </c>
      <c r="F17" s="29">
        <v>1544599.95</v>
      </c>
      <c r="G17" s="30">
        <v>48388503.950000003</v>
      </c>
      <c r="H17" s="25">
        <v>852144461.77999997</v>
      </c>
      <c r="I17" s="32">
        <f t="shared" si="0"/>
        <v>4.6322710409827987E-2</v>
      </c>
      <c r="J17" s="31">
        <v>953882660.65999997</v>
      </c>
      <c r="K17" s="32">
        <f t="shared" si="1"/>
        <v>4.7495597039567301E-2</v>
      </c>
      <c r="L17" s="32">
        <f t="shared" si="2"/>
        <v>0.11939078811529726</v>
      </c>
      <c r="M17" s="33">
        <f t="shared" si="7"/>
        <v>1.6192766822402216E-3</v>
      </c>
      <c r="N17" s="34">
        <f t="shared" si="8"/>
        <v>5.072794164904891E-2</v>
      </c>
      <c r="O17" s="35">
        <f t="shared" si="9"/>
        <v>24.32787035799231</v>
      </c>
      <c r="P17" s="35">
        <f t="shared" si="10"/>
        <v>1.2341027879658606</v>
      </c>
      <c r="Q17" s="36">
        <v>24.07</v>
      </c>
      <c r="R17" s="36">
        <v>24.46</v>
      </c>
      <c r="S17" s="37">
        <v>8852</v>
      </c>
      <c r="T17" s="37">
        <v>39325899</v>
      </c>
      <c r="U17" s="37">
        <v>39209460.039999999</v>
      </c>
    </row>
    <row r="18" spans="1:21" ht="14.25">
      <c r="A18" s="27">
        <v>14</v>
      </c>
      <c r="B18" s="38" t="s">
        <v>46</v>
      </c>
      <c r="C18" s="28" t="s">
        <v>47</v>
      </c>
      <c r="D18" s="104">
        <v>450991020.13999999</v>
      </c>
      <c r="E18" s="104">
        <v>3593582.29</v>
      </c>
      <c r="F18" s="104">
        <v>723498.3</v>
      </c>
      <c r="G18" s="104">
        <v>58446781.490000002</v>
      </c>
      <c r="H18" s="26">
        <v>370323567.38999999</v>
      </c>
      <c r="I18" s="32">
        <f t="shared" si="0"/>
        <v>2.0130848863710832E-2</v>
      </c>
      <c r="J18" s="104">
        <v>449611492.29000002</v>
      </c>
      <c r="K18" s="32">
        <f t="shared" si="1"/>
        <v>2.2386994902904456E-2</v>
      </c>
      <c r="L18" s="32">
        <f t="shared" si="2"/>
        <v>0.21410445319160393</v>
      </c>
      <c r="M18" s="33">
        <f t="shared" si="7"/>
        <v>1.6091632718617046E-3</v>
      </c>
      <c r="N18" s="34">
        <f t="shared" si="8"/>
        <v>0.12999396699651475</v>
      </c>
      <c r="O18" s="35">
        <f t="shared" si="9"/>
        <v>4497.2446307512446</v>
      </c>
      <c r="P18" s="35">
        <f t="shared" si="10"/>
        <v>584.61467010513036</v>
      </c>
      <c r="Q18" s="42">
        <v>4463.4399999999996</v>
      </c>
      <c r="R18" s="42">
        <v>4520.41</v>
      </c>
      <c r="S18" s="43">
        <v>20</v>
      </c>
      <c r="T18" s="138">
        <v>95344.47</v>
      </c>
      <c r="U18" s="138">
        <v>99974.88</v>
      </c>
    </row>
    <row r="19" spans="1:21" ht="14.25">
      <c r="A19" s="27">
        <v>15</v>
      </c>
      <c r="B19" s="28" t="s">
        <v>48</v>
      </c>
      <c r="C19" s="28" t="s">
        <v>47</v>
      </c>
      <c r="D19" s="104">
        <v>9128761664.5699997</v>
      </c>
      <c r="E19" s="104">
        <v>56905081.939999998</v>
      </c>
      <c r="F19" s="104">
        <v>24198714.510000002</v>
      </c>
      <c r="G19" s="104">
        <v>894901774.46000004</v>
      </c>
      <c r="H19" s="26">
        <v>8094694060.2299995</v>
      </c>
      <c r="I19" s="32">
        <f t="shared" si="0"/>
        <v>0.44002887494561382</v>
      </c>
      <c r="J19" s="104">
        <v>9058968759.1700001</v>
      </c>
      <c r="K19" s="32">
        <f t="shared" si="1"/>
        <v>0.45106295304903204</v>
      </c>
      <c r="L19" s="32">
        <f t="shared" si="2"/>
        <v>0.11912429200722652</v>
      </c>
      <c r="M19" s="33">
        <f t="shared" si="7"/>
        <v>2.671243841690556E-3</v>
      </c>
      <c r="N19" s="34">
        <f t="shared" si="8"/>
        <v>9.8786274492240617E-2</v>
      </c>
      <c r="O19" s="35">
        <f t="shared" si="9"/>
        <v>15694.74623214344</v>
      </c>
      <c r="P19" s="35">
        <f t="shared" si="10"/>
        <v>1550.425509374581</v>
      </c>
      <c r="Q19" s="42">
        <v>15578.09</v>
      </c>
      <c r="R19" s="42">
        <v>15774.7</v>
      </c>
      <c r="S19" s="43">
        <v>16959</v>
      </c>
      <c r="T19" s="138">
        <v>574713.31000000006</v>
      </c>
      <c r="U19" s="138">
        <v>577197.53</v>
      </c>
    </row>
    <row r="20" spans="1:21" ht="14.25">
      <c r="A20" s="27">
        <v>16</v>
      </c>
      <c r="B20" s="28" t="s">
        <v>50</v>
      </c>
      <c r="C20" s="28" t="s">
        <v>51</v>
      </c>
      <c r="D20" s="108">
        <v>1694676064</v>
      </c>
      <c r="E20" s="108">
        <v>60744746</v>
      </c>
      <c r="F20" s="108">
        <v>4165035</v>
      </c>
      <c r="G20" s="42">
        <v>182682121</v>
      </c>
      <c r="H20" s="25">
        <v>2203306735</v>
      </c>
      <c r="I20" s="32">
        <f t="shared" si="0"/>
        <v>0.11977210955080816</v>
      </c>
      <c r="J20" s="108">
        <v>2396738222</v>
      </c>
      <c r="K20" s="32">
        <f t="shared" si="1"/>
        <v>0.11933806693024264</v>
      </c>
      <c r="L20" s="32">
        <f t="shared" si="2"/>
        <v>8.7791447249399884E-2</v>
      </c>
      <c r="M20" s="33">
        <f t="shared" si="7"/>
        <v>1.7377930396271705E-3</v>
      </c>
      <c r="N20" s="34">
        <f t="shared" si="8"/>
        <v>7.6221140599809736E-2</v>
      </c>
      <c r="O20" s="35">
        <f t="shared" si="9"/>
        <v>1.1586594262302508</v>
      </c>
      <c r="P20" s="35">
        <f t="shared" si="10"/>
        <v>8.8314343033990828E-2</v>
      </c>
      <c r="Q20" s="107">
        <v>1.1599999999999999</v>
      </c>
      <c r="R20" s="107">
        <v>1.18</v>
      </c>
      <c r="S20" s="140">
        <v>2764</v>
      </c>
      <c r="T20" s="141">
        <v>1949374888</v>
      </c>
      <c r="U20" s="141">
        <v>2068544188</v>
      </c>
    </row>
    <row r="21" spans="1:21" ht="14.25">
      <c r="A21" s="158" t="s">
        <v>52</v>
      </c>
      <c r="B21" s="158"/>
      <c r="C21" s="158"/>
      <c r="D21" s="158"/>
      <c r="E21" s="158"/>
      <c r="F21" s="158"/>
      <c r="G21" s="158"/>
      <c r="H21" s="46">
        <f>SUM(H5:H20)</f>
        <v>18395824731.344002</v>
      </c>
      <c r="I21" s="47">
        <f>(H21/$H$167)</f>
        <v>1.1287784576448308E-2</v>
      </c>
      <c r="J21" s="46">
        <f>SUM(J5:J20)</f>
        <v>20083601851.879997</v>
      </c>
      <c r="K21" s="47">
        <f>(J21/$J$167)</f>
        <v>1.1046544458243452E-2</v>
      </c>
      <c r="L21" s="32">
        <f t="shared" si="2"/>
        <v>9.1747836543596278E-2</v>
      </c>
      <c r="M21" s="48"/>
      <c r="N21" s="48"/>
      <c r="O21" s="49"/>
      <c r="P21" s="49"/>
      <c r="Q21" s="50"/>
      <c r="R21" s="50"/>
      <c r="S21" s="51">
        <f>SUM(S5:S20)</f>
        <v>40882</v>
      </c>
      <c r="T21" s="52"/>
      <c r="U21" s="52"/>
    </row>
    <row r="22" spans="1:21" ht="6.75" customHeight="1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</row>
    <row r="23" spans="1:21">
      <c r="A23" s="162" t="s">
        <v>53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</row>
    <row r="24" spans="1:21" ht="13.5" customHeight="1">
      <c r="A24" s="27">
        <v>17</v>
      </c>
      <c r="B24" s="28" t="s">
        <v>54</v>
      </c>
      <c r="C24" s="28" t="s">
        <v>22</v>
      </c>
      <c r="D24" s="107">
        <v>825191394.36000001</v>
      </c>
      <c r="E24" s="107">
        <v>8007123.4900000002</v>
      </c>
      <c r="F24" s="107">
        <v>1679629.78</v>
      </c>
      <c r="G24" s="30">
        <v>6327493.71</v>
      </c>
      <c r="H24" s="26">
        <v>792435714.33000004</v>
      </c>
      <c r="I24" s="32">
        <f t="shared" ref="I24:I52" si="16">(H24/$H$53)</f>
        <v>9.8761334839273288E-4</v>
      </c>
      <c r="J24" s="110">
        <v>809250351.65999997</v>
      </c>
      <c r="K24" s="32">
        <f t="shared" ref="K24:K52" si="17">(J24/$J$53)</f>
        <v>9.9164085202512364E-4</v>
      </c>
      <c r="L24" s="32">
        <f t="shared" ref="L24:L53" si="18">((J24-H24)/H24)</f>
        <v>2.1218929215244427E-2</v>
      </c>
      <c r="M24" s="33">
        <f t="shared" ref="M24" si="19">(F24/J24)</f>
        <v>2.0755379056117888E-3</v>
      </c>
      <c r="N24" s="34">
        <f t="shared" ref="N24" si="20">G24/J24</f>
        <v>7.8189570100532322E-3</v>
      </c>
      <c r="O24" s="53">
        <f t="shared" ref="O24" si="21">J24/U24</f>
        <v>101.39431711693199</v>
      </c>
      <c r="P24" s="53">
        <f t="shared" ref="P24" si="22">G24/U24</f>
        <v>0.79279780660099586</v>
      </c>
      <c r="Q24" s="36">
        <v>100</v>
      </c>
      <c r="R24" s="36">
        <v>100</v>
      </c>
      <c r="S24" s="37">
        <v>704</v>
      </c>
      <c r="T24" s="120">
        <v>7804970</v>
      </c>
      <c r="U24" s="140">
        <v>7981220</v>
      </c>
    </row>
    <row r="25" spans="1:21" ht="15" customHeight="1">
      <c r="A25" s="27">
        <v>18</v>
      </c>
      <c r="B25" s="28" t="s">
        <v>55</v>
      </c>
      <c r="C25" s="28" t="s">
        <v>56</v>
      </c>
      <c r="D25" s="36">
        <v>3369963565.0599999</v>
      </c>
      <c r="E25" s="36">
        <v>38718430</v>
      </c>
      <c r="F25" s="36">
        <v>5516462.9900000002</v>
      </c>
      <c r="G25" s="30">
        <v>33201967.010000002</v>
      </c>
      <c r="H25" s="26">
        <v>3167310872.9400001</v>
      </c>
      <c r="I25" s="32">
        <f t="shared" si="16"/>
        <v>3.947422409235752E-3</v>
      </c>
      <c r="J25" s="36">
        <v>3330543479</v>
      </c>
      <c r="K25" s="32">
        <f t="shared" si="17"/>
        <v>4.0811881841602013E-3</v>
      </c>
      <c r="L25" s="32">
        <f t="shared" ref="L25:L52" si="23">((J25-H25)/H25)</f>
        <v>5.1536654470699987E-2</v>
      </c>
      <c r="M25" s="33">
        <f t="shared" ref="M25:M52" si="24">(F25/J25)</f>
        <v>1.6563251687848632E-3</v>
      </c>
      <c r="N25" s="34">
        <f t="shared" ref="N25:N52" si="25">G25/J25</f>
        <v>9.9689336648350665E-3</v>
      </c>
      <c r="O25" s="53">
        <f t="shared" ref="O25:O52" si="26">J25/U25</f>
        <v>103.0247840086224</v>
      </c>
      <c r="P25" s="53">
        <f t="shared" ref="P25:P52" si="27">G25/U25</f>
        <v>1.0270472376159174</v>
      </c>
      <c r="Q25" s="36">
        <v>100</v>
      </c>
      <c r="R25" s="36">
        <v>100</v>
      </c>
      <c r="S25" s="54">
        <v>1048</v>
      </c>
      <c r="T25" s="37">
        <v>31039455.440000001</v>
      </c>
      <c r="U25" s="37">
        <v>32327594.870000001</v>
      </c>
    </row>
    <row r="26" spans="1:21" ht="14.25">
      <c r="A26" s="27">
        <v>19</v>
      </c>
      <c r="B26" s="28" t="s">
        <v>57</v>
      </c>
      <c r="C26" s="28" t="s">
        <v>24</v>
      </c>
      <c r="D26" s="36">
        <v>476127117.95999998</v>
      </c>
      <c r="E26" s="36">
        <v>577849.12</v>
      </c>
      <c r="F26" s="36">
        <v>700765.44</v>
      </c>
      <c r="G26" s="30">
        <v>122916.32</v>
      </c>
      <c r="H26" s="26">
        <v>464925332.55000001</v>
      </c>
      <c r="I26" s="32">
        <f t="shared" si="16"/>
        <v>5.7943686298961555E-4</v>
      </c>
      <c r="J26" s="36">
        <v>464925332.55000001</v>
      </c>
      <c r="K26" s="32">
        <f t="shared" si="17"/>
        <v>5.6971115545668342E-4</v>
      </c>
      <c r="L26" s="32">
        <f t="shared" si="23"/>
        <v>0</v>
      </c>
      <c r="M26" s="33">
        <f t="shared" si="24"/>
        <v>1.5072644808500227E-3</v>
      </c>
      <c r="N26" s="34">
        <f t="shared" si="25"/>
        <v>2.64378624683311E-4</v>
      </c>
      <c r="O26" s="53">
        <f t="shared" si="26"/>
        <v>85.858331166093393</v>
      </c>
      <c r="P26" s="53">
        <f t="shared" si="27"/>
        <v>2.2699107511296026E-2</v>
      </c>
      <c r="Q26" s="36">
        <v>100</v>
      </c>
      <c r="R26" s="36">
        <v>100</v>
      </c>
      <c r="S26" s="37">
        <v>859</v>
      </c>
      <c r="T26" s="37">
        <v>4634274.4000000004</v>
      </c>
      <c r="U26" s="37">
        <v>5415028.7599999998</v>
      </c>
    </row>
    <row r="27" spans="1:21" ht="14.25">
      <c r="A27" s="27">
        <v>20</v>
      </c>
      <c r="B27" s="28" t="s">
        <v>58</v>
      </c>
      <c r="C27" s="38" t="s">
        <v>26</v>
      </c>
      <c r="D27" s="104">
        <v>25160425864.029999</v>
      </c>
      <c r="E27" s="104">
        <v>818772436.40999997</v>
      </c>
      <c r="F27" s="104">
        <v>167223049.31</v>
      </c>
      <c r="G27" s="104">
        <v>651549387.10000002</v>
      </c>
      <c r="H27" s="26">
        <v>79180911546</v>
      </c>
      <c r="I27" s="32">
        <f t="shared" si="16"/>
        <v>9.8683241765360905E-2</v>
      </c>
      <c r="J27" s="108">
        <v>79847036684</v>
      </c>
      <c r="K27" s="32">
        <f t="shared" si="17"/>
        <v>9.7843125216545757E-2</v>
      </c>
      <c r="L27" s="32">
        <f t="shared" si="23"/>
        <v>8.412698527889716E-3</v>
      </c>
      <c r="M27" s="33">
        <f t="shared" si="24"/>
        <v>2.0942924904251165E-3</v>
      </c>
      <c r="N27" s="34">
        <f t="shared" si="25"/>
        <v>8.1599695387388066E-3</v>
      </c>
      <c r="O27" s="53">
        <f t="shared" si="26"/>
        <v>1</v>
      </c>
      <c r="P27" s="53">
        <f t="shared" si="27"/>
        <v>8.1599695387388066E-3</v>
      </c>
      <c r="Q27" s="36">
        <v>1</v>
      </c>
      <c r="R27" s="36">
        <v>1</v>
      </c>
      <c r="S27" s="37">
        <v>32068</v>
      </c>
      <c r="T27" s="138">
        <v>79180911546</v>
      </c>
      <c r="U27" s="138">
        <v>79847036684</v>
      </c>
    </row>
    <row r="28" spans="1:21" ht="14.25">
      <c r="A28" s="27">
        <v>21</v>
      </c>
      <c r="B28" s="28" t="s">
        <v>59</v>
      </c>
      <c r="C28" s="28" t="s">
        <v>60</v>
      </c>
      <c r="D28" s="36">
        <v>13559827535.040001</v>
      </c>
      <c r="E28" s="36">
        <v>366532730.95999998</v>
      </c>
      <c r="F28" s="36">
        <v>53830195.060000002</v>
      </c>
      <c r="G28" s="30">
        <v>312702535.89999998</v>
      </c>
      <c r="H28" s="26">
        <v>39442794027.019997</v>
      </c>
      <c r="I28" s="32">
        <f t="shared" si="16"/>
        <v>4.9157589914944316E-2</v>
      </c>
      <c r="J28" s="36">
        <v>40590961867.239998</v>
      </c>
      <c r="K28" s="32">
        <f t="shared" si="17"/>
        <v>4.9739435921135791E-2</v>
      </c>
      <c r="L28" s="32">
        <f t="shared" si="23"/>
        <v>2.910969845172371E-2</v>
      </c>
      <c r="M28" s="33">
        <f t="shared" si="24"/>
        <v>1.3261620957902226E-3</v>
      </c>
      <c r="N28" s="34">
        <f t="shared" si="25"/>
        <v>7.7037478668958263E-3</v>
      </c>
      <c r="O28" s="53">
        <f t="shared" si="26"/>
        <v>1.0225133278231935</v>
      </c>
      <c r="P28" s="53">
        <f t="shared" si="27"/>
        <v>7.8771848680904803E-3</v>
      </c>
      <c r="Q28" s="36">
        <v>1</v>
      </c>
      <c r="R28" s="36">
        <v>1</v>
      </c>
      <c r="S28" s="37">
        <v>25583</v>
      </c>
      <c r="T28" s="37">
        <v>38839621326.209999</v>
      </c>
      <c r="U28" s="37">
        <v>39697244781.790001</v>
      </c>
    </row>
    <row r="29" spans="1:21" ht="14.25">
      <c r="A29" s="27">
        <v>22</v>
      </c>
      <c r="B29" s="38" t="s">
        <v>61</v>
      </c>
      <c r="C29" s="38" t="s">
        <v>45</v>
      </c>
      <c r="D29" s="36">
        <v>5068858234.3900003</v>
      </c>
      <c r="E29" s="36">
        <v>45782543.530000001</v>
      </c>
      <c r="F29" s="36">
        <v>9085781.1899999995</v>
      </c>
      <c r="G29" s="30">
        <v>36696762.340000004</v>
      </c>
      <c r="H29" s="26">
        <v>6193676864.3699999</v>
      </c>
      <c r="I29" s="32">
        <f t="shared" si="16"/>
        <v>7.7191850850070682E-3</v>
      </c>
      <c r="J29" s="36">
        <v>4911301427.4899998</v>
      </c>
      <c r="K29" s="32">
        <f t="shared" si="17"/>
        <v>6.0182205940573809E-3</v>
      </c>
      <c r="L29" s="32">
        <f t="shared" si="23"/>
        <v>-0.20704590584262569</v>
      </c>
      <c r="M29" s="33">
        <f t="shared" si="24"/>
        <v>1.8499742530857927E-3</v>
      </c>
      <c r="N29" s="34">
        <f t="shared" si="25"/>
        <v>7.4719018740322923E-3</v>
      </c>
      <c r="O29" s="53">
        <f t="shared" si="26"/>
        <v>99.999999989615773</v>
      </c>
      <c r="P29" s="53">
        <f t="shared" si="27"/>
        <v>0.74719018732563935</v>
      </c>
      <c r="Q29" s="36">
        <v>100</v>
      </c>
      <c r="R29" s="36">
        <v>100</v>
      </c>
      <c r="S29" s="37">
        <v>2576</v>
      </c>
      <c r="T29" s="142">
        <v>61936768.640000001</v>
      </c>
      <c r="U29" s="37">
        <v>49113014.280000001</v>
      </c>
    </row>
    <row r="30" spans="1:21" ht="14.25">
      <c r="A30" s="27">
        <v>23</v>
      </c>
      <c r="B30" s="28" t="s">
        <v>62</v>
      </c>
      <c r="C30" s="28" t="s">
        <v>63</v>
      </c>
      <c r="D30" s="111">
        <v>12857382949.91</v>
      </c>
      <c r="E30" s="36">
        <v>136975000.75</v>
      </c>
      <c r="F30" s="36">
        <v>20931289.760000002</v>
      </c>
      <c r="G30" s="30">
        <v>118122343.58</v>
      </c>
      <c r="H30" s="26">
        <v>12467446475.639999</v>
      </c>
      <c r="I30" s="32">
        <f t="shared" si="16"/>
        <v>1.5538189833006937E-2</v>
      </c>
      <c r="J30" s="36">
        <v>12443485137.450001</v>
      </c>
      <c r="K30" s="32">
        <f t="shared" si="17"/>
        <v>1.5248023282969434E-2</v>
      </c>
      <c r="L30" s="32">
        <f t="shared" si="23"/>
        <v>-1.921912256596923E-3</v>
      </c>
      <c r="M30" s="33">
        <f t="shared" si="24"/>
        <v>1.6821083103965018E-3</v>
      </c>
      <c r="N30" s="34">
        <f t="shared" si="25"/>
        <v>9.4927058034969761E-3</v>
      </c>
      <c r="O30" s="53">
        <f t="shared" si="26"/>
        <v>100.00000000361635</v>
      </c>
      <c r="P30" s="53">
        <f t="shared" si="27"/>
        <v>0.94927058038402667</v>
      </c>
      <c r="Q30" s="36">
        <v>100</v>
      </c>
      <c r="R30" s="36">
        <v>100</v>
      </c>
      <c r="S30" s="37">
        <v>45107</v>
      </c>
      <c r="T30" s="37">
        <v>124674464.76000001</v>
      </c>
      <c r="U30" s="37">
        <v>124434851.37</v>
      </c>
    </row>
    <row r="31" spans="1:21" ht="14.25">
      <c r="A31" s="27">
        <v>24</v>
      </c>
      <c r="B31" s="28" t="s">
        <v>64</v>
      </c>
      <c r="C31" s="28" t="s">
        <v>65</v>
      </c>
      <c r="D31" s="36">
        <v>2095633888.53</v>
      </c>
      <c r="E31" s="36">
        <v>48875143.57</v>
      </c>
      <c r="F31" s="36">
        <v>6195141.6699999999</v>
      </c>
      <c r="G31" s="30">
        <v>42680001.899999999</v>
      </c>
      <c r="H31" s="26">
        <v>5427563100</v>
      </c>
      <c r="I31" s="32">
        <f t="shared" si="16"/>
        <v>6.7643768066864242E-3</v>
      </c>
      <c r="J31" s="104">
        <v>5194203000</v>
      </c>
      <c r="K31" s="32">
        <f t="shared" si="17"/>
        <v>6.3648831019297641E-3</v>
      </c>
      <c r="L31" s="32">
        <f t="shared" si="23"/>
        <v>-4.2995373006349757E-2</v>
      </c>
      <c r="M31" s="33">
        <f t="shared" si="24"/>
        <v>1.1927030325922957E-3</v>
      </c>
      <c r="N31" s="34">
        <f t="shared" si="25"/>
        <v>8.2168528838784307E-3</v>
      </c>
      <c r="O31" s="53">
        <f t="shared" si="26"/>
        <v>100</v>
      </c>
      <c r="P31" s="53">
        <f t="shared" si="27"/>
        <v>0.82168528838784316</v>
      </c>
      <c r="Q31" s="36">
        <v>100</v>
      </c>
      <c r="R31" s="36">
        <v>100</v>
      </c>
      <c r="S31" s="37">
        <v>5154</v>
      </c>
      <c r="T31" s="37">
        <v>54275631</v>
      </c>
      <c r="U31" s="37">
        <v>51942030</v>
      </c>
    </row>
    <row r="32" spans="1:21" ht="14.25">
      <c r="A32" s="27">
        <v>25</v>
      </c>
      <c r="B32" s="28" t="s">
        <v>66</v>
      </c>
      <c r="C32" s="38" t="s">
        <v>67</v>
      </c>
      <c r="D32" s="36">
        <v>39263942.280000001</v>
      </c>
      <c r="E32" s="29">
        <v>275433.01</v>
      </c>
      <c r="F32" s="29">
        <v>41437.480000000003</v>
      </c>
      <c r="G32" s="30">
        <v>233995.53</v>
      </c>
      <c r="H32" s="26">
        <v>39203248.560000002</v>
      </c>
      <c r="I32" s="32">
        <f t="shared" si="16"/>
        <v>4.8859044182466897E-5</v>
      </c>
      <c r="J32" s="36">
        <v>39203248.560000002</v>
      </c>
      <c r="K32" s="32">
        <f t="shared" si="17"/>
        <v>4.8038956948793952E-5</v>
      </c>
      <c r="L32" s="32">
        <f t="shared" si="23"/>
        <v>0</v>
      </c>
      <c r="M32" s="33">
        <f t="shared" si="24"/>
        <v>1.056990977076314E-3</v>
      </c>
      <c r="N32" s="34">
        <f t="shared" si="25"/>
        <v>5.9687790832403404E-3</v>
      </c>
      <c r="O32" s="53">
        <f t="shared" si="26"/>
        <v>101.87107246798604</v>
      </c>
      <c r="P32" s="53">
        <f t="shared" si="27"/>
        <v>0.608045926534176</v>
      </c>
      <c r="Q32" s="36">
        <v>10</v>
      </c>
      <c r="R32" s="36">
        <v>10</v>
      </c>
      <c r="S32" s="37">
        <v>86</v>
      </c>
      <c r="T32" s="37">
        <v>384832</v>
      </c>
      <c r="U32" s="37">
        <v>384832</v>
      </c>
    </row>
    <row r="33" spans="1:21" ht="14.25">
      <c r="A33" s="27">
        <v>26</v>
      </c>
      <c r="B33" s="28" t="s">
        <v>68</v>
      </c>
      <c r="C33" s="28" t="s">
        <v>69</v>
      </c>
      <c r="D33" s="112">
        <v>5536376322.2399998</v>
      </c>
      <c r="E33" s="112">
        <v>53568801.5</v>
      </c>
      <c r="F33" s="107">
        <v>10020647.77</v>
      </c>
      <c r="G33" s="44">
        <v>43548153.719999999</v>
      </c>
      <c r="H33" s="26">
        <v>5885401496.3500004</v>
      </c>
      <c r="I33" s="32">
        <f t="shared" si="16"/>
        <v>7.334981214672109E-3</v>
      </c>
      <c r="J33" s="45" t="s">
        <v>221</v>
      </c>
      <c r="K33" s="32">
        <f t="shared" si="17"/>
        <v>6.7519806109113409E-3</v>
      </c>
      <c r="L33" s="32">
        <f t="shared" si="23"/>
        <v>-6.3767790711093078E-2</v>
      </c>
      <c r="M33" s="33">
        <f t="shared" si="24"/>
        <v>1.8185955468432446E-3</v>
      </c>
      <c r="N33" s="34">
        <f t="shared" si="25"/>
        <v>7.9033292304252975E-3</v>
      </c>
      <c r="O33" s="53">
        <f t="shared" si="26"/>
        <v>1.018337075677398</v>
      </c>
      <c r="P33" s="53">
        <f t="shared" si="27"/>
        <v>8.0482531766269978E-3</v>
      </c>
      <c r="Q33" s="36">
        <v>1</v>
      </c>
      <c r="R33" s="36">
        <v>1</v>
      </c>
      <c r="S33" s="140">
        <v>1944</v>
      </c>
      <c r="T33" s="138">
        <v>5828065705.1199999</v>
      </c>
      <c r="U33" s="138">
        <v>5410882680.29</v>
      </c>
    </row>
    <row r="34" spans="1:21" ht="14.25">
      <c r="A34" s="27">
        <v>27</v>
      </c>
      <c r="B34" s="28" t="s">
        <v>70</v>
      </c>
      <c r="C34" s="28" t="s">
        <v>71</v>
      </c>
      <c r="D34" s="36">
        <v>6688208890.8900003</v>
      </c>
      <c r="E34" s="36">
        <v>121648535.16</v>
      </c>
      <c r="F34" s="36">
        <v>20196794.09</v>
      </c>
      <c r="G34" s="30">
        <v>101451741.06999999</v>
      </c>
      <c r="H34" s="26">
        <v>12478029970.139999</v>
      </c>
      <c r="I34" s="32">
        <f t="shared" si="16"/>
        <v>1.5551380051786613E-2</v>
      </c>
      <c r="J34" s="111">
        <v>13321667928</v>
      </c>
      <c r="K34" s="32">
        <f t="shared" si="17"/>
        <v>1.6324132708029872E-2</v>
      </c>
      <c r="L34" s="32">
        <f t="shared" si="23"/>
        <v>6.7609867894117201E-2</v>
      </c>
      <c r="M34" s="33">
        <f t="shared" si="24"/>
        <v>1.5160859885682628E-3</v>
      </c>
      <c r="N34" s="34">
        <f t="shared" si="25"/>
        <v>7.6155434603473919E-3</v>
      </c>
      <c r="O34" s="53">
        <f t="shared" si="26"/>
        <v>100.00000021018388</v>
      </c>
      <c r="P34" s="53">
        <f t="shared" si="27"/>
        <v>0.76155434763540375</v>
      </c>
      <c r="Q34" s="36">
        <v>100</v>
      </c>
      <c r="R34" s="36">
        <v>100</v>
      </c>
      <c r="S34" s="37">
        <v>4949</v>
      </c>
      <c r="T34" s="37">
        <v>127830604</v>
      </c>
      <c r="U34" s="37">
        <v>133216679</v>
      </c>
    </row>
    <row r="35" spans="1:21" ht="14.25">
      <c r="A35" s="27">
        <v>28</v>
      </c>
      <c r="B35" s="28" t="s">
        <v>72</v>
      </c>
      <c r="C35" s="28" t="s">
        <v>71</v>
      </c>
      <c r="D35" s="42">
        <v>198465877.68000001</v>
      </c>
      <c r="E35" s="36">
        <v>4491850.18</v>
      </c>
      <c r="F35" s="36">
        <v>445088.42</v>
      </c>
      <c r="G35" s="30">
        <v>4046761.76</v>
      </c>
      <c r="H35" s="26">
        <v>460655106.39999998</v>
      </c>
      <c r="I35" s="32">
        <f t="shared" si="16"/>
        <v>5.7411487627178888E-4</v>
      </c>
      <c r="J35" s="36">
        <v>573670747.15999997</v>
      </c>
      <c r="K35" s="32">
        <f t="shared" si="17"/>
        <v>7.0296583415590532E-4</v>
      </c>
      <c r="L35" s="32">
        <f t="shared" si="23"/>
        <v>0.24533678057584643</v>
      </c>
      <c r="M35" s="33">
        <f t="shared" si="24"/>
        <v>7.7586040808851346E-4</v>
      </c>
      <c r="N35" s="34">
        <f t="shared" si="25"/>
        <v>7.0541539376616242E-3</v>
      </c>
      <c r="O35" s="53">
        <f t="shared" si="26"/>
        <v>1001170.5884118673</v>
      </c>
      <c r="P35" s="53">
        <f t="shared" si="27"/>
        <v>7062.4114485165792</v>
      </c>
      <c r="Q35" s="36">
        <v>1000000</v>
      </c>
      <c r="R35" s="36">
        <v>1000000</v>
      </c>
      <c r="S35" s="37">
        <v>16</v>
      </c>
      <c r="T35" s="37">
        <v>461</v>
      </c>
      <c r="U35" s="37">
        <v>573</v>
      </c>
    </row>
    <row r="36" spans="1:21" ht="14.25">
      <c r="A36" s="27">
        <v>29</v>
      </c>
      <c r="B36" s="38" t="s">
        <v>73</v>
      </c>
      <c r="C36" s="38" t="s">
        <v>74</v>
      </c>
      <c r="D36" s="104">
        <v>2285850739.8299999</v>
      </c>
      <c r="E36" s="36">
        <v>27580366.91</v>
      </c>
      <c r="F36" s="102">
        <v>3819804.82</v>
      </c>
      <c r="G36" s="44">
        <v>23720559.84</v>
      </c>
      <c r="H36" s="26">
        <v>2094500110.8399999</v>
      </c>
      <c r="I36" s="32">
        <f t="shared" si="16"/>
        <v>2.6103773849019351E-3</v>
      </c>
      <c r="J36" s="102">
        <v>2184411187.5900002</v>
      </c>
      <c r="K36" s="32">
        <f t="shared" si="17"/>
        <v>2.6767382513848458E-3</v>
      </c>
      <c r="L36" s="32">
        <f t="shared" si="23"/>
        <v>4.2927224632106312E-2</v>
      </c>
      <c r="M36" s="33">
        <f t="shared" si="24"/>
        <v>1.7486656549375596E-3</v>
      </c>
      <c r="N36" s="34">
        <f t="shared" si="25"/>
        <v>1.0859017741147092E-2</v>
      </c>
      <c r="O36" s="53">
        <f t="shared" si="26"/>
        <v>1.0000181455622708</v>
      </c>
      <c r="P36" s="53">
        <f t="shared" si="27"/>
        <v>1.0859214784129713E-2</v>
      </c>
      <c r="Q36" s="36">
        <v>1</v>
      </c>
      <c r="R36" s="36">
        <v>1</v>
      </c>
      <c r="S36" s="140">
        <v>399</v>
      </c>
      <c r="T36" s="37">
        <v>2094386935.3499999</v>
      </c>
      <c r="U36" s="138">
        <v>2184371550.9400001</v>
      </c>
    </row>
    <row r="37" spans="1:21" ht="14.25">
      <c r="A37" s="27">
        <v>30</v>
      </c>
      <c r="B37" s="28" t="s">
        <v>75</v>
      </c>
      <c r="C37" s="28" t="s">
        <v>76</v>
      </c>
      <c r="D37" s="113">
        <v>175525991.05000001</v>
      </c>
      <c r="E37" s="113">
        <v>2275849.5</v>
      </c>
      <c r="F37" s="113">
        <v>628436.64</v>
      </c>
      <c r="G37" s="114">
        <v>1647412.86</v>
      </c>
      <c r="H37" s="26">
        <v>313134023.83999997</v>
      </c>
      <c r="I37" s="32">
        <f t="shared" si="16"/>
        <v>3.9025921748338395E-4</v>
      </c>
      <c r="J37" s="45">
        <v>277459305.73000002</v>
      </c>
      <c r="K37" s="32">
        <f t="shared" si="17"/>
        <v>3.3999365186806161E-4</v>
      </c>
      <c r="L37" s="32">
        <f t="shared" si="23"/>
        <v>-0.11392795223117763</v>
      </c>
      <c r="M37" s="33">
        <f t="shared" si="24"/>
        <v>2.2649686891797441E-3</v>
      </c>
      <c r="N37" s="34">
        <f t="shared" si="25"/>
        <v>5.9374936287165773E-3</v>
      </c>
      <c r="O37" s="53">
        <f t="shared" si="26"/>
        <v>1.0230464398171351</v>
      </c>
      <c r="P37" s="53">
        <f t="shared" si="27"/>
        <v>6.0743317182954167E-3</v>
      </c>
      <c r="Q37" s="36">
        <v>1</v>
      </c>
      <c r="R37" s="36">
        <v>1</v>
      </c>
      <c r="S37" s="140">
        <v>397</v>
      </c>
      <c r="T37" s="143" t="s">
        <v>222</v>
      </c>
      <c r="U37" s="143" t="s">
        <v>223</v>
      </c>
    </row>
    <row r="38" spans="1:21" ht="14.25">
      <c r="A38" s="27">
        <v>31</v>
      </c>
      <c r="B38" s="28" t="s">
        <v>77</v>
      </c>
      <c r="C38" s="28" t="s">
        <v>78</v>
      </c>
      <c r="D38" s="112">
        <v>194918601087.01999</v>
      </c>
      <c r="E38" s="113">
        <v>1652051555.6900001</v>
      </c>
      <c r="F38" s="113">
        <v>260382518.71000001</v>
      </c>
      <c r="G38" s="44">
        <v>1391669036.99</v>
      </c>
      <c r="H38" s="26">
        <v>188710727379.07001</v>
      </c>
      <c r="I38" s="32">
        <f t="shared" si="16"/>
        <v>0.23519035042741482</v>
      </c>
      <c r="J38" s="45">
        <v>194918601087.01999</v>
      </c>
      <c r="K38" s="32">
        <f t="shared" si="17"/>
        <v>0.23884975429542551</v>
      </c>
      <c r="L38" s="32">
        <f t="shared" si="23"/>
        <v>3.2896241746130324E-2</v>
      </c>
      <c r="M38" s="33">
        <f t="shared" si="24"/>
        <v>1.3358525931229832E-3</v>
      </c>
      <c r="N38" s="34">
        <f t="shared" si="25"/>
        <v>7.1397446381666748E-3</v>
      </c>
      <c r="O38" s="53">
        <f t="shared" si="26"/>
        <v>100.03020655257751</v>
      </c>
      <c r="P38" s="53">
        <f t="shared" si="27"/>
        <v>0.71419013088847028</v>
      </c>
      <c r="Q38" s="36">
        <v>100</v>
      </c>
      <c r="R38" s="36">
        <v>100</v>
      </c>
      <c r="S38" s="140">
        <v>24873</v>
      </c>
      <c r="T38" s="143" t="s">
        <v>224</v>
      </c>
      <c r="U38" s="143" t="s">
        <v>225</v>
      </c>
    </row>
    <row r="39" spans="1:21" ht="12" customHeight="1">
      <c r="A39" s="27">
        <v>32</v>
      </c>
      <c r="B39" s="28" t="s">
        <v>79</v>
      </c>
      <c r="C39" s="28" t="s">
        <v>80</v>
      </c>
      <c r="D39" s="36">
        <v>581658737.25999999</v>
      </c>
      <c r="E39" s="36">
        <v>5390555.2699999996</v>
      </c>
      <c r="F39" s="36">
        <v>1536979.41</v>
      </c>
      <c r="G39" s="30">
        <v>3853575.86</v>
      </c>
      <c r="H39" s="26">
        <v>590840460.50999999</v>
      </c>
      <c r="I39" s="32">
        <f t="shared" si="16"/>
        <v>7.3636500099386591E-4</v>
      </c>
      <c r="J39" s="36">
        <v>605210816.88999999</v>
      </c>
      <c r="K39" s="32">
        <f t="shared" si="17"/>
        <v>7.4161446934751488E-4</v>
      </c>
      <c r="L39" s="32">
        <f t="shared" si="23"/>
        <v>2.4321889478584172E-2</v>
      </c>
      <c r="M39" s="33">
        <f t="shared" si="24"/>
        <v>2.5395768996629704E-3</v>
      </c>
      <c r="N39" s="34">
        <f t="shared" si="25"/>
        <v>6.3673281317118396E-3</v>
      </c>
      <c r="O39" s="53">
        <f t="shared" si="26"/>
        <v>9.8714141919822644</v>
      </c>
      <c r="P39" s="53">
        <f t="shared" si="27"/>
        <v>6.285453328438817E-2</v>
      </c>
      <c r="Q39" s="36">
        <v>10</v>
      </c>
      <c r="R39" s="36">
        <v>10</v>
      </c>
      <c r="S39" s="37">
        <v>289</v>
      </c>
      <c r="T39" s="37">
        <v>58227245</v>
      </c>
      <c r="U39" s="37">
        <v>61309434</v>
      </c>
    </row>
    <row r="40" spans="1:21" ht="14.25">
      <c r="A40" s="27">
        <v>33</v>
      </c>
      <c r="B40" s="28" t="s">
        <v>81</v>
      </c>
      <c r="C40" s="28" t="s">
        <v>82</v>
      </c>
      <c r="D40" s="36">
        <v>969346966.36000001</v>
      </c>
      <c r="E40" s="36">
        <v>16353804.48</v>
      </c>
      <c r="F40" s="36">
        <v>4226781.4400000004</v>
      </c>
      <c r="G40" s="30">
        <v>12127023.039999999</v>
      </c>
      <c r="H40" s="26">
        <v>2217175145.8400002</v>
      </c>
      <c r="I40" s="32">
        <f t="shared" si="16"/>
        <v>2.7632673921159363E-3</v>
      </c>
      <c r="J40" s="36">
        <v>2289476734</v>
      </c>
      <c r="K40" s="32">
        <f t="shared" si="17"/>
        <v>2.8054836856584052E-3</v>
      </c>
      <c r="L40" s="32">
        <f t="shared" si="23"/>
        <v>3.2609777489007362E-2</v>
      </c>
      <c r="M40" s="33">
        <f t="shared" si="24"/>
        <v>1.8461779398016805E-3</v>
      </c>
      <c r="N40" s="34">
        <f t="shared" si="25"/>
        <v>5.2968535822648802E-3</v>
      </c>
      <c r="O40" s="53">
        <f t="shared" si="26"/>
        <v>95.592935785536653</v>
      </c>
      <c r="P40" s="53">
        <f t="shared" si="27"/>
        <v>0.50634178435483657</v>
      </c>
      <c r="Q40" s="36">
        <v>100</v>
      </c>
      <c r="R40" s="36">
        <v>100</v>
      </c>
      <c r="S40" s="37">
        <v>586</v>
      </c>
      <c r="T40" s="37">
        <v>23420484</v>
      </c>
      <c r="U40" s="37">
        <v>23950271.170000002</v>
      </c>
    </row>
    <row r="41" spans="1:21" ht="14.25">
      <c r="A41" s="27">
        <v>34</v>
      </c>
      <c r="B41" s="38" t="s">
        <v>83</v>
      </c>
      <c r="C41" s="38" t="s">
        <v>38</v>
      </c>
      <c r="D41" s="104">
        <v>20051811206.459999</v>
      </c>
      <c r="E41" s="104">
        <v>169479085.61000001</v>
      </c>
      <c r="F41" s="104">
        <v>22139691.940000001</v>
      </c>
      <c r="G41" s="104">
        <v>147339393.68000001</v>
      </c>
      <c r="H41" s="26">
        <v>17970854603.400002</v>
      </c>
      <c r="I41" s="32">
        <f t="shared" si="16"/>
        <v>2.2397092366475285E-2</v>
      </c>
      <c r="J41" s="104">
        <v>19960174173.740002</v>
      </c>
      <c r="K41" s="32">
        <f t="shared" si="17"/>
        <v>2.4458839076950328E-2</v>
      </c>
      <c r="L41" s="32">
        <f t="shared" si="23"/>
        <v>0.11069699322833708</v>
      </c>
      <c r="M41" s="33">
        <f t="shared" si="24"/>
        <v>1.1091933240305796E-3</v>
      </c>
      <c r="N41" s="34">
        <f t="shared" si="25"/>
        <v>7.3816687368310954E-3</v>
      </c>
      <c r="O41" s="53">
        <f t="shared" si="26"/>
        <v>99.999999998697405</v>
      </c>
      <c r="P41" s="53">
        <f t="shared" si="27"/>
        <v>0.73816687367349421</v>
      </c>
      <c r="Q41" s="36">
        <v>100</v>
      </c>
      <c r="R41" s="36">
        <v>100</v>
      </c>
      <c r="S41" s="37">
        <v>10101</v>
      </c>
      <c r="T41" s="138">
        <v>178640673.83000001</v>
      </c>
      <c r="U41" s="138">
        <v>199601741.74000001</v>
      </c>
    </row>
    <row r="42" spans="1:21" ht="14.25">
      <c r="A42" s="27">
        <v>35</v>
      </c>
      <c r="B42" s="28" t="s">
        <v>84</v>
      </c>
      <c r="C42" s="28" t="s">
        <v>297</v>
      </c>
      <c r="D42" s="36">
        <v>3229964790.73</v>
      </c>
      <c r="E42" s="36">
        <v>30389413.370000001</v>
      </c>
      <c r="F42" s="36">
        <v>3784291.23</v>
      </c>
      <c r="G42" s="30">
        <v>26605122.140000001</v>
      </c>
      <c r="H42" s="26">
        <v>3391668343.79</v>
      </c>
      <c r="I42" s="32">
        <f t="shared" si="16"/>
        <v>4.227039328332384E-3</v>
      </c>
      <c r="J42" s="36">
        <v>3211962804.1100001</v>
      </c>
      <c r="K42" s="32">
        <f t="shared" si="17"/>
        <v>3.9358815540914902E-3</v>
      </c>
      <c r="L42" s="32">
        <f t="shared" si="23"/>
        <v>-5.2984408103767873E-2</v>
      </c>
      <c r="M42" s="33">
        <f t="shared" si="24"/>
        <v>1.1781865048865613E-3</v>
      </c>
      <c r="N42" s="34">
        <f t="shared" si="25"/>
        <v>8.2831351925857655E-3</v>
      </c>
      <c r="O42" s="53">
        <f t="shared" si="26"/>
        <v>0.99439857591298597</v>
      </c>
      <c r="P42" s="53">
        <f t="shared" si="27"/>
        <v>8.2367378396020208E-3</v>
      </c>
      <c r="Q42" s="36">
        <v>0.98</v>
      </c>
      <c r="R42" s="55">
        <v>0.98</v>
      </c>
      <c r="S42" s="37">
        <v>798</v>
      </c>
      <c r="T42" s="37">
        <v>3409676529</v>
      </c>
      <c r="U42" s="37">
        <v>3230055716</v>
      </c>
    </row>
    <row r="43" spans="1:21" ht="14.25">
      <c r="A43" s="27">
        <v>36</v>
      </c>
      <c r="B43" s="28" t="s">
        <v>85</v>
      </c>
      <c r="C43" s="28" t="s">
        <v>41</v>
      </c>
      <c r="D43" s="36">
        <v>3068678764.5599999</v>
      </c>
      <c r="E43" s="36">
        <v>28449228.859999999</v>
      </c>
      <c r="F43" s="36">
        <v>4422223.1500000004</v>
      </c>
      <c r="G43" s="30">
        <v>24027005.710000001</v>
      </c>
      <c r="H43" s="26">
        <v>2745637917.1100001</v>
      </c>
      <c r="I43" s="32">
        <f t="shared" si="16"/>
        <v>3.421891022521269E-3</v>
      </c>
      <c r="J43" s="111">
        <v>3115732936.2399998</v>
      </c>
      <c r="K43" s="32">
        <f t="shared" si="17"/>
        <v>3.8179632016692422E-3</v>
      </c>
      <c r="L43" s="32">
        <f t="shared" si="23"/>
        <v>0.13479381852343944</v>
      </c>
      <c r="M43" s="33">
        <f t="shared" si="24"/>
        <v>1.4193203462863685E-3</v>
      </c>
      <c r="N43" s="34">
        <f t="shared" si="25"/>
        <v>7.7115100047680215E-3</v>
      </c>
      <c r="O43" s="53">
        <f t="shared" si="26"/>
        <v>10.001223469985526</v>
      </c>
      <c r="P43" s="53">
        <f t="shared" si="27"/>
        <v>7.7124534848714121E-2</v>
      </c>
      <c r="Q43" s="36">
        <v>10</v>
      </c>
      <c r="R43" s="36">
        <v>10</v>
      </c>
      <c r="S43" s="37">
        <v>1816</v>
      </c>
      <c r="T43" s="37">
        <v>271391220.35000002</v>
      </c>
      <c r="U43" s="37">
        <v>311535178.23000002</v>
      </c>
    </row>
    <row r="44" spans="1:21" ht="14.25" customHeight="1">
      <c r="A44" s="27">
        <v>37</v>
      </c>
      <c r="B44" s="28" t="s">
        <v>86</v>
      </c>
      <c r="C44" s="28" t="s">
        <v>87</v>
      </c>
      <c r="D44" s="36">
        <v>2581577952</v>
      </c>
      <c r="E44" s="36">
        <v>40921340</v>
      </c>
      <c r="F44" s="36">
        <v>8124479</v>
      </c>
      <c r="G44" s="30">
        <v>32796862</v>
      </c>
      <c r="H44" s="26">
        <v>3644069003.7399998</v>
      </c>
      <c r="I44" s="32">
        <f t="shared" si="16"/>
        <v>4.5416064994000275E-3</v>
      </c>
      <c r="J44" s="36">
        <v>3851028805</v>
      </c>
      <c r="K44" s="32">
        <f t="shared" si="17"/>
        <v>4.7189815580926031E-3</v>
      </c>
      <c r="L44" s="32">
        <f t="shared" si="23"/>
        <v>5.6793601067266337E-2</v>
      </c>
      <c r="M44" s="33">
        <f t="shared" si="24"/>
        <v>2.1096905298271327E-3</v>
      </c>
      <c r="N44" s="34">
        <f t="shared" si="25"/>
        <v>8.5163896871968472E-3</v>
      </c>
      <c r="O44" s="53">
        <f t="shared" si="26"/>
        <v>100.00000012983544</v>
      </c>
      <c r="P44" s="53">
        <f t="shared" si="27"/>
        <v>0.85163896982541387</v>
      </c>
      <c r="Q44" s="36">
        <v>100</v>
      </c>
      <c r="R44" s="36">
        <v>100</v>
      </c>
      <c r="S44" s="37">
        <v>1466</v>
      </c>
      <c r="T44" s="37">
        <v>36440690</v>
      </c>
      <c r="U44" s="142">
        <v>38510288</v>
      </c>
    </row>
    <row r="45" spans="1:21" ht="14.25">
      <c r="A45" s="27">
        <v>38</v>
      </c>
      <c r="B45" s="28" t="s">
        <v>88</v>
      </c>
      <c r="C45" s="38" t="s">
        <v>89</v>
      </c>
      <c r="D45" s="36">
        <v>143085765.59999999</v>
      </c>
      <c r="E45" s="36">
        <v>1131455.1000000001</v>
      </c>
      <c r="F45" s="36">
        <v>58478.51</v>
      </c>
      <c r="G45" s="30">
        <v>1072976.5900000001</v>
      </c>
      <c r="H45" s="26">
        <v>141105257.58000001</v>
      </c>
      <c r="I45" s="32">
        <f t="shared" si="16"/>
        <v>1.7585961030571268E-4</v>
      </c>
      <c r="J45" s="36">
        <v>142280248.16999999</v>
      </c>
      <c r="K45" s="32">
        <f t="shared" si="17"/>
        <v>1.7434766167506472E-4</v>
      </c>
      <c r="L45" s="32">
        <f t="shared" si="23"/>
        <v>8.3270503888475574E-3</v>
      </c>
      <c r="M45" s="33">
        <f t="shared" si="24"/>
        <v>4.1100933370687138E-4</v>
      </c>
      <c r="N45" s="34">
        <f t="shared" si="25"/>
        <v>7.5412898403015216E-3</v>
      </c>
      <c r="O45" s="53">
        <f t="shared" si="26"/>
        <v>1.000802125678061</v>
      </c>
      <c r="P45" s="53">
        <f t="shared" si="27"/>
        <v>7.5473389025281284E-3</v>
      </c>
      <c r="Q45" s="36">
        <v>1</v>
      </c>
      <c r="R45" s="36">
        <v>1</v>
      </c>
      <c r="S45" s="37">
        <v>48</v>
      </c>
      <c r="T45" s="37">
        <v>140991213</v>
      </c>
      <c r="U45" s="37">
        <v>142166213</v>
      </c>
    </row>
    <row r="46" spans="1:21" ht="15.75" customHeight="1">
      <c r="A46" s="27">
        <v>39</v>
      </c>
      <c r="B46" s="38" t="s">
        <v>90</v>
      </c>
      <c r="C46" s="38" t="s">
        <v>43</v>
      </c>
      <c r="D46" s="36">
        <v>656177861.19000006</v>
      </c>
      <c r="E46" s="36">
        <v>11841459.789999999</v>
      </c>
      <c r="F46" s="36">
        <v>884969.99</v>
      </c>
      <c r="G46" s="30">
        <v>10956489.800000001</v>
      </c>
      <c r="H46" s="26">
        <v>646197268.03999996</v>
      </c>
      <c r="I46" s="32">
        <f t="shared" si="16"/>
        <v>8.0535624034917374E-4</v>
      </c>
      <c r="J46" s="36">
        <v>691458984.12</v>
      </c>
      <c r="K46" s="32">
        <f t="shared" si="17"/>
        <v>8.4730142501225104E-4</v>
      </c>
      <c r="L46" s="32">
        <f t="shared" si="23"/>
        <v>7.0043186993477544E-2</v>
      </c>
      <c r="M46" s="33">
        <f t="shared" si="24"/>
        <v>1.2798589798153767E-3</v>
      </c>
      <c r="N46" s="34">
        <f t="shared" si="25"/>
        <v>1.5845465966349417E-2</v>
      </c>
      <c r="O46" s="53">
        <f t="shared" si="26"/>
        <v>10.495199344936859</v>
      </c>
      <c r="P46" s="53">
        <f t="shared" si="27"/>
        <v>0.16630132403024966</v>
      </c>
      <c r="Q46" s="36">
        <v>10</v>
      </c>
      <c r="R46" s="36">
        <v>10</v>
      </c>
      <c r="S46" s="37">
        <v>574</v>
      </c>
      <c r="T46" s="37">
        <v>61635010</v>
      </c>
      <c r="U46" s="37">
        <v>65883358.799999997</v>
      </c>
    </row>
    <row r="47" spans="1:21" ht="14.25">
      <c r="A47" s="27">
        <v>40</v>
      </c>
      <c r="B47" s="28" t="s">
        <v>91</v>
      </c>
      <c r="C47" s="28" t="s">
        <v>47</v>
      </c>
      <c r="D47" s="36">
        <v>348915870268.71002</v>
      </c>
      <c r="E47" s="36">
        <v>3464151466.9099998</v>
      </c>
      <c r="F47" s="36">
        <v>549770793.62</v>
      </c>
      <c r="G47" s="30">
        <v>2914380673.29</v>
      </c>
      <c r="H47" s="26">
        <v>339140611830.51001</v>
      </c>
      <c r="I47" s="32">
        <f t="shared" si="16"/>
        <v>0.42267125164730845</v>
      </c>
      <c r="J47" s="36">
        <v>348549575831.40002</v>
      </c>
      <c r="K47" s="32">
        <f t="shared" si="17"/>
        <v>0.42710639252914545</v>
      </c>
      <c r="L47" s="32">
        <f t="shared" si="23"/>
        <v>2.7743548465355334E-2</v>
      </c>
      <c r="M47" s="33">
        <f t="shared" si="24"/>
        <v>1.5773101783544687E-3</v>
      </c>
      <c r="N47" s="34">
        <f t="shared" si="25"/>
        <v>8.3614523596486617E-3</v>
      </c>
      <c r="O47" s="53">
        <f t="shared" si="26"/>
        <v>1</v>
      </c>
      <c r="P47" s="53">
        <f t="shared" si="27"/>
        <v>8.3614523596486617E-3</v>
      </c>
      <c r="Q47" s="36">
        <v>100</v>
      </c>
      <c r="R47" s="36">
        <v>100</v>
      </c>
      <c r="S47" s="37">
        <v>7015</v>
      </c>
      <c r="T47" s="37">
        <v>339140611830.51001</v>
      </c>
      <c r="U47" s="37">
        <v>348549575831.40002</v>
      </c>
    </row>
    <row r="48" spans="1:21" ht="14.25">
      <c r="A48" s="27">
        <v>41</v>
      </c>
      <c r="B48" s="28" t="s">
        <v>92</v>
      </c>
      <c r="C48" s="28" t="s">
        <v>93</v>
      </c>
      <c r="D48" s="107">
        <v>1894471803.97</v>
      </c>
      <c r="E48" s="107">
        <v>21655649.809999999</v>
      </c>
      <c r="F48" s="107">
        <v>2568535.5099999998</v>
      </c>
      <c r="G48" s="30">
        <v>19087114.289999999</v>
      </c>
      <c r="H48" s="26">
        <v>1579816495.26</v>
      </c>
      <c r="I48" s="32">
        <f t="shared" si="16"/>
        <v>1.9689267287113397E-3</v>
      </c>
      <c r="J48" s="36">
        <v>1893901801.0899999</v>
      </c>
      <c r="K48" s="32">
        <f t="shared" si="17"/>
        <v>2.3207532648362194E-3</v>
      </c>
      <c r="L48" s="32">
        <f t="shared" si="23"/>
        <v>0.19881125863185078</v>
      </c>
      <c r="M48" s="33">
        <f t="shared" si="24"/>
        <v>1.3562136687983121E-3</v>
      </c>
      <c r="N48" s="34">
        <f t="shared" si="25"/>
        <v>1.0078196387486809E-2</v>
      </c>
      <c r="O48" s="53">
        <f t="shared" si="26"/>
        <v>1.0196975463410396</v>
      </c>
      <c r="P48" s="53">
        <f t="shared" si="27"/>
        <v>1.0276712127863429E-2</v>
      </c>
      <c r="Q48" s="36">
        <v>1</v>
      </c>
      <c r="R48" s="36">
        <v>1</v>
      </c>
      <c r="S48" s="140">
        <v>282</v>
      </c>
      <c r="T48" s="140">
        <v>1557872169.29</v>
      </c>
      <c r="U48" s="140">
        <v>1857317209.29</v>
      </c>
    </row>
    <row r="49" spans="1:21" ht="14.25">
      <c r="A49" s="27">
        <v>42</v>
      </c>
      <c r="B49" s="28" t="s">
        <v>94</v>
      </c>
      <c r="C49" s="28" t="s">
        <v>51</v>
      </c>
      <c r="D49" s="108">
        <v>13205530640</v>
      </c>
      <c r="E49" s="108">
        <v>408401734</v>
      </c>
      <c r="F49" s="108">
        <v>54676179</v>
      </c>
      <c r="G49" s="109">
        <v>353725555</v>
      </c>
      <c r="H49" s="26">
        <v>47433121566</v>
      </c>
      <c r="I49" s="32">
        <f t="shared" si="16"/>
        <v>5.9115942362749876E-2</v>
      </c>
      <c r="J49" s="109">
        <v>44709857641</v>
      </c>
      <c r="K49" s="32">
        <f t="shared" si="17"/>
        <v>5.4786656853589716E-2</v>
      </c>
      <c r="L49" s="32">
        <f t="shared" si="23"/>
        <v>-5.7412707304341365E-2</v>
      </c>
      <c r="M49" s="33">
        <f t="shared" si="24"/>
        <v>1.2229110510488552E-3</v>
      </c>
      <c r="N49" s="34">
        <f t="shared" si="25"/>
        <v>7.9115786464867936E-3</v>
      </c>
      <c r="O49" s="53">
        <f t="shared" si="26"/>
        <v>0.99802418233258294</v>
      </c>
      <c r="P49" s="53">
        <f t="shared" si="27"/>
        <v>7.895946809619905E-3</v>
      </c>
      <c r="Q49" s="36">
        <v>1</v>
      </c>
      <c r="R49" s="36">
        <v>1</v>
      </c>
      <c r="S49" s="140">
        <v>4026</v>
      </c>
      <c r="T49" s="141">
        <v>46832219734</v>
      </c>
      <c r="U49" s="141">
        <v>44798371054</v>
      </c>
    </row>
    <row r="50" spans="1:21" ht="14.25">
      <c r="A50" s="27">
        <v>43</v>
      </c>
      <c r="B50" s="56" t="s">
        <v>95</v>
      </c>
      <c r="C50" s="28" t="s">
        <v>96</v>
      </c>
      <c r="D50" s="116" t="s">
        <v>226</v>
      </c>
      <c r="E50" s="116" t="s">
        <v>227</v>
      </c>
      <c r="F50" s="116" t="s">
        <v>228</v>
      </c>
      <c r="G50" s="117" t="s">
        <v>229</v>
      </c>
      <c r="H50" s="26">
        <v>1250912398.1900001</v>
      </c>
      <c r="I50" s="32">
        <f t="shared" si="16"/>
        <v>1.5590132546801582E-3</v>
      </c>
      <c r="J50" s="45">
        <v>1960405444.5799999</v>
      </c>
      <c r="K50" s="32">
        <f t="shared" si="17"/>
        <v>2.402245635593824E-3</v>
      </c>
      <c r="L50" s="32">
        <f t="shared" si="23"/>
        <v>0.56718044158535519</v>
      </c>
      <c r="M50" s="33">
        <f t="shared" si="24"/>
        <v>9.4958431438085778E-4</v>
      </c>
      <c r="N50" s="34">
        <f t="shared" si="25"/>
        <v>4.6573753634703346E-3</v>
      </c>
      <c r="O50" s="53">
        <f t="shared" si="26"/>
        <v>1.011719473981918</v>
      </c>
      <c r="P50" s="53">
        <f t="shared" si="27"/>
        <v>4.7119573528665512E-3</v>
      </c>
      <c r="Q50" s="36">
        <v>1</v>
      </c>
      <c r="R50" s="36">
        <v>1.01</v>
      </c>
      <c r="S50" s="140">
        <v>60</v>
      </c>
      <c r="T50" s="143" t="s">
        <v>230</v>
      </c>
      <c r="U50" s="143" t="s">
        <v>231</v>
      </c>
    </row>
    <row r="51" spans="1:21" ht="14.25">
      <c r="A51" s="27">
        <v>44</v>
      </c>
      <c r="B51" s="28" t="s">
        <v>97</v>
      </c>
      <c r="C51" s="28" t="s">
        <v>98</v>
      </c>
      <c r="D51" s="104">
        <v>1504961447.74</v>
      </c>
      <c r="E51" s="104">
        <v>14089965.49</v>
      </c>
      <c r="F51" s="104">
        <v>2259891.16</v>
      </c>
      <c r="G51" s="104">
        <v>11830074.34</v>
      </c>
      <c r="H51" s="26">
        <v>1394518952.48</v>
      </c>
      <c r="I51" s="32">
        <f t="shared" si="16"/>
        <v>1.7379902333406977E-3</v>
      </c>
      <c r="J51" s="104">
        <v>1500602986.98</v>
      </c>
      <c r="K51" s="32">
        <f t="shared" si="17"/>
        <v>1.838811959127191E-3</v>
      </c>
      <c r="L51" s="32">
        <f t="shared" si="23"/>
        <v>7.6072135349140368E-2</v>
      </c>
      <c r="M51" s="33">
        <f t="shared" si="24"/>
        <v>1.5059887122763137E-3</v>
      </c>
      <c r="N51" s="34">
        <f t="shared" si="25"/>
        <v>7.8835471091579738E-3</v>
      </c>
      <c r="O51" s="53">
        <f t="shared" si="26"/>
        <v>1.0194729174569508</v>
      </c>
      <c r="P51" s="53">
        <f t="shared" si="27"/>
        <v>8.0370627712825892E-3</v>
      </c>
      <c r="Q51" s="36">
        <v>1</v>
      </c>
      <c r="R51" s="36">
        <v>1</v>
      </c>
      <c r="S51" s="37">
        <v>253</v>
      </c>
      <c r="T51" s="138">
        <v>1377472748.6600001</v>
      </c>
      <c r="U51" s="138">
        <v>1471940020.46</v>
      </c>
    </row>
    <row r="52" spans="1:21" ht="14.25">
      <c r="A52" s="27">
        <v>45</v>
      </c>
      <c r="B52" s="28" t="s">
        <v>99</v>
      </c>
      <c r="C52" s="28" t="s">
        <v>100</v>
      </c>
      <c r="D52" s="36">
        <v>24101688170.689999</v>
      </c>
      <c r="E52" s="118" t="s">
        <v>232</v>
      </c>
      <c r="F52" s="45" t="s">
        <v>233</v>
      </c>
      <c r="G52" s="44" t="s">
        <v>234</v>
      </c>
      <c r="H52" s="26">
        <v>23109202553.860001</v>
      </c>
      <c r="I52" s="32">
        <f t="shared" si="16"/>
        <v>2.8801020070379151E-2</v>
      </c>
      <c r="J52" s="45">
        <v>24683628429.360001</v>
      </c>
      <c r="K52" s="32">
        <f t="shared" si="17"/>
        <v>3.0246875119117715E-2</v>
      </c>
      <c r="L52" s="32">
        <f t="shared" si="23"/>
        <v>6.8129822819741517E-2</v>
      </c>
      <c r="M52" s="33">
        <f t="shared" si="24"/>
        <v>1.1087516253261637E-3</v>
      </c>
      <c r="N52" s="34">
        <f t="shared" si="25"/>
        <v>7.3637076899035446E-3</v>
      </c>
      <c r="O52" s="53">
        <f t="shared" si="26"/>
        <v>1.0209467969915</v>
      </c>
      <c r="P52" s="53">
        <f t="shared" si="27"/>
        <v>7.5179537799887012E-3</v>
      </c>
      <c r="Q52" s="36">
        <v>1</v>
      </c>
      <c r="R52" s="36">
        <v>1</v>
      </c>
      <c r="S52" s="37">
        <v>2939</v>
      </c>
      <c r="T52" s="44" t="s">
        <v>235</v>
      </c>
      <c r="U52" s="44" t="s">
        <v>236</v>
      </c>
    </row>
    <row r="53" spans="1:21" ht="15.75" customHeight="1">
      <c r="A53" s="158" t="s">
        <v>52</v>
      </c>
      <c r="B53" s="158"/>
      <c r="C53" s="158"/>
      <c r="D53" s="158"/>
      <c r="E53" s="158"/>
      <c r="F53" s="158"/>
      <c r="G53" s="158"/>
      <c r="H53" s="57">
        <f t="shared" ref="H53" si="28">SUM(H24:H52)</f>
        <v>802374447064.35986</v>
      </c>
      <c r="I53" s="47">
        <f>(H53/$H$167)</f>
        <v>0.49234160687981354</v>
      </c>
      <c r="J53" s="57">
        <f>SUM(J24:J52)</f>
        <v>816072018420.12988</v>
      </c>
      <c r="K53" s="47">
        <f>(J53/$J$167)</f>
        <v>0.44886250479829015</v>
      </c>
      <c r="L53" s="58">
        <f t="shared" si="18"/>
        <v>1.7071295585103938E-2</v>
      </c>
      <c r="M53" s="59"/>
      <c r="N53" s="60"/>
      <c r="O53" s="61"/>
      <c r="P53" s="61"/>
      <c r="Q53" s="57"/>
      <c r="R53" s="57"/>
      <c r="S53" s="62">
        <f>SUM(S24:S52)</f>
        <v>176016</v>
      </c>
      <c r="T53" s="62"/>
      <c r="U53" s="62"/>
    </row>
    <row r="54" spans="1:21" ht="7.5" customHeight="1">
      <c r="A54" s="160"/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</row>
    <row r="55" spans="1:21">
      <c r="A55" s="154" t="s">
        <v>101</v>
      </c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</row>
    <row r="56" spans="1:21" ht="14.25">
      <c r="A56" s="27">
        <v>46</v>
      </c>
      <c r="B56" s="28" t="s">
        <v>102</v>
      </c>
      <c r="C56" s="28" t="s">
        <v>24</v>
      </c>
      <c r="D56" s="36">
        <v>453354345.87</v>
      </c>
      <c r="E56" s="36">
        <v>1584097.54</v>
      </c>
      <c r="F56" s="36">
        <v>625818.74</v>
      </c>
      <c r="G56" s="30">
        <v>958278.8</v>
      </c>
      <c r="H56" s="26">
        <v>434472903.22000003</v>
      </c>
      <c r="I56" s="32">
        <f t="shared" ref="I56:I85" si="29">(H56/$H$86)</f>
        <v>1.3399017129661368E-3</v>
      </c>
      <c r="J56" s="36">
        <v>477025133.58999997</v>
      </c>
      <c r="K56" s="32">
        <f t="shared" ref="K56:K85" si="30">(J56/$J$86)</f>
        <v>1.4876613437975921E-3</v>
      </c>
      <c r="L56" s="32">
        <f t="shared" ref="L56:L86" si="31">((J56-H56)/H56)</f>
        <v>9.7939894650813625E-2</v>
      </c>
      <c r="M56" s="63">
        <f t="shared" ref="M56" si="32">(F56/J56)</f>
        <v>1.3119198464244593E-3</v>
      </c>
      <c r="N56" s="34">
        <f t="shared" ref="N56" si="33">G56/J56</f>
        <v>2.00886438160643E-3</v>
      </c>
      <c r="O56" s="53">
        <f t="shared" ref="O56" si="34">J56/U56</f>
        <v>1.413353495152986</v>
      </c>
      <c r="P56" s="53">
        <f t="shared" ref="P56" si="35">G56/U56</f>
        <v>2.8392354950317901E-3</v>
      </c>
      <c r="Q56" s="64">
        <v>1.28</v>
      </c>
      <c r="R56" s="64">
        <v>1.28</v>
      </c>
      <c r="S56" s="142">
        <v>349</v>
      </c>
      <c r="T56" s="37">
        <v>335891088.17000002</v>
      </c>
      <c r="U56" s="37">
        <v>337512968.43000001</v>
      </c>
    </row>
    <row r="57" spans="1:21" ht="13.5" customHeight="1">
      <c r="A57" s="27">
        <v>47</v>
      </c>
      <c r="B57" s="28" t="s">
        <v>103</v>
      </c>
      <c r="C57" s="38" t="s">
        <v>26</v>
      </c>
      <c r="D57" s="36">
        <v>496180493.44</v>
      </c>
      <c r="E57" s="36">
        <v>7805187.5800000001</v>
      </c>
      <c r="F57" s="36">
        <v>1672020.96</v>
      </c>
      <c r="G57" s="30">
        <v>7917166.6200000001</v>
      </c>
      <c r="H57" s="26">
        <v>1026873951</v>
      </c>
      <c r="I57" s="32">
        <f t="shared" si="29"/>
        <v>3.1668491999108581E-3</v>
      </c>
      <c r="J57" s="36">
        <v>574045627</v>
      </c>
      <c r="K57" s="32">
        <f t="shared" si="30"/>
        <v>1.7902316434293929E-3</v>
      </c>
      <c r="L57" s="32">
        <f t="shared" si="31"/>
        <v>-0.44097751584702533</v>
      </c>
      <c r="M57" s="63">
        <f t="shared" ref="M57:M85" si="36">(F57/J57)</f>
        <v>2.9126969727791339E-3</v>
      </c>
      <c r="N57" s="34">
        <f t="shared" ref="N57:N85" si="37">G57/J57</f>
        <v>1.379187689552768E-2</v>
      </c>
      <c r="O57" s="53">
        <f t="shared" ref="O57:O85" si="38">J57/U57</f>
        <v>1.1352600072844279</v>
      </c>
      <c r="P57" s="53">
        <f t="shared" ref="P57:P85" si="39">G57/U57</f>
        <v>1.5657366264882688E-2</v>
      </c>
      <c r="Q57" s="64">
        <v>1.1353</v>
      </c>
      <c r="R57" s="64">
        <v>1.1353</v>
      </c>
      <c r="S57" s="37">
        <v>365</v>
      </c>
      <c r="T57" s="37">
        <v>902233668</v>
      </c>
      <c r="U57" s="138">
        <v>505651237</v>
      </c>
    </row>
    <row r="58" spans="1:21" ht="15" customHeight="1">
      <c r="A58" s="27">
        <v>48</v>
      </c>
      <c r="B58" s="28" t="s">
        <v>104</v>
      </c>
      <c r="C58" s="28" t="s">
        <v>105</v>
      </c>
      <c r="D58" s="36">
        <v>468638609.95999998</v>
      </c>
      <c r="E58" s="36">
        <v>5689213.96</v>
      </c>
      <c r="F58" s="36">
        <v>1677354.41</v>
      </c>
      <c r="G58" s="30">
        <v>5795859.5499999998</v>
      </c>
      <c r="H58" s="26">
        <v>862968612</v>
      </c>
      <c r="I58" s="32">
        <f t="shared" si="29"/>
        <v>2.6613699332805295E-3</v>
      </c>
      <c r="J58" s="36">
        <v>593325159</v>
      </c>
      <c r="K58" s="32">
        <f t="shared" si="30"/>
        <v>1.8503572268909138E-3</v>
      </c>
      <c r="L58" s="32">
        <f t="shared" si="31"/>
        <v>-0.31246032503439419</v>
      </c>
      <c r="M58" s="63">
        <f t="shared" si="36"/>
        <v>2.8270407626520351E-3</v>
      </c>
      <c r="N58" s="34">
        <f t="shared" si="37"/>
        <v>9.7684371917894676E-3</v>
      </c>
      <c r="O58" s="53">
        <f t="shared" si="38"/>
        <v>1.0314266224722779</v>
      </c>
      <c r="P58" s="53">
        <f t="shared" si="39"/>
        <v>1.0075426179559996E-2</v>
      </c>
      <c r="Q58" s="64">
        <v>1.0314000000000001</v>
      </c>
      <c r="R58" s="64">
        <v>1.0314000000000001</v>
      </c>
      <c r="S58" s="37">
        <v>53</v>
      </c>
      <c r="T58" s="37">
        <v>812694306</v>
      </c>
      <c r="U58" s="37">
        <v>575247086</v>
      </c>
    </row>
    <row r="59" spans="1:21" ht="14.25">
      <c r="A59" s="27">
        <v>49</v>
      </c>
      <c r="B59" s="28" t="s">
        <v>106</v>
      </c>
      <c r="C59" s="38" t="s">
        <v>107</v>
      </c>
      <c r="D59" s="45" t="s">
        <v>237</v>
      </c>
      <c r="E59" s="45" t="s">
        <v>238</v>
      </c>
      <c r="F59" s="45" t="s">
        <v>239</v>
      </c>
      <c r="G59" s="114">
        <v>2270666.4300000002</v>
      </c>
      <c r="H59" s="26">
        <v>247501012.78</v>
      </c>
      <c r="I59" s="32">
        <f t="shared" si="29"/>
        <v>7.6328587704088137E-4</v>
      </c>
      <c r="J59" s="45">
        <v>253302524.36000001</v>
      </c>
      <c r="K59" s="32">
        <f t="shared" si="30"/>
        <v>7.8995496723785106E-4</v>
      </c>
      <c r="L59" s="32">
        <f t="shared" si="31"/>
        <v>2.3440354909403507E-2</v>
      </c>
      <c r="M59" s="63">
        <f t="shared" si="36"/>
        <v>1.5463098561281151E-3</v>
      </c>
      <c r="N59" s="34">
        <f t="shared" si="37"/>
        <v>8.9642471417808334E-3</v>
      </c>
      <c r="O59" s="53">
        <f t="shared" si="38"/>
        <v>1106.3178038085255</v>
      </c>
      <c r="P59" s="53">
        <f t="shared" si="39"/>
        <v>9.9173062106918248</v>
      </c>
      <c r="Q59" s="64">
        <v>1106.32</v>
      </c>
      <c r="R59" s="64">
        <v>1106.32</v>
      </c>
      <c r="S59" s="37">
        <v>116</v>
      </c>
      <c r="T59" s="37">
        <v>227900</v>
      </c>
      <c r="U59" s="37">
        <v>228960</v>
      </c>
    </row>
    <row r="60" spans="1:21" ht="14.25">
      <c r="A60" s="27">
        <v>50</v>
      </c>
      <c r="B60" s="28" t="s">
        <v>108</v>
      </c>
      <c r="C60" s="38" t="s">
        <v>109</v>
      </c>
      <c r="D60" s="36">
        <v>1350372386.5799999</v>
      </c>
      <c r="E60" s="36">
        <v>11853394.640000001</v>
      </c>
      <c r="F60" s="36">
        <v>1910972.94</v>
      </c>
      <c r="G60" s="30">
        <v>9942421.6999999993</v>
      </c>
      <c r="H60" s="26">
        <v>1391646732.46</v>
      </c>
      <c r="I60" s="32">
        <f t="shared" si="29"/>
        <v>4.2917977780600174E-3</v>
      </c>
      <c r="J60" s="36">
        <v>1383606113.8399999</v>
      </c>
      <c r="K60" s="32">
        <f t="shared" si="30"/>
        <v>4.3149452422163274E-3</v>
      </c>
      <c r="L60" s="32">
        <f t="shared" si="31"/>
        <v>-5.7777727870540847E-3</v>
      </c>
      <c r="M60" s="63">
        <f t="shared" si="36"/>
        <v>1.3811538709498539E-3</v>
      </c>
      <c r="N60" s="34">
        <f t="shared" si="37"/>
        <v>7.1858758071010808E-3</v>
      </c>
      <c r="O60" s="53">
        <f t="shared" si="38"/>
        <v>1.0467216819732468</v>
      </c>
      <c r="P60" s="53">
        <f t="shared" si="39"/>
        <v>7.5216120112597054E-3</v>
      </c>
      <c r="Q60" s="30">
        <v>1.0472999999999999</v>
      </c>
      <c r="R60" s="30">
        <v>1.0472999999999999</v>
      </c>
      <c r="S60" s="37">
        <v>734</v>
      </c>
      <c r="T60" s="37">
        <v>1339062876.9200001</v>
      </c>
      <c r="U60" s="37">
        <v>1321847189.8199999</v>
      </c>
    </row>
    <row r="61" spans="1:21" ht="14.25">
      <c r="A61" s="27">
        <v>51</v>
      </c>
      <c r="B61" s="28" t="s">
        <v>110</v>
      </c>
      <c r="C61" s="28" t="s">
        <v>111</v>
      </c>
      <c r="D61" s="36">
        <v>447832006.83999997</v>
      </c>
      <c r="E61" s="36">
        <v>3879303.3</v>
      </c>
      <c r="F61" s="36">
        <v>825357.15</v>
      </c>
      <c r="G61" s="30">
        <v>3053946.15</v>
      </c>
      <c r="H61" s="26">
        <v>424436891.64999998</v>
      </c>
      <c r="I61" s="32">
        <f t="shared" si="29"/>
        <v>1.3089509471201437E-3</v>
      </c>
      <c r="J61" s="36">
        <v>427560837.80000001</v>
      </c>
      <c r="K61" s="32">
        <f t="shared" si="30"/>
        <v>1.3334008749808699E-3</v>
      </c>
      <c r="L61" s="32">
        <f t="shared" si="31"/>
        <v>7.3602135239839396E-3</v>
      </c>
      <c r="M61" s="63">
        <f t="shared" si="36"/>
        <v>1.9303852856282339E-3</v>
      </c>
      <c r="N61" s="34">
        <f t="shared" si="37"/>
        <v>7.1427171995311301E-3</v>
      </c>
      <c r="O61" s="53">
        <f t="shared" si="38"/>
        <v>2.2072797789768726</v>
      </c>
      <c r="P61" s="53">
        <f t="shared" si="39"/>
        <v>1.5765975241475379E-2</v>
      </c>
      <c r="Q61" s="64">
        <v>2.2084000000000001</v>
      </c>
      <c r="R61" s="64">
        <v>2.2084000000000001</v>
      </c>
      <c r="S61" s="37">
        <v>1403</v>
      </c>
      <c r="T61" s="37">
        <v>193673055.94710001</v>
      </c>
      <c r="U61" s="37">
        <v>193704867.8071</v>
      </c>
    </row>
    <row r="62" spans="1:21" ht="14.25">
      <c r="A62" s="27">
        <v>52</v>
      </c>
      <c r="B62" s="28" t="s">
        <v>112</v>
      </c>
      <c r="C62" s="28" t="s">
        <v>45</v>
      </c>
      <c r="D62" s="36">
        <v>1280436933.9300001</v>
      </c>
      <c r="E62" s="36">
        <v>17878200.52</v>
      </c>
      <c r="F62" s="36">
        <v>2851067.97</v>
      </c>
      <c r="G62" s="30">
        <v>15027132.550000001</v>
      </c>
      <c r="H62" s="26">
        <v>1988482320.5</v>
      </c>
      <c r="I62" s="32">
        <f t="shared" si="29"/>
        <v>6.1324212573314286E-3</v>
      </c>
      <c r="J62" s="36">
        <v>1276259571.22</v>
      </c>
      <c r="K62" s="32">
        <f t="shared" si="30"/>
        <v>3.9801718925517966E-3</v>
      </c>
      <c r="L62" s="32">
        <f t="shared" si="31"/>
        <v>-0.35817404154788407</v>
      </c>
      <c r="M62" s="63">
        <f t="shared" si="36"/>
        <v>2.2339248490607687E-3</v>
      </c>
      <c r="N62" s="34">
        <f t="shared" si="37"/>
        <v>1.1774354440793959E-2</v>
      </c>
      <c r="O62" s="53">
        <f t="shared" si="38"/>
        <v>103.64038369376249</v>
      </c>
      <c r="P62" s="53">
        <f t="shared" si="39"/>
        <v>1.2202986119902421</v>
      </c>
      <c r="Q62" s="64">
        <v>103.64687000000001</v>
      </c>
      <c r="R62" s="64">
        <v>103.64687000000001</v>
      </c>
      <c r="S62" s="37">
        <v>115</v>
      </c>
      <c r="T62" s="37">
        <v>19139462.370999999</v>
      </c>
      <c r="U62" s="37">
        <v>12314307.664000001</v>
      </c>
    </row>
    <row r="63" spans="1:21" ht="14.25">
      <c r="A63" s="27">
        <v>53</v>
      </c>
      <c r="B63" s="38" t="s">
        <v>113</v>
      </c>
      <c r="C63" s="28" t="s">
        <v>63</v>
      </c>
      <c r="D63" s="36">
        <v>3357197511</v>
      </c>
      <c r="E63" s="36">
        <v>26664198.390000001</v>
      </c>
      <c r="F63" s="36">
        <v>5637788.4500000002</v>
      </c>
      <c r="G63" s="30">
        <v>21026409.940000001</v>
      </c>
      <c r="H63" s="26">
        <v>3340864920.5100002</v>
      </c>
      <c r="I63" s="32">
        <f t="shared" si="29"/>
        <v>1.0303129600496943E-2</v>
      </c>
      <c r="J63" s="36">
        <v>3358973503.3499999</v>
      </c>
      <c r="K63" s="32">
        <f t="shared" si="30"/>
        <v>1.0475370549487795E-2</v>
      </c>
      <c r="L63" s="32">
        <f t="shared" si="31"/>
        <v>5.4203277507057388E-3</v>
      </c>
      <c r="M63" s="63">
        <f t="shared" si="36"/>
        <v>1.6784259966258362E-3</v>
      </c>
      <c r="N63" s="34">
        <f t="shared" si="37"/>
        <v>6.2597724927064072E-3</v>
      </c>
      <c r="O63" s="53">
        <f t="shared" si="38"/>
        <v>3852.9402471471326</v>
      </c>
      <c r="P63" s="53">
        <f t="shared" si="39"/>
        <v>24.118529375133047</v>
      </c>
      <c r="Q63" s="36">
        <v>3852.94</v>
      </c>
      <c r="R63" s="36">
        <v>3852.94</v>
      </c>
      <c r="S63" s="37">
        <v>1040</v>
      </c>
      <c r="T63" s="37">
        <v>872475.34</v>
      </c>
      <c r="U63" s="37">
        <v>871794.86</v>
      </c>
    </row>
    <row r="64" spans="1:21" ht="14.25">
      <c r="A64" s="27">
        <v>54</v>
      </c>
      <c r="B64" s="28" t="s">
        <v>114</v>
      </c>
      <c r="C64" s="28" t="s">
        <v>65</v>
      </c>
      <c r="D64" s="36">
        <v>300027565.86000001</v>
      </c>
      <c r="E64" s="36">
        <v>3255952.85</v>
      </c>
      <c r="F64" s="36">
        <v>647115.94999999995</v>
      </c>
      <c r="G64" s="30">
        <v>2608836.9</v>
      </c>
      <c r="H64" s="26">
        <v>346365241.94</v>
      </c>
      <c r="I64" s="32">
        <f t="shared" si="29"/>
        <v>1.0681802652082464E-3</v>
      </c>
      <c r="J64" s="111">
        <v>338368185.02999997</v>
      </c>
      <c r="K64" s="32">
        <f t="shared" si="30"/>
        <v>1.0552426557732103E-3</v>
      </c>
      <c r="L64" s="32">
        <f t="shared" si="31"/>
        <v>-2.308850872335896E-2</v>
      </c>
      <c r="M64" s="63">
        <f t="shared" si="36"/>
        <v>1.9124609778032949E-3</v>
      </c>
      <c r="N64" s="34">
        <f t="shared" si="37"/>
        <v>7.7100537681126799E-3</v>
      </c>
      <c r="O64" s="53">
        <f t="shared" si="38"/>
        <v>114.15391480496872</v>
      </c>
      <c r="P64" s="53">
        <f t="shared" si="39"/>
        <v>0.88013282098686296</v>
      </c>
      <c r="Q64" s="64">
        <v>106.39</v>
      </c>
      <c r="R64" s="64">
        <v>106.39</v>
      </c>
      <c r="S64" s="37">
        <v>116</v>
      </c>
      <c r="T64" s="37">
        <v>3062434</v>
      </c>
      <c r="U64" s="37">
        <v>2964140</v>
      </c>
    </row>
    <row r="65" spans="1:21" ht="14.25">
      <c r="A65" s="27">
        <v>55</v>
      </c>
      <c r="B65" s="38" t="s">
        <v>115</v>
      </c>
      <c r="C65" s="38" t="s">
        <v>69</v>
      </c>
      <c r="D65" s="45" t="s">
        <v>240</v>
      </c>
      <c r="E65" s="45" t="s">
        <v>241</v>
      </c>
      <c r="F65" s="36">
        <v>1039200.9</v>
      </c>
      <c r="G65" s="44">
        <v>15069875.890000001</v>
      </c>
      <c r="H65" s="26">
        <v>344829411.79000002</v>
      </c>
      <c r="I65" s="32">
        <f t="shared" si="29"/>
        <v>1.0634438099919174E-3</v>
      </c>
      <c r="J65" s="45">
        <v>359969041.68000001</v>
      </c>
      <c r="K65" s="32">
        <f t="shared" si="30"/>
        <v>1.1226075746597231E-3</v>
      </c>
      <c r="L65" s="32">
        <f t="shared" si="31"/>
        <v>4.3904694241162848E-2</v>
      </c>
      <c r="M65" s="63">
        <f t="shared" si="36"/>
        <v>2.8869174280932012E-3</v>
      </c>
      <c r="N65" s="34">
        <f t="shared" si="37"/>
        <v>4.1864366501263177E-2</v>
      </c>
      <c r="O65" s="53">
        <f t="shared" si="38"/>
        <v>1.470160506974183</v>
      </c>
      <c r="P65" s="53">
        <f t="shared" si="39"/>
        <v>6.1547338279650074E-2</v>
      </c>
      <c r="Q65" s="119">
        <v>1.4702</v>
      </c>
      <c r="R65" s="119">
        <v>1.4702</v>
      </c>
      <c r="S65" s="140">
        <v>285</v>
      </c>
      <c r="T65" s="143">
        <v>244836082.25</v>
      </c>
      <c r="U65" s="143">
        <v>244850164.30000001</v>
      </c>
    </row>
    <row r="66" spans="1:21" ht="14.25">
      <c r="A66" s="27">
        <v>56</v>
      </c>
      <c r="B66" s="28" t="s">
        <v>293</v>
      </c>
      <c r="C66" s="28" t="s">
        <v>49</v>
      </c>
      <c r="D66" s="36">
        <f>18465847.18+48329351.13</f>
        <v>66795198.310000002</v>
      </c>
      <c r="E66" s="36">
        <v>661091.4</v>
      </c>
      <c r="F66" s="36">
        <v>108769.26</v>
      </c>
      <c r="G66" s="30">
        <v>552322.14</v>
      </c>
      <c r="H66" s="26">
        <v>55140649.859999999</v>
      </c>
      <c r="I66" s="32">
        <f t="shared" si="29"/>
        <v>1.7005214975183042E-4</v>
      </c>
      <c r="J66" s="36">
        <v>69991061.420000002</v>
      </c>
      <c r="K66" s="32">
        <f t="shared" si="30"/>
        <v>2.1827570321565081E-4</v>
      </c>
      <c r="L66" s="32">
        <f t="shared" si="31"/>
        <v>0.26931876206944655</v>
      </c>
      <c r="M66" s="63">
        <f t="shared" ref="M66" si="40">(F66/J66)</f>
        <v>1.5540450136525446E-3</v>
      </c>
      <c r="N66" s="34">
        <f t="shared" ref="N66" si="41">G66/J66</f>
        <v>7.8913239604360905E-3</v>
      </c>
      <c r="O66" s="53">
        <f t="shared" ref="O66" si="42">J66/U66</f>
        <v>128.1127576882505</v>
      </c>
      <c r="P66" s="53">
        <f t="shared" ref="P66" si="43">G66/U66</f>
        <v>1.0109792743828341</v>
      </c>
      <c r="Q66" s="64">
        <v>106.5013</v>
      </c>
      <c r="R66" s="64">
        <v>106.5013</v>
      </c>
      <c r="S66" s="37">
        <v>54</v>
      </c>
      <c r="T66" s="37">
        <v>649298.62</v>
      </c>
      <c r="U66" s="37">
        <v>546323.9</v>
      </c>
    </row>
    <row r="67" spans="1:21" ht="14.25">
      <c r="A67" s="27">
        <v>57</v>
      </c>
      <c r="B67" s="28" t="s">
        <v>116</v>
      </c>
      <c r="C67" s="28" t="s">
        <v>117</v>
      </c>
      <c r="D67" s="36">
        <v>435058537.66000003</v>
      </c>
      <c r="E67" s="36">
        <v>12567818.189999999</v>
      </c>
      <c r="F67" s="36">
        <v>7570342.0300000003</v>
      </c>
      <c r="G67" s="30">
        <v>4997476.17</v>
      </c>
      <c r="H67" s="26">
        <v>771166363.78999996</v>
      </c>
      <c r="I67" s="32">
        <f t="shared" si="29"/>
        <v>2.3782544876012023E-3</v>
      </c>
      <c r="J67" s="36">
        <v>846859161.44000006</v>
      </c>
      <c r="K67" s="32">
        <f t="shared" si="30"/>
        <v>2.6410340868914394E-3</v>
      </c>
      <c r="L67" s="32">
        <f t="shared" si="31"/>
        <v>9.8153655558831363E-2</v>
      </c>
      <c r="M67" s="63">
        <f t="shared" si="36"/>
        <v>8.9393164468190723E-3</v>
      </c>
      <c r="N67" s="34">
        <f t="shared" si="37"/>
        <v>5.9011892384824502E-3</v>
      </c>
      <c r="O67" s="53">
        <f t="shared" si="38"/>
        <v>1105.4275250864787</v>
      </c>
      <c r="P67" s="53">
        <f t="shared" si="39"/>
        <v>6.5233370149626158</v>
      </c>
      <c r="Q67" s="64">
        <v>1000</v>
      </c>
      <c r="R67" s="64">
        <v>1000</v>
      </c>
      <c r="S67" s="37">
        <v>194</v>
      </c>
      <c r="T67" s="37">
        <v>767615.98</v>
      </c>
      <c r="U67" s="37">
        <v>766091.98</v>
      </c>
    </row>
    <row r="68" spans="1:21" ht="14.25">
      <c r="A68" s="27">
        <v>58</v>
      </c>
      <c r="B68" s="28" t="s">
        <v>118</v>
      </c>
      <c r="C68" s="28" t="s">
        <v>71</v>
      </c>
      <c r="D68" s="36">
        <v>271964102.24000001</v>
      </c>
      <c r="E68" s="111">
        <v>2763925.68</v>
      </c>
      <c r="F68" s="36">
        <v>626040.96</v>
      </c>
      <c r="G68" s="30">
        <v>2137884.7200000002</v>
      </c>
      <c r="H68" s="26">
        <v>284274130.38999999</v>
      </c>
      <c r="I68" s="32">
        <f t="shared" si="29"/>
        <v>8.7669309510114007E-4</v>
      </c>
      <c r="J68" s="36">
        <v>281329015.79000002</v>
      </c>
      <c r="K68" s="32">
        <f t="shared" si="30"/>
        <v>8.7735901571828429E-4</v>
      </c>
      <c r="L68" s="32">
        <f t="shared" si="31"/>
        <v>-1.0360121745723105E-2</v>
      </c>
      <c r="M68" s="63">
        <f t="shared" si="36"/>
        <v>2.2252982268537581E-3</v>
      </c>
      <c r="N68" s="34">
        <f t="shared" si="37"/>
        <v>7.5992329266023487E-3</v>
      </c>
      <c r="O68" s="53">
        <f t="shared" si="38"/>
        <v>1175.2942769949325</v>
      </c>
      <c r="P68" s="53">
        <f t="shared" si="39"/>
        <v>8.9313349681871923</v>
      </c>
      <c r="Q68" s="36">
        <v>1163.3499999999999</v>
      </c>
      <c r="R68" s="111">
        <v>1175.29</v>
      </c>
      <c r="S68" s="37">
        <v>287</v>
      </c>
      <c r="T68" s="37">
        <v>245356</v>
      </c>
      <c r="U68" s="37">
        <v>239369</v>
      </c>
    </row>
    <row r="69" spans="1:21" ht="14.25">
      <c r="A69" s="27">
        <v>59</v>
      </c>
      <c r="B69" s="28" t="s">
        <v>119</v>
      </c>
      <c r="C69" s="38" t="s">
        <v>74</v>
      </c>
      <c r="D69" s="45" t="s">
        <v>242</v>
      </c>
      <c r="E69" s="45" t="s">
        <v>243</v>
      </c>
      <c r="F69" s="45" t="s">
        <v>244</v>
      </c>
      <c r="G69" s="44">
        <v>9169135.9499999993</v>
      </c>
      <c r="H69" s="26">
        <v>711288673</v>
      </c>
      <c r="I69" s="32">
        <f t="shared" si="29"/>
        <v>2.1935934423130635E-3</v>
      </c>
      <c r="J69" s="45" t="s">
        <v>245</v>
      </c>
      <c r="K69" s="32">
        <f t="shared" si="30"/>
        <v>2.2504255118377297E-3</v>
      </c>
      <c r="L69" s="32">
        <f t="shared" si="31"/>
        <v>1.4509068317470659E-2</v>
      </c>
      <c r="M69" s="63">
        <f t="shared" si="36"/>
        <v>2.0089377541127641E-3</v>
      </c>
      <c r="N69" s="34">
        <f t="shared" si="37"/>
        <v>1.2706518873213097E-2</v>
      </c>
      <c r="O69" s="53">
        <f t="shared" si="38"/>
        <v>1.0624161766841569</v>
      </c>
      <c r="P69" s="53">
        <f t="shared" si="39"/>
        <v>1.3499611200244139E-2</v>
      </c>
      <c r="Q69" s="64">
        <v>1.06</v>
      </c>
      <c r="R69" s="64">
        <v>1.06</v>
      </c>
      <c r="S69" s="37">
        <v>43</v>
      </c>
      <c r="T69" s="44">
        <v>678125594.39999998</v>
      </c>
      <c r="U69" s="44">
        <v>679214816.92999995</v>
      </c>
    </row>
    <row r="70" spans="1:21" ht="14.25">
      <c r="A70" s="27">
        <v>60</v>
      </c>
      <c r="B70" s="28" t="s">
        <v>300</v>
      </c>
      <c r="C70" s="28" t="s">
        <v>30</v>
      </c>
      <c r="D70" s="36">
        <v>64905201058.379997</v>
      </c>
      <c r="E70" s="45" t="s">
        <v>246</v>
      </c>
      <c r="F70" s="45" t="s">
        <v>247</v>
      </c>
      <c r="G70" s="30">
        <v>636804810.13</v>
      </c>
      <c r="H70" s="26">
        <v>67115678312.550003</v>
      </c>
      <c r="I70" s="32">
        <f t="shared" si="29"/>
        <v>0.20698278689277366</v>
      </c>
      <c r="J70" s="104">
        <v>67394318452.419998</v>
      </c>
      <c r="K70" s="32">
        <f t="shared" si="30"/>
        <v>0.21017744201173003</v>
      </c>
      <c r="L70" s="32">
        <f t="shared" si="31"/>
        <v>4.1516400768893376E-3</v>
      </c>
      <c r="M70" s="63">
        <f t="shared" si="36"/>
        <v>1.1357552051518888E-3</v>
      </c>
      <c r="N70" s="34">
        <f t="shared" si="37"/>
        <v>9.4489390909054238E-3</v>
      </c>
      <c r="O70" s="53">
        <f t="shared" si="38"/>
        <v>1557.0907372258152</v>
      </c>
      <c r="P70" s="53">
        <f t="shared" si="39"/>
        <v>14.712855535059751</v>
      </c>
      <c r="Q70" s="120">
        <v>1557.09</v>
      </c>
      <c r="R70" s="120">
        <v>1124.73</v>
      </c>
      <c r="S70" s="140">
        <v>2446</v>
      </c>
      <c r="T70" s="143">
        <v>43511354.890000001</v>
      </c>
      <c r="U70" s="143">
        <v>43282203.689999998</v>
      </c>
    </row>
    <row r="71" spans="1:21" ht="12.75" customHeight="1">
      <c r="A71" s="27">
        <v>61</v>
      </c>
      <c r="B71" s="28" t="s">
        <v>120</v>
      </c>
      <c r="C71" s="28" t="s">
        <v>80</v>
      </c>
      <c r="D71" s="36">
        <v>23632960.390000001</v>
      </c>
      <c r="E71" s="36">
        <v>327235.84000000003</v>
      </c>
      <c r="F71" s="36">
        <v>246928.51</v>
      </c>
      <c r="G71" s="30">
        <v>80307.33</v>
      </c>
      <c r="H71" s="26">
        <v>21545784.190000001</v>
      </c>
      <c r="I71" s="32">
        <f t="shared" si="29"/>
        <v>6.6446567621183651E-5</v>
      </c>
      <c r="J71" s="36">
        <v>21811589.719999999</v>
      </c>
      <c r="K71" s="32">
        <f t="shared" si="30"/>
        <v>6.802211579297206E-5</v>
      </c>
      <c r="L71" s="32">
        <f t="shared" si="31"/>
        <v>1.233677677526192E-2</v>
      </c>
      <c r="M71" s="63">
        <f t="shared" si="36"/>
        <v>1.1320977203856924E-2</v>
      </c>
      <c r="N71" s="34">
        <f t="shared" si="37"/>
        <v>3.6818650557305646E-3</v>
      </c>
      <c r="O71" s="53">
        <f t="shared" si="38"/>
        <v>0.65076734349604215</v>
      </c>
      <c r="P71" s="53">
        <f t="shared" si="39"/>
        <v>2.3960375414286868E-3</v>
      </c>
      <c r="Q71" s="30">
        <v>0.65069999999999995</v>
      </c>
      <c r="R71" s="30">
        <v>0.65069999999999995</v>
      </c>
      <c r="S71" s="37">
        <v>750</v>
      </c>
      <c r="T71" s="37">
        <v>33516724.43</v>
      </c>
      <c r="U71" s="37">
        <v>33516724.43</v>
      </c>
    </row>
    <row r="72" spans="1:21" ht="14.25">
      <c r="A72" s="27">
        <v>62</v>
      </c>
      <c r="B72" s="38" t="s">
        <v>121</v>
      </c>
      <c r="C72" s="38" t="s">
        <v>122</v>
      </c>
      <c r="D72" s="36">
        <v>984047178.5</v>
      </c>
      <c r="E72" s="36">
        <v>32889482.719999999</v>
      </c>
      <c r="F72" s="36">
        <v>8472053.7100000009</v>
      </c>
      <c r="G72" s="30">
        <v>24417429.010000002</v>
      </c>
      <c r="H72" s="26">
        <v>741331985.61000001</v>
      </c>
      <c r="I72" s="32">
        <f t="shared" si="29"/>
        <v>2.2862461387895858E-3</v>
      </c>
      <c r="J72" s="36">
        <v>979392387.12</v>
      </c>
      <c r="K72" s="32">
        <f t="shared" si="30"/>
        <v>3.0543551945846873E-3</v>
      </c>
      <c r="L72" s="32">
        <f t="shared" si="31"/>
        <v>0.32112522612134914</v>
      </c>
      <c r="M72" s="63">
        <f t="shared" si="36"/>
        <v>8.6503160749624684E-3</v>
      </c>
      <c r="N72" s="34">
        <f t="shared" si="37"/>
        <v>2.4931201560389766E-2</v>
      </c>
      <c r="O72" s="53">
        <f t="shared" si="38"/>
        <v>205.39927741885185</v>
      </c>
      <c r="P72" s="53">
        <f t="shared" si="39"/>
        <v>5.1208507856878098</v>
      </c>
      <c r="Q72" s="30">
        <v>205.39930000000001</v>
      </c>
      <c r="R72" s="30">
        <v>206.37549999999999</v>
      </c>
      <c r="S72" s="37">
        <v>479</v>
      </c>
      <c r="T72" s="37">
        <v>3656280.05</v>
      </c>
      <c r="U72" s="37">
        <v>4768236.7699999996</v>
      </c>
    </row>
    <row r="73" spans="1:21" ht="14.25">
      <c r="A73" s="27">
        <v>63</v>
      </c>
      <c r="B73" s="28" t="s">
        <v>123</v>
      </c>
      <c r="C73" s="28" t="s">
        <v>297</v>
      </c>
      <c r="D73" s="36">
        <v>1232146521.8399999</v>
      </c>
      <c r="E73" s="36">
        <v>31391710.960000001</v>
      </c>
      <c r="F73" s="36">
        <v>4827705.8600000003</v>
      </c>
      <c r="G73" s="30">
        <v>26564005.100000001</v>
      </c>
      <c r="H73" s="26">
        <v>1243155797.3499999</v>
      </c>
      <c r="I73" s="32">
        <f t="shared" si="29"/>
        <v>3.8338560817211655E-3</v>
      </c>
      <c r="J73" s="36">
        <v>1241553264.1600001</v>
      </c>
      <c r="K73" s="32">
        <f t="shared" si="30"/>
        <v>3.8719360203440484E-3</v>
      </c>
      <c r="L73" s="32">
        <f t="shared" si="31"/>
        <v>-1.2890847578524698E-3</v>
      </c>
      <c r="M73" s="63">
        <f t="shared" si="36"/>
        <v>3.8884403910502299E-3</v>
      </c>
      <c r="N73" s="34">
        <f t="shared" si="37"/>
        <v>2.1395783706446504E-2</v>
      </c>
      <c r="O73" s="53">
        <f t="shared" si="38"/>
        <v>3.0931664367706748</v>
      </c>
      <c r="P73" s="53">
        <f t="shared" si="39"/>
        <v>6.6180720049185196E-2</v>
      </c>
      <c r="Q73" s="30">
        <v>3.51</v>
      </c>
      <c r="R73" s="55">
        <v>3.51</v>
      </c>
      <c r="S73" s="37">
        <v>793</v>
      </c>
      <c r="T73" s="37">
        <v>403330378</v>
      </c>
      <c r="U73" s="37">
        <v>401385858</v>
      </c>
    </row>
    <row r="74" spans="1:21" ht="14.25">
      <c r="A74" s="27">
        <v>64</v>
      </c>
      <c r="B74" s="38" t="s">
        <v>124</v>
      </c>
      <c r="C74" s="28" t="s">
        <v>125</v>
      </c>
      <c r="D74" s="36">
        <v>13077096070.73</v>
      </c>
      <c r="E74" s="36">
        <v>183211965.15000001</v>
      </c>
      <c r="F74" s="36">
        <v>25218919.620000001</v>
      </c>
      <c r="G74" s="30">
        <v>201482160.06999999</v>
      </c>
      <c r="H74" s="26">
        <v>16272899293</v>
      </c>
      <c r="I74" s="32">
        <f t="shared" si="29"/>
        <v>5.0185144979168934E-2</v>
      </c>
      <c r="J74" s="36">
        <v>16321830787.17</v>
      </c>
      <c r="K74" s="32">
        <f t="shared" si="30"/>
        <v>5.0901629730369519E-2</v>
      </c>
      <c r="L74" s="32">
        <f t="shared" si="31"/>
        <v>3.0069315423741729E-3</v>
      </c>
      <c r="M74" s="63">
        <f t="shared" si="36"/>
        <v>1.545103606871337E-3</v>
      </c>
      <c r="N74" s="34">
        <f t="shared" si="37"/>
        <v>1.2344335797696041E-2</v>
      </c>
      <c r="O74" s="53">
        <f t="shared" si="38"/>
        <v>1196.8418732622345</v>
      </c>
      <c r="P74" s="53">
        <f t="shared" si="39"/>
        <v>14.77421798029259</v>
      </c>
      <c r="Q74" s="30">
        <v>1196.8399999999999</v>
      </c>
      <c r="R74" s="30">
        <v>1196.8399999999999</v>
      </c>
      <c r="S74" s="37">
        <v>7066</v>
      </c>
      <c r="T74" s="37">
        <v>13755480.369999999</v>
      </c>
      <c r="U74" s="37">
        <v>13637416.23</v>
      </c>
    </row>
    <row r="75" spans="1:21" ht="14.25">
      <c r="A75" s="27">
        <v>65</v>
      </c>
      <c r="B75" s="28" t="s">
        <v>126</v>
      </c>
      <c r="C75" s="28" t="s">
        <v>22</v>
      </c>
      <c r="D75" s="36">
        <v>1585553516.6900001</v>
      </c>
      <c r="E75" s="36">
        <v>15769740.26</v>
      </c>
      <c r="F75" s="36">
        <v>2013878.17</v>
      </c>
      <c r="G75" s="30">
        <v>13755862.09</v>
      </c>
      <c r="H75" s="26">
        <v>1564139394.1099999</v>
      </c>
      <c r="I75" s="32">
        <f t="shared" si="29"/>
        <v>4.8237600963219954E-3</v>
      </c>
      <c r="J75" s="36">
        <v>1579142949.23</v>
      </c>
      <c r="K75" s="32">
        <f t="shared" si="30"/>
        <v>4.9247508285782332E-3</v>
      </c>
      <c r="L75" s="32">
        <f t="shared" si="31"/>
        <v>9.5922110116900376E-3</v>
      </c>
      <c r="M75" s="63">
        <f t="shared" si="36"/>
        <v>1.2752982058919868E-3</v>
      </c>
      <c r="N75" s="34">
        <f t="shared" si="37"/>
        <v>8.7109669816196472E-3</v>
      </c>
      <c r="O75" s="53">
        <f t="shared" si="38"/>
        <v>340.48167550732273</v>
      </c>
      <c r="P75" s="53">
        <f t="shared" si="39"/>
        <v>2.9659246331908231</v>
      </c>
      <c r="Q75" s="119">
        <v>340.48169999999999</v>
      </c>
      <c r="R75" s="119">
        <v>340.48169999999999</v>
      </c>
      <c r="S75" s="140">
        <v>100</v>
      </c>
      <c r="T75" s="140">
        <v>4634287.0284000002</v>
      </c>
      <c r="U75" s="140">
        <v>4637967.5114000002</v>
      </c>
    </row>
    <row r="76" spans="1:21" ht="14.25">
      <c r="A76" s="27">
        <v>66</v>
      </c>
      <c r="B76" s="38" t="s">
        <v>127</v>
      </c>
      <c r="C76" s="38" t="s">
        <v>43</v>
      </c>
      <c r="D76" s="36">
        <v>52978059.829999998</v>
      </c>
      <c r="E76" s="36">
        <v>912828.93</v>
      </c>
      <c r="F76" s="36">
        <v>147548.13</v>
      </c>
      <c r="G76" s="30">
        <v>765280.8</v>
      </c>
      <c r="H76" s="26">
        <v>53976075.18</v>
      </c>
      <c r="I76" s="32">
        <f t="shared" si="29"/>
        <v>1.6646063553530665E-4</v>
      </c>
      <c r="J76" s="36">
        <v>54776342.729999997</v>
      </c>
      <c r="K76" s="32">
        <f t="shared" si="30"/>
        <v>1.7082673824911755E-4</v>
      </c>
      <c r="L76" s="32">
        <f t="shared" si="31"/>
        <v>1.4826338286569672E-2</v>
      </c>
      <c r="M76" s="63">
        <f t="shared" si="36"/>
        <v>2.6936469768944725E-3</v>
      </c>
      <c r="N76" s="34">
        <f t="shared" si="37"/>
        <v>1.3971009414998235E-2</v>
      </c>
      <c r="O76" s="53">
        <f t="shared" si="38"/>
        <v>11.930794881077176</v>
      </c>
      <c r="P76" s="53">
        <f t="shared" si="39"/>
        <v>0.16668524761194195</v>
      </c>
      <c r="Q76" s="64">
        <v>11.64</v>
      </c>
      <c r="R76" s="64">
        <v>11.96</v>
      </c>
      <c r="S76" s="37">
        <v>50</v>
      </c>
      <c r="T76" s="37">
        <v>4553438</v>
      </c>
      <c r="U76" s="37">
        <v>4591172.95</v>
      </c>
    </row>
    <row r="77" spans="1:21" ht="14.25">
      <c r="A77" s="27">
        <v>67</v>
      </c>
      <c r="B77" s="28" t="s">
        <v>128</v>
      </c>
      <c r="C77" s="28" t="s">
        <v>129</v>
      </c>
      <c r="D77" s="36">
        <v>6673688845.7700005</v>
      </c>
      <c r="E77" s="36">
        <v>69582961.010000005</v>
      </c>
      <c r="F77" s="36">
        <v>9067642.6300000008</v>
      </c>
      <c r="G77" s="30">
        <v>60515318.380000003</v>
      </c>
      <c r="H77" s="26">
        <v>6854466712</v>
      </c>
      <c r="I77" s="32">
        <f t="shared" si="29"/>
        <v>2.1138974653679584E-2</v>
      </c>
      <c r="J77" s="36">
        <v>6677781948</v>
      </c>
      <c r="K77" s="32">
        <f t="shared" si="30"/>
        <v>2.0825481440748216E-2</v>
      </c>
      <c r="L77" s="32">
        <f t="shared" si="31"/>
        <v>-2.5776587942382294E-2</v>
      </c>
      <c r="M77" s="63">
        <f t="shared" si="36"/>
        <v>1.3578824077530363E-3</v>
      </c>
      <c r="N77" s="34">
        <f t="shared" si="37"/>
        <v>9.0621884408975621E-3</v>
      </c>
      <c r="O77" s="53">
        <f t="shared" si="38"/>
        <v>1.0599999999269818</v>
      </c>
      <c r="P77" s="53">
        <f t="shared" si="39"/>
        <v>9.605919746689711E-3</v>
      </c>
      <c r="Q77" s="64">
        <v>1.06</v>
      </c>
      <c r="R77" s="64">
        <v>1.06</v>
      </c>
      <c r="S77" s="30">
        <v>3316</v>
      </c>
      <c r="T77" s="37">
        <v>6528063536</v>
      </c>
      <c r="U77" s="37">
        <v>6299794291</v>
      </c>
    </row>
    <row r="78" spans="1:21" ht="14.25">
      <c r="A78" s="27">
        <v>68</v>
      </c>
      <c r="B78" s="38" t="s">
        <v>130</v>
      </c>
      <c r="C78" s="28" t="s">
        <v>47</v>
      </c>
      <c r="D78" s="104">
        <v>23881827115.220001</v>
      </c>
      <c r="E78" s="104">
        <v>220041355.96000001</v>
      </c>
      <c r="F78" s="104">
        <v>28239289.57</v>
      </c>
      <c r="G78" s="104">
        <v>191802066.38999999</v>
      </c>
      <c r="H78" s="26">
        <v>27354229530.700001</v>
      </c>
      <c r="I78" s="32">
        <f t="shared" si="29"/>
        <v>8.435964299134828E-2</v>
      </c>
      <c r="J78" s="104">
        <v>23969004408.560001</v>
      </c>
      <c r="K78" s="32">
        <f t="shared" si="30"/>
        <v>7.4750277914237523E-2</v>
      </c>
      <c r="L78" s="32">
        <f t="shared" si="31"/>
        <v>-0.12375508944021685</v>
      </c>
      <c r="M78" s="63">
        <f t="shared" si="36"/>
        <v>1.1781586372404756E-3</v>
      </c>
      <c r="N78" s="34">
        <f t="shared" si="37"/>
        <v>8.0020873258090808E-3</v>
      </c>
      <c r="O78" s="53">
        <f t="shared" si="38"/>
        <v>4767.4799965146822</v>
      </c>
      <c r="P78" s="53">
        <f t="shared" si="39"/>
        <v>38.149791256158458</v>
      </c>
      <c r="Q78" s="64">
        <v>4767.4799999999996</v>
      </c>
      <c r="R78" s="64">
        <v>4767.4799999999996</v>
      </c>
      <c r="S78" s="37">
        <v>465</v>
      </c>
      <c r="T78" s="138">
        <v>5780797.5300000003</v>
      </c>
      <c r="U78" s="138">
        <v>5027604.6100000003</v>
      </c>
    </row>
    <row r="79" spans="1:21" ht="14.25">
      <c r="A79" s="27">
        <v>69</v>
      </c>
      <c r="B79" s="28" t="s">
        <v>131</v>
      </c>
      <c r="C79" s="28" t="s">
        <v>47</v>
      </c>
      <c r="D79" s="104">
        <v>43089153307.160004</v>
      </c>
      <c r="E79" s="104">
        <v>282226407.51999998</v>
      </c>
      <c r="F79" s="104">
        <v>68391947.769999996</v>
      </c>
      <c r="G79" s="104">
        <v>213834459.75</v>
      </c>
      <c r="H79" s="26">
        <v>42210808450.449997</v>
      </c>
      <c r="I79" s="32">
        <f t="shared" si="29"/>
        <v>0.13017689740665947</v>
      </c>
      <c r="J79" s="104">
        <v>44437097763.730003</v>
      </c>
      <c r="K79" s="32">
        <f t="shared" si="30"/>
        <v>0.13858253563317358</v>
      </c>
      <c r="L79" s="32">
        <f t="shared" si="31"/>
        <v>5.2742162375150448E-2</v>
      </c>
      <c r="M79" s="63">
        <f t="shared" si="36"/>
        <v>1.5390732341170619E-3</v>
      </c>
      <c r="N79" s="34">
        <f t="shared" si="37"/>
        <v>4.8120707811961068E-3</v>
      </c>
      <c r="O79" s="53">
        <f t="shared" si="38"/>
        <v>250.03649473562743</v>
      </c>
      <c r="P79" s="53">
        <f t="shared" si="39"/>
        <v>1.203193310550007</v>
      </c>
      <c r="Q79" s="64">
        <v>250.04</v>
      </c>
      <c r="R79" s="64">
        <v>250.04</v>
      </c>
      <c r="S79" s="37">
        <v>6648</v>
      </c>
      <c r="T79" s="138">
        <v>169362938.34</v>
      </c>
      <c r="U79" s="138">
        <v>177722447.31999999</v>
      </c>
    </row>
    <row r="80" spans="1:21" ht="14.25">
      <c r="A80" s="27">
        <v>70</v>
      </c>
      <c r="B80" s="38" t="s">
        <v>132</v>
      </c>
      <c r="C80" s="28" t="s">
        <v>47</v>
      </c>
      <c r="D80" s="104">
        <v>217273093.33000001</v>
      </c>
      <c r="E80" s="104">
        <v>2081397.22</v>
      </c>
      <c r="F80" s="104">
        <v>355473.02</v>
      </c>
      <c r="G80" s="104">
        <v>12530161.310000001</v>
      </c>
      <c r="H80" s="26">
        <v>258943655.28</v>
      </c>
      <c r="I80" s="32">
        <f t="shared" si="29"/>
        <v>7.9857465149143808E-4</v>
      </c>
      <c r="J80" s="104">
        <v>273138855.94999999</v>
      </c>
      <c r="K80" s="32">
        <f t="shared" si="30"/>
        <v>8.5181699846272442E-4</v>
      </c>
      <c r="L80" s="32">
        <f t="shared" si="31"/>
        <v>5.4819650455040052E-2</v>
      </c>
      <c r="M80" s="63">
        <f t="shared" si="36"/>
        <v>1.3014370246358206E-3</v>
      </c>
      <c r="N80" s="34">
        <f t="shared" si="37"/>
        <v>4.587469353790416E-2</v>
      </c>
      <c r="O80" s="53">
        <f t="shared" si="38"/>
        <v>4838.9108587180572</v>
      </c>
      <c r="P80" s="53">
        <f t="shared" si="39"/>
        <v>221.98355270092753</v>
      </c>
      <c r="Q80" s="64">
        <v>4826.07</v>
      </c>
      <c r="R80" s="64">
        <v>4847.71</v>
      </c>
      <c r="S80" s="37">
        <v>15</v>
      </c>
      <c r="T80" s="138">
        <v>56446.35</v>
      </c>
      <c r="U80" s="138">
        <v>56446.35</v>
      </c>
    </row>
    <row r="81" spans="1:21" ht="14.25">
      <c r="A81" s="27">
        <v>71</v>
      </c>
      <c r="B81" s="28" t="s">
        <v>133</v>
      </c>
      <c r="C81" s="28" t="s">
        <v>47</v>
      </c>
      <c r="D81" s="102">
        <v>18675026957.720001</v>
      </c>
      <c r="E81" s="104">
        <v>176626458.25</v>
      </c>
      <c r="F81" s="104">
        <v>25820029.039999999</v>
      </c>
      <c r="G81" s="104">
        <v>25820029.039999999</v>
      </c>
      <c r="H81" s="26">
        <v>19296139624.380001</v>
      </c>
      <c r="I81" s="32">
        <f t="shared" si="29"/>
        <v>5.9508729646250431E-2</v>
      </c>
      <c r="J81" s="104">
        <v>18866705976.860001</v>
      </c>
      <c r="K81" s="32">
        <f t="shared" si="30"/>
        <v>5.8838134911971429E-2</v>
      </c>
      <c r="L81" s="32">
        <f t="shared" si="31"/>
        <v>-2.2254899471054097E-2</v>
      </c>
      <c r="M81" s="63">
        <f t="shared" si="36"/>
        <v>1.3685499244896404E-3</v>
      </c>
      <c r="N81" s="34">
        <f t="shared" si="37"/>
        <v>1.3685499244896404E-3</v>
      </c>
      <c r="O81" s="53">
        <f t="shared" si="38"/>
        <v>120.13238763886822</v>
      </c>
      <c r="P81" s="53">
        <f t="shared" si="39"/>
        <v>0.16440717003193331</v>
      </c>
      <c r="Q81" s="65">
        <v>120.13</v>
      </c>
      <c r="R81" s="30">
        <v>120.13</v>
      </c>
      <c r="S81" s="37">
        <v>4010</v>
      </c>
      <c r="T81" s="138">
        <v>167828347.84999999</v>
      </c>
      <c r="U81" s="138">
        <v>157049288.27000001</v>
      </c>
    </row>
    <row r="82" spans="1:21" ht="14.25">
      <c r="A82" s="27">
        <v>72</v>
      </c>
      <c r="B82" s="28" t="s">
        <v>134</v>
      </c>
      <c r="C82" s="28" t="s">
        <v>47</v>
      </c>
      <c r="D82" s="36">
        <v>14352974131.549999</v>
      </c>
      <c r="E82" s="36">
        <v>100682974.56</v>
      </c>
      <c r="F82" s="36">
        <v>23547297.300000001</v>
      </c>
      <c r="G82" s="30">
        <v>77135677.260000005</v>
      </c>
      <c r="H82" s="26">
        <v>14781913942.76</v>
      </c>
      <c r="I82" s="32">
        <f t="shared" si="29"/>
        <v>4.55869898123267E-2</v>
      </c>
      <c r="J82" s="36">
        <v>14426908306.959999</v>
      </c>
      <c r="K82" s="32">
        <f t="shared" si="30"/>
        <v>4.4992081732161959E-2</v>
      </c>
      <c r="L82" s="32">
        <f t="shared" si="31"/>
        <v>-2.4016215841513443E-2</v>
      </c>
      <c r="M82" s="63">
        <f t="shared" si="36"/>
        <v>1.6321790364911403E-3</v>
      </c>
      <c r="N82" s="34">
        <f t="shared" si="37"/>
        <v>5.3466533243846362E-3</v>
      </c>
      <c r="O82" s="53">
        <f t="shared" si="38"/>
        <v>342.09795858346092</v>
      </c>
      <c r="P82" s="53">
        <f t="shared" si="39"/>
        <v>1.8290791875254591</v>
      </c>
      <c r="Q82" s="64">
        <v>342.1</v>
      </c>
      <c r="R82" s="64">
        <v>342.1</v>
      </c>
      <c r="S82" s="37">
        <v>10011</v>
      </c>
      <c r="T82" s="37">
        <v>43402448.119999997</v>
      </c>
      <c r="U82" s="37">
        <v>42171863.189999998</v>
      </c>
    </row>
    <row r="83" spans="1:21" ht="14.25">
      <c r="A83" s="27">
        <v>73</v>
      </c>
      <c r="B83" s="28" t="s">
        <v>135</v>
      </c>
      <c r="C83" s="28" t="s">
        <v>51</v>
      </c>
      <c r="D83" s="45" t="s">
        <v>248</v>
      </c>
      <c r="E83" s="45" t="s">
        <v>249</v>
      </c>
      <c r="F83" s="45" t="s">
        <v>250</v>
      </c>
      <c r="G83" s="44" t="s">
        <v>251</v>
      </c>
      <c r="H83" s="36">
        <v>102008447107</v>
      </c>
      <c r="I83" s="32">
        <f t="shared" si="29"/>
        <v>0.31459106425901734</v>
      </c>
      <c r="J83" s="45">
        <v>102014221846</v>
      </c>
      <c r="K83" s="32">
        <f t="shared" si="30"/>
        <v>0.31814385379602456</v>
      </c>
      <c r="L83" s="32">
        <f t="shared" si="31"/>
        <v>5.6610400057778424E-5</v>
      </c>
      <c r="M83" s="63">
        <f t="shared" si="36"/>
        <v>1.5861483729618293E-3</v>
      </c>
      <c r="N83" s="34">
        <f t="shared" si="37"/>
        <v>5.6440078214700026E-3</v>
      </c>
      <c r="O83" s="53">
        <f t="shared" si="38"/>
        <v>1.8844885101785496</v>
      </c>
      <c r="P83" s="53">
        <f t="shared" si="39"/>
        <v>1.0636067890918087E-2</v>
      </c>
      <c r="Q83" s="119">
        <v>1.88</v>
      </c>
      <c r="R83" s="119">
        <v>1.88</v>
      </c>
      <c r="S83" s="140">
        <v>2795</v>
      </c>
      <c r="T83" s="143" t="s">
        <v>252</v>
      </c>
      <c r="U83" s="143" t="s">
        <v>253</v>
      </c>
    </row>
    <row r="84" spans="1:21" ht="14.25">
      <c r="A84" s="27">
        <v>74</v>
      </c>
      <c r="B84" s="28" t="s">
        <v>136</v>
      </c>
      <c r="C84" s="38" t="s">
        <v>38</v>
      </c>
      <c r="D84" s="36">
        <v>11034996461.719999</v>
      </c>
      <c r="E84" s="36">
        <v>56611343.579999998</v>
      </c>
      <c r="F84" s="36">
        <v>2433182.2000000002</v>
      </c>
      <c r="G84" s="36">
        <v>54178161.380000003</v>
      </c>
      <c r="H84" s="36">
        <v>9683869937.6299992</v>
      </c>
      <c r="I84" s="32">
        <f t="shared" si="29"/>
        <v>2.9864771361820603E-2</v>
      </c>
      <c r="J84" s="36">
        <v>9587404556.8799992</v>
      </c>
      <c r="K84" s="32">
        <f t="shared" si="30"/>
        <v>2.9899496152917704E-2</v>
      </c>
      <c r="L84" s="32">
        <f t="shared" si="31"/>
        <v>-9.9614494382200096E-3</v>
      </c>
      <c r="M84" s="63">
        <f t="shared" si="36"/>
        <v>2.537894573619436E-4</v>
      </c>
      <c r="N84" s="34">
        <f t="shared" si="37"/>
        <v>5.6509726963718575E-3</v>
      </c>
      <c r="O84" s="53">
        <f t="shared" si="38"/>
        <v>1.008717734862381</v>
      </c>
      <c r="P84" s="53">
        <f t="shared" si="39"/>
        <v>5.7002363780533812E-3</v>
      </c>
      <c r="Q84" s="64">
        <v>1</v>
      </c>
      <c r="R84" s="64">
        <v>1</v>
      </c>
      <c r="S84" s="37">
        <v>5469</v>
      </c>
      <c r="T84" s="138">
        <v>9587404556.8799992</v>
      </c>
      <c r="U84" s="37">
        <v>9504546441.0200005</v>
      </c>
    </row>
    <row r="85" spans="1:21" ht="14.25">
      <c r="A85" s="27">
        <v>75</v>
      </c>
      <c r="B85" s="38" t="s">
        <v>137</v>
      </c>
      <c r="C85" s="38" t="s">
        <v>100</v>
      </c>
      <c r="D85" s="45" t="s">
        <v>254</v>
      </c>
      <c r="E85" s="45" t="s">
        <v>255</v>
      </c>
      <c r="F85" s="45" t="s">
        <v>256</v>
      </c>
      <c r="G85" s="45" t="s">
        <v>257</v>
      </c>
      <c r="H85" s="36">
        <v>2565436245.3099999</v>
      </c>
      <c r="I85" s="32">
        <f t="shared" si="29"/>
        <v>7.9117302692999075E-3</v>
      </c>
      <c r="J85" s="45">
        <v>2568680834.8899999</v>
      </c>
      <c r="K85" s="32">
        <f t="shared" si="30"/>
        <v>8.0107460038027767E-3</v>
      </c>
      <c r="L85" s="32">
        <f t="shared" si="31"/>
        <v>1.2647321039185898E-3</v>
      </c>
      <c r="M85" s="63">
        <f t="shared" si="36"/>
        <v>1.6774273671818468E-3</v>
      </c>
      <c r="N85" s="34">
        <f t="shared" si="37"/>
        <v>6.154339817261485E-3</v>
      </c>
      <c r="O85" s="53">
        <f t="shared" si="38"/>
        <v>24.410240637959962</v>
      </c>
      <c r="P85" s="53">
        <f t="shared" si="39"/>
        <v>0.15022891590713139</v>
      </c>
      <c r="Q85" s="64">
        <v>23.712</v>
      </c>
      <c r="R85" s="64">
        <v>23.712</v>
      </c>
      <c r="S85" s="44" t="s">
        <v>258</v>
      </c>
      <c r="T85" s="44" t="s">
        <v>259</v>
      </c>
      <c r="U85" s="44" t="s">
        <v>260</v>
      </c>
    </row>
    <row r="86" spans="1:21" ht="14.25">
      <c r="A86" s="158" t="s">
        <v>52</v>
      </c>
      <c r="B86" s="158"/>
      <c r="C86" s="158"/>
      <c r="D86" s="158"/>
      <c r="E86" s="158"/>
      <c r="F86" s="158"/>
      <c r="G86" s="158"/>
      <c r="H86" s="57">
        <f>SUM(H56:H85)</f>
        <v>324257293662.39001</v>
      </c>
      <c r="I86" s="47">
        <f>(H86/$H$167)</f>
        <v>0.1989661530079051</v>
      </c>
      <c r="J86" s="57">
        <f>SUM(J56:J85)</f>
        <v>320654385205.90002</v>
      </c>
      <c r="K86" s="47">
        <f>(J86/$J$167)</f>
        <v>0.17636890773036923</v>
      </c>
      <c r="L86" s="32">
        <f t="shared" si="31"/>
        <v>-1.1111264193308367E-2</v>
      </c>
      <c r="M86" s="59"/>
      <c r="N86" s="60"/>
      <c r="O86" s="61"/>
      <c r="P86" s="61"/>
      <c r="Q86" s="57"/>
      <c r="R86" s="57"/>
      <c r="S86" s="62">
        <f>SUM(S56:S85)</f>
        <v>49567</v>
      </c>
      <c r="T86" s="62"/>
      <c r="U86" s="37"/>
    </row>
    <row r="87" spans="1:21" ht="7.5" customHeight="1">
      <c r="A87" s="160"/>
      <c r="B87" s="160"/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</row>
    <row r="88" spans="1:21">
      <c r="A88" s="157" t="s">
        <v>138</v>
      </c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</row>
    <row r="89" spans="1:21" ht="13.5">
      <c r="A89" s="161" t="s">
        <v>139</v>
      </c>
      <c r="B89" s="161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</row>
    <row r="90" spans="1:21" ht="14.25">
      <c r="A90" s="66">
        <v>76</v>
      </c>
      <c r="B90" s="28" t="s">
        <v>140</v>
      </c>
      <c r="C90" s="28" t="s">
        <v>22</v>
      </c>
      <c r="D90" s="111">
        <v>1336700243.3599999</v>
      </c>
      <c r="E90" s="111">
        <v>8950898.8499999996</v>
      </c>
      <c r="F90" s="111">
        <v>2528032.79</v>
      </c>
      <c r="G90" s="121">
        <v>6422866.0599999996</v>
      </c>
      <c r="H90" s="25">
        <v>802862947.44000006</v>
      </c>
      <c r="I90" s="32">
        <f>(H90/$H$111)</f>
        <v>2.4364366277880843E-3</v>
      </c>
      <c r="J90" s="31">
        <v>1327238436.2</v>
      </c>
      <c r="K90" s="32">
        <f>(J90/$J$111)</f>
        <v>2.608449080488324E-3</v>
      </c>
      <c r="L90" s="32">
        <f t="shared" ref="L90" si="44">((J90-H90)/H90)</f>
        <v>0.65313200768825852</v>
      </c>
      <c r="M90" s="63">
        <f t="shared" ref="M90" si="45">(F90/J90)</f>
        <v>1.9047314491870649E-3</v>
      </c>
      <c r="N90" s="34">
        <f t="shared" ref="N90" si="46">G90/J90</f>
        <v>4.8392706877817887E-3</v>
      </c>
      <c r="O90" s="53">
        <f t="shared" ref="O90" si="47">J90/U90</f>
        <v>83968.192780225028</v>
      </c>
      <c r="P90" s="53">
        <f t="shared" ref="P90" si="48">G90/U90</f>
        <v>406.34481402735344</v>
      </c>
      <c r="Q90" s="36">
        <f>770.38*108.9958</f>
        <v>83968.184404</v>
      </c>
      <c r="R90" s="36">
        <f>770.38*108.9958</f>
        <v>83968.184404</v>
      </c>
      <c r="S90" s="37">
        <v>221</v>
      </c>
      <c r="T90" s="37">
        <v>16049.8698</v>
      </c>
      <c r="U90" s="37">
        <v>15806.442800000001</v>
      </c>
    </row>
    <row r="91" spans="1:21" ht="13.5" customHeight="1">
      <c r="A91" s="27">
        <v>77</v>
      </c>
      <c r="B91" s="28" t="s">
        <v>141</v>
      </c>
      <c r="C91" s="38" t="s">
        <v>26</v>
      </c>
      <c r="D91" s="36">
        <f>9903869.78*770.88</f>
        <v>7634695136.0063992</v>
      </c>
      <c r="E91" s="31">
        <f>180237.08*770.88</f>
        <v>138941160.2304</v>
      </c>
      <c r="F91" s="31">
        <f>19527.45*770.88</f>
        <v>15053320.656000001</v>
      </c>
      <c r="G91" s="67">
        <f>160709.63*770.88</f>
        <v>123887839.57440001</v>
      </c>
      <c r="H91" s="25">
        <f>11662913*461.76</f>
        <v>5385466706.8800001</v>
      </c>
      <c r="I91" s="32">
        <f t="shared" ref="I91:I99" si="49">(H91/$H$111)</f>
        <v>1.6343198280870098E-2</v>
      </c>
      <c r="J91" s="31">
        <f>11518944*770.88</f>
        <v>8879723550.7199993</v>
      </c>
      <c r="K91" s="32">
        <f t="shared" ref="K91:K99" si="50">(J91/$J$111)</f>
        <v>1.7451503888918266E-2</v>
      </c>
      <c r="L91" s="32">
        <f t="shared" ref="L91:L99" si="51">((J91-H91)/H91)</f>
        <v>0.64883083194554758</v>
      </c>
      <c r="M91" s="63">
        <f t="shared" ref="M91:M99" si="52">(F91/J91)</f>
        <v>1.6952465434331484E-3</v>
      </c>
      <c r="N91" s="34">
        <f t="shared" ref="N91:N99" si="53">G91/J91</f>
        <v>1.3951767627310284E-2</v>
      </c>
      <c r="O91" s="53">
        <f t="shared" ref="O91:O99" si="54">J91/U91</f>
        <v>879.51232600812773</v>
      </c>
      <c r="P91" s="53">
        <f t="shared" ref="P91:P99" si="55">G91/U91</f>
        <v>12.270751597820565</v>
      </c>
      <c r="Q91" s="36">
        <f>1.1409*770.88</f>
        <v>879.49699199999998</v>
      </c>
      <c r="R91" s="36">
        <f>1.1409*770.88</f>
        <v>879.49699199999998</v>
      </c>
      <c r="S91" s="37">
        <v>335</v>
      </c>
      <c r="T91" s="37">
        <v>10127617</v>
      </c>
      <c r="U91" s="37">
        <v>10096190</v>
      </c>
    </row>
    <row r="92" spans="1:21" ht="15" customHeight="1">
      <c r="A92" s="66">
        <v>78</v>
      </c>
      <c r="B92" s="28" t="s">
        <v>142</v>
      </c>
      <c r="C92" s="38" t="s">
        <v>74</v>
      </c>
      <c r="D92" s="36">
        <v>143713593.50999999</v>
      </c>
      <c r="E92" s="31">
        <v>14358341.5</v>
      </c>
      <c r="F92" s="31">
        <v>3192607.23</v>
      </c>
      <c r="G92" s="67">
        <v>11165734.27</v>
      </c>
      <c r="H92" s="25">
        <v>1117794941.0799999</v>
      </c>
      <c r="I92" s="32">
        <f t="shared" si="49"/>
        <v>3.3921562148153121E-3</v>
      </c>
      <c r="J92" s="31">
        <v>1877255833.4100001</v>
      </c>
      <c r="K92" s="32">
        <f t="shared" si="50"/>
        <v>3.6894096184551532E-3</v>
      </c>
      <c r="L92" s="32">
        <f t="shared" si="51"/>
        <v>0.67942774154642194</v>
      </c>
      <c r="M92" s="63">
        <f t="shared" si="52"/>
        <v>1.7006777516310543E-3</v>
      </c>
      <c r="N92" s="34">
        <f t="shared" si="53"/>
        <v>5.9479022897575189E-3</v>
      </c>
      <c r="O92" s="53">
        <f t="shared" si="54"/>
        <v>80359.708732972445</v>
      </c>
      <c r="P92" s="53">
        <f t="shared" si="55"/>
        <v>477.97169557709412</v>
      </c>
      <c r="Q92" s="31">
        <v>104.24</v>
      </c>
      <c r="R92" s="31">
        <v>104.24</v>
      </c>
      <c r="S92" s="37">
        <v>40</v>
      </c>
      <c r="T92" s="37">
        <v>23360.66</v>
      </c>
      <c r="U92" s="37">
        <v>23360.66</v>
      </c>
    </row>
    <row r="93" spans="1:21" ht="15" customHeight="1">
      <c r="A93" s="27">
        <v>79</v>
      </c>
      <c r="B93" s="28" t="s">
        <v>143</v>
      </c>
      <c r="C93" s="28" t="s">
        <v>144</v>
      </c>
      <c r="D93" s="122" t="s">
        <v>261</v>
      </c>
      <c r="E93" s="122" t="s">
        <v>262</v>
      </c>
      <c r="F93" s="122" t="s">
        <v>263</v>
      </c>
      <c r="G93" s="123">
        <v>93658672.280000001</v>
      </c>
      <c r="H93" s="25">
        <v>13291192000.01</v>
      </c>
      <c r="I93" s="32">
        <f t="shared" si="49"/>
        <v>4.033458900930087E-2</v>
      </c>
      <c r="J93" s="45" t="s">
        <v>261</v>
      </c>
      <c r="K93" s="32">
        <f t="shared" si="50"/>
        <v>4.3039981862711331E-2</v>
      </c>
      <c r="L93" s="32">
        <f t="shared" si="51"/>
        <v>0.64768707438531647</v>
      </c>
      <c r="M93" s="63">
        <f t="shared" si="52"/>
        <v>1.5907894306373888E-3</v>
      </c>
      <c r="N93" s="34">
        <f t="shared" si="53"/>
        <v>4.2767053541200471E-3</v>
      </c>
      <c r="O93" s="53">
        <f t="shared" si="54"/>
        <v>95610.870147501919</v>
      </c>
      <c r="P93" s="53">
        <f t="shared" si="55"/>
        <v>408.89952027189804</v>
      </c>
      <c r="Q93" s="45">
        <v>124.11</v>
      </c>
      <c r="R93" s="45">
        <v>124.11</v>
      </c>
      <c r="S93" s="37">
        <v>1846</v>
      </c>
      <c r="T93" s="37">
        <v>231469.85</v>
      </c>
      <c r="U93" s="37">
        <v>229050.58</v>
      </c>
    </row>
    <row r="94" spans="1:21" ht="14.25">
      <c r="A94" s="66">
        <v>80</v>
      </c>
      <c r="B94" s="28" t="s">
        <v>145</v>
      </c>
      <c r="C94" s="28" t="s">
        <v>144</v>
      </c>
      <c r="D94" s="122" t="s">
        <v>264</v>
      </c>
      <c r="E94" s="123">
        <v>71790651.430000007</v>
      </c>
      <c r="F94" s="123">
        <v>19604159.879999999</v>
      </c>
      <c r="G94" s="123">
        <v>52186491.560000002</v>
      </c>
      <c r="H94" s="25">
        <v>8003885056.3699999</v>
      </c>
      <c r="I94" s="32">
        <f t="shared" si="49"/>
        <v>2.4289274748730286E-2</v>
      </c>
      <c r="J94" s="45" t="s">
        <v>264</v>
      </c>
      <c r="K94" s="32">
        <f t="shared" si="50"/>
        <v>2.4760149788747479E-2</v>
      </c>
      <c r="L94" s="32">
        <f t="shared" si="51"/>
        <v>0.57405176773912947</v>
      </c>
      <c r="M94" s="63">
        <f t="shared" si="52"/>
        <v>1.55606731736007E-3</v>
      </c>
      <c r="N94" s="34">
        <f t="shared" si="53"/>
        <v>4.1422684991999333E-3</v>
      </c>
      <c r="O94" s="53">
        <f t="shared" si="54"/>
        <v>76762.327072736414</v>
      </c>
      <c r="P94" s="53">
        <f t="shared" si="55"/>
        <v>317.97016935867828</v>
      </c>
      <c r="Q94" s="45">
        <v>109.32</v>
      </c>
      <c r="R94" s="45">
        <v>109.32</v>
      </c>
      <c r="S94" s="37">
        <v>103</v>
      </c>
      <c r="T94" s="44" t="s">
        <v>265</v>
      </c>
      <c r="U94" s="44" t="s">
        <v>266</v>
      </c>
    </row>
    <row r="95" spans="1:21" ht="14.25">
      <c r="A95" s="27">
        <v>81</v>
      </c>
      <c r="B95" s="40" t="s">
        <v>146</v>
      </c>
      <c r="C95" s="41" t="s">
        <v>147</v>
      </c>
      <c r="D95" s="124">
        <v>35369896.960000001</v>
      </c>
      <c r="E95" s="29">
        <v>70663.009999999995</v>
      </c>
      <c r="F95" s="29">
        <v>37615.81</v>
      </c>
      <c r="G95" s="67">
        <v>33047.199999999997</v>
      </c>
      <c r="H95" s="25">
        <f>84568.02*461.76</f>
        <v>39050128.915200002</v>
      </c>
      <c r="I95" s="32">
        <f t="shared" si="49"/>
        <v>1.1850486401472668E-4</v>
      </c>
      <c r="J95" s="31">
        <v>38502826.149999999</v>
      </c>
      <c r="K95" s="32">
        <f t="shared" si="50"/>
        <v>7.5670398571877406E-5</v>
      </c>
      <c r="L95" s="32">
        <f t="shared" si="51"/>
        <v>-1.4015389459750798E-2</v>
      </c>
      <c r="M95" s="63">
        <f t="shared" si="52"/>
        <v>9.7696231059651709E-4</v>
      </c>
      <c r="N95" s="34">
        <f t="shared" si="53"/>
        <v>8.5830582594779211E-4</v>
      </c>
      <c r="O95" s="53">
        <f t="shared" si="54"/>
        <v>152.78899265873017</v>
      </c>
      <c r="P95" s="53">
        <f t="shared" si="55"/>
        <v>0.13113968253968253</v>
      </c>
      <c r="Q95" s="45">
        <v>125.39</v>
      </c>
      <c r="R95" s="45">
        <v>129.19</v>
      </c>
      <c r="S95" s="37">
        <v>2</v>
      </c>
      <c r="T95" s="37">
        <v>252000</v>
      </c>
      <c r="U95" s="37">
        <v>252000</v>
      </c>
    </row>
    <row r="96" spans="1:21" ht="14.25">
      <c r="A96" s="66">
        <v>82</v>
      </c>
      <c r="B96" s="28" t="s">
        <v>148</v>
      </c>
      <c r="C96" s="28" t="s">
        <v>149</v>
      </c>
      <c r="D96" s="30">
        <f>12958451.25*770.88</f>
        <v>9989410899.6000004</v>
      </c>
      <c r="E96" s="30">
        <f>74388.69*770.88</f>
        <v>57344753.347199999</v>
      </c>
      <c r="F96" s="30">
        <f>20450.01*770.88</f>
        <v>15764503.708799999</v>
      </c>
      <c r="G96" s="30">
        <f>53938.68*770.88</f>
        <v>41580249.638400003</v>
      </c>
      <c r="H96" s="25">
        <f>461.76*12669344.93</f>
        <v>5850196714.8767996</v>
      </c>
      <c r="I96" s="32">
        <f t="shared" si="49"/>
        <v>1.7753507745425716E-2</v>
      </c>
      <c r="J96" s="104">
        <f>12875245.38*770.88</f>
        <v>9925269158.5344009</v>
      </c>
      <c r="K96" s="32">
        <f t="shared" si="50"/>
        <v>1.9506336242267254E-2</v>
      </c>
      <c r="L96" s="32">
        <f t="shared" si="51"/>
        <v>0.69657015691367552</v>
      </c>
      <c r="M96" s="63">
        <f t="shared" si="52"/>
        <v>1.5883200200414354E-3</v>
      </c>
      <c r="N96" s="34">
        <f t="shared" si="53"/>
        <v>4.1893321958575364E-3</v>
      </c>
      <c r="O96" s="53">
        <f t="shared" si="54"/>
        <v>978.31965992011419</v>
      </c>
      <c r="P96" s="53">
        <f t="shared" si="55"/>
        <v>4.0985060491437304</v>
      </c>
      <c r="Q96" s="45">
        <f>770.88*1.29</f>
        <v>994.43520000000001</v>
      </c>
      <c r="R96" s="45">
        <f>770.88*1.29</f>
        <v>994.43520000000001</v>
      </c>
      <c r="S96" s="37">
        <v>117</v>
      </c>
      <c r="T96" s="37">
        <v>10025803</v>
      </c>
      <c r="U96" s="37">
        <v>10145221</v>
      </c>
    </row>
    <row r="97" spans="1:21" ht="14.25">
      <c r="A97" s="27">
        <v>83</v>
      </c>
      <c r="B97" s="28" t="s">
        <v>150</v>
      </c>
      <c r="C97" s="28" t="s">
        <v>51</v>
      </c>
      <c r="D97" s="36">
        <f>144510199*770.88</f>
        <v>111400022205.12</v>
      </c>
      <c r="E97" s="31">
        <f>1000158*770.88</f>
        <v>771001799.03999996</v>
      </c>
      <c r="F97" s="125">
        <f>242472*770.88</f>
        <v>186916815.35999998</v>
      </c>
      <c r="G97" s="67">
        <f>757686*770.88</f>
        <v>584084983.67999995</v>
      </c>
      <c r="H97" s="25">
        <f>461.76*147146292</f>
        <v>67946271793.919998</v>
      </c>
      <c r="I97" s="32">
        <f t="shared" si="49"/>
        <v>0.20619557279136089</v>
      </c>
      <c r="J97" s="31">
        <f>149352012*770.88</f>
        <v>115132479010.56</v>
      </c>
      <c r="K97" s="32">
        <f t="shared" si="50"/>
        <v>0.22627223626017864</v>
      </c>
      <c r="L97" s="32">
        <f t="shared" si="51"/>
        <v>0.69446352199801398</v>
      </c>
      <c r="M97" s="63">
        <f t="shared" si="52"/>
        <v>1.6234933614419603E-3</v>
      </c>
      <c r="N97" s="34">
        <f t="shared" si="53"/>
        <v>5.07315562645383E-3</v>
      </c>
      <c r="O97" s="53">
        <f t="shared" si="54"/>
        <v>92904.741009753459</v>
      </c>
      <c r="P97" s="53">
        <f t="shared" si="55"/>
        <v>471.32020957786665</v>
      </c>
      <c r="Q97" s="31">
        <f>120.52*770.88</f>
        <v>92906.457599999994</v>
      </c>
      <c r="R97" s="31">
        <f>770.88*120.52</f>
        <v>92906.457599999994</v>
      </c>
      <c r="S97" s="37">
        <v>1402</v>
      </c>
      <c r="T97" s="37">
        <v>1148442</v>
      </c>
      <c r="U97" s="37">
        <v>1239253</v>
      </c>
    </row>
    <row r="98" spans="1:21" ht="14.25">
      <c r="A98" s="66">
        <v>84</v>
      </c>
      <c r="B98" s="28" t="s">
        <v>151</v>
      </c>
      <c r="C98" s="28" t="s">
        <v>294</v>
      </c>
      <c r="D98" s="126">
        <f>1876285.36*769.250000301193</f>
        <v>1443332513.7451241</v>
      </c>
      <c r="E98" s="31">
        <v>15773594.33</v>
      </c>
      <c r="F98" s="45">
        <v>3003567.4</v>
      </c>
      <c r="G98" s="67">
        <v>12770026.939999999</v>
      </c>
      <c r="H98" s="25">
        <v>840558566.25999999</v>
      </c>
      <c r="I98" s="32">
        <f t="shared" si="49"/>
        <v>2.5508309795177729E-3</v>
      </c>
      <c r="J98" s="31">
        <f>2034908.64*769.250000301193</f>
        <v>1565353471.9329002</v>
      </c>
      <c r="K98" s="32">
        <f t="shared" si="50"/>
        <v>3.0764214726880425E-3</v>
      </c>
      <c r="L98" s="32">
        <f t="shared" si="51"/>
        <v>0.86227769814757682</v>
      </c>
      <c r="M98" s="63">
        <f t="shared" si="52"/>
        <v>1.9187790194704021E-3</v>
      </c>
      <c r="N98" s="34">
        <f t="shared" si="53"/>
        <v>8.1579190700178123E-3</v>
      </c>
      <c r="O98" s="53">
        <f t="shared" si="54"/>
        <v>79090.211799358338</v>
      </c>
      <c r="P98" s="53">
        <f t="shared" si="55"/>
        <v>645.21154708973324</v>
      </c>
      <c r="Q98" s="31">
        <v>79090.210000000006</v>
      </c>
      <c r="R98" s="31">
        <v>79090.210000000006</v>
      </c>
      <c r="S98" s="37">
        <v>124</v>
      </c>
      <c r="T98" s="37">
        <v>17720</v>
      </c>
      <c r="U98" s="37">
        <v>19792</v>
      </c>
    </row>
    <row r="99" spans="1:21" ht="13.5" customHeight="1">
      <c r="A99" s="27">
        <v>85</v>
      </c>
      <c r="B99" s="28" t="s">
        <v>153</v>
      </c>
      <c r="C99" s="28" t="s">
        <v>43</v>
      </c>
      <c r="D99" s="36">
        <f>1710272.32*770.88</f>
        <v>1318414726.0416</v>
      </c>
      <c r="E99" s="36">
        <f>29490.85*770.88</f>
        <v>22733906.447999999</v>
      </c>
      <c r="F99" s="36">
        <f>2305.4*770.88</f>
        <v>1777186.7520000001</v>
      </c>
      <c r="G99" s="67">
        <f>27185.45*770.88</f>
        <v>20956719.695999999</v>
      </c>
      <c r="H99" s="25">
        <v>787875045.79999995</v>
      </c>
      <c r="I99" s="32">
        <f t="shared" si="49"/>
        <v>2.3909530584618139E-3</v>
      </c>
      <c r="J99" s="31">
        <f>1751206.23*770.88</f>
        <v>1349969858.5824001</v>
      </c>
      <c r="K99" s="32">
        <f t="shared" si="50"/>
        <v>2.6531236138610361E-3</v>
      </c>
      <c r="L99" s="32">
        <f t="shared" si="51"/>
        <v>0.71343142009486415</v>
      </c>
      <c r="M99" s="63">
        <f t="shared" si="52"/>
        <v>1.3164640237717747E-3</v>
      </c>
      <c r="N99" s="34">
        <f t="shared" si="53"/>
        <v>1.5523842671573865E-2</v>
      </c>
      <c r="O99" s="53">
        <f t="shared" si="54"/>
        <v>99530.049794329461</v>
      </c>
      <c r="P99" s="53">
        <f t="shared" si="55"/>
        <v>1545.0888341010834</v>
      </c>
      <c r="Q99" s="127">
        <f>126.2*770.88</f>
        <v>97285.055999999997</v>
      </c>
      <c r="R99" s="31">
        <f>129.88*770.88</f>
        <v>100121.89439999999</v>
      </c>
      <c r="S99" s="37">
        <v>37</v>
      </c>
      <c r="T99" s="37">
        <v>13443.44</v>
      </c>
      <c r="U99" s="142">
        <v>13563.44</v>
      </c>
    </row>
    <row r="100" spans="1:21" ht="8.25" customHeight="1">
      <c r="A100" s="153"/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</row>
    <row r="101" spans="1:21" ht="13.5">
      <c r="A101" s="161" t="s">
        <v>154</v>
      </c>
      <c r="B101" s="161"/>
      <c r="C101" s="161"/>
      <c r="D101" s="161"/>
      <c r="E101" s="161"/>
      <c r="F101" s="161"/>
      <c r="G101" s="161"/>
      <c r="H101" s="161"/>
      <c r="I101" s="161"/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  <c r="T101" s="161"/>
      <c r="U101" s="161"/>
    </row>
    <row r="102" spans="1:21" ht="14.25">
      <c r="A102" s="27">
        <v>86</v>
      </c>
      <c r="B102" s="28" t="s">
        <v>155</v>
      </c>
      <c r="C102" s="38" t="s">
        <v>107</v>
      </c>
      <c r="D102" s="36">
        <f>728544.06*770.88</f>
        <v>561620044.97280002</v>
      </c>
      <c r="E102" s="36">
        <f>7273.9*770.88</f>
        <v>5607304.0319999997</v>
      </c>
      <c r="F102" s="36">
        <f>1386.71*770.88</f>
        <v>1068987.0048</v>
      </c>
      <c r="G102" s="30">
        <f>5887.19*770.88</f>
        <v>4538317.0271999994</v>
      </c>
      <c r="H102" s="26">
        <f>461.76*873965.42</f>
        <v>403562272.33920002</v>
      </c>
      <c r="I102" s="32">
        <f>(H102/$H$111)</f>
        <v>1.2246846177866467E-3</v>
      </c>
      <c r="J102" s="36">
        <f>885053.01*770.88</f>
        <v>682269664.34879994</v>
      </c>
      <c r="K102" s="32">
        <f>(J102/$J$111)</f>
        <v>1.3408786470282185E-3</v>
      </c>
      <c r="L102" s="32">
        <f t="shared" ref="L102:L111" si="56">((J102-H102)/H102)</f>
        <v>0.69061805602913806</v>
      </c>
      <c r="M102" s="63">
        <f t="shared" ref="M102" si="57">(F102/J102)</f>
        <v>1.5668101055325489E-3</v>
      </c>
      <c r="N102" s="34">
        <f t="shared" ref="N102" si="58">G102/J102</f>
        <v>6.6517936592295187E-3</v>
      </c>
      <c r="O102" s="35">
        <f t="shared" ref="O102" si="59">J102/U102</f>
        <v>75614.503418907232</v>
      </c>
      <c r="P102" s="35">
        <f t="shared" ref="P102" si="60">G102/U102</f>
        <v>502.97207438767589</v>
      </c>
      <c r="Q102" s="36">
        <f>98.09*770.88</f>
        <v>75615.619200000001</v>
      </c>
      <c r="R102" s="36">
        <f>98.09*770.88</f>
        <v>75615.619200000001</v>
      </c>
      <c r="S102" s="37">
        <v>28</v>
      </c>
      <c r="T102" s="37">
        <v>9277</v>
      </c>
      <c r="U102" s="37">
        <v>9023</v>
      </c>
    </row>
    <row r="103" spans="1:21" ht="14.25">
      <c r="A103" s="27">
        <v>87</v>
      </c>
      <c r="B103" s="28" t="s">
        <v>156</v>
      </c>
      <c r="C103" s="38" t="s">
        <v>28</v>
      </c>
      <c r="D103" s="36">
        <f>4921037.83*770.88</f>
        <v>3793529642.3903999</v>
      </c>
      <c r="E103" s="36">
        <f>37193.56*770.88</f>
        <v>28671771.532799996</v>
      </c>
      <c r="F103" s="36">
        <f>6888.12*770.88</f>
        <v>5309913.9456000002</v>
      </c>
      <c r="G103" s="30">
        <f>30305.43*770.88</f>
        <v>23361849.878400002</v>
      </c>
      <c r="H103" s="26">
        <f>461.76*6139405.19</f>
        <v>2834931740.5344</v>
      </c>
      <c r="I103" s="32">
        <f t="shared" ref="I103:I110" si="61">(H103/$H$111)</f>
        <v>8.6031265385219761E-3</v>
      </c>
      <c r="J103" s="36">
        <f>6212294.3*770.88</f>
        <v>4788933429.9840002</v>
      </c>
      <c r="K103" s="32">
        <f t="shared" ref="K103:K110" si="62">(J103/$J$111)</f>
        <v>9.4117896688754431E-3</v>
      </c>
      <c r="L103" s="32">
        <f t="shared" ref="L103:L110" si="63">((J103-H103)/H103)</f>
        <v>0.68925881406980904</v>
      </c>
      <c r="M103" s="63">
        <f t="shared" ref="M103:M110" si="64">(F103/J103)</f>
        <v>1.1087884229824721E-3</v>
      </c>
      <c r="N103" s="34">
        <f t="shared" ref="N103:N110" si="65">G103/J103</f>
        <v>4.8782991494784791E-3</v>
      </c>
      <c r="O103" s="35">
        <f t="shared" ref="O103:O110" si="66">J103/U103</f>
        <v>95603.160317968272</v>
      </c>
      <c r="P103" s="35">
        <f t="shared" ref="P103:P110" si="67">G103/U103</f>
        <v>466.38081566659929</v>
      </c>
      <c r="Q103" s="36">
        <f>122.78*770.88</f>
        <v>94648.646399999998</v>
      </c>
      <c r="R103" s="36">
        <f>770.88*125.26</f>
        <v>96560.428800000009</v>
      </c>
      <c r="S103" s="37">
        <v>290</v>
      </c>
      <c r="T103" s="138">
        <v>55045.03</v>
      </c>
      <c r="U103" s="37">
        <v>50091.79</v>
      </c>
    </row>
    <row r="104" spans="1:21" ht="14.25" customHeight="1">
      <c r="A104" s="27">
        <v>88</v>
      </c>
      <c r="B104" s="28" t="s">
        <v>157</v>
      </c>
      <c r="C104" s="28" t="s">
        <v>65</v>
      </c>
      <c r="D104" s="36">
        <f>10155980.83*770.88</f>
        <v>7829042502.2304001</v>
      </c>
      <c r="E104" s="36">
        <f>74776.37*770.88</f>
        <v>57643608.105599999</v>
      </c>
      <c r="F104" s="36">
        <f>18913*770.88</f>
        <v>14579653.439999999</v>
      </c>
      <c r="G104" s="30">
        <f>55863.37*770.88</f>
        <v>43063954.665600002</v>
      </c>
      <c r="H104" s="26">
        <f>12414403.82*461.76</f>
        <v>5732475107.9231997</v>
      </c>
      <c r="I104" s="32">
        <f t="shared" si="61"/>
        <v>1.7396259679640168E-2</v>
      </c>
      <c r="J104" s="36">
        <f>10890068.93*770.88</f>
        <v>8394936336.7584</v>
      </c>
      <c r="K104" s="32">
        <f t="shared" si="62"/>
        <v>1.6498741575832209E-2</v>
      </c>
      <c r="L104" s="32">
        <f t="shared" si="63"/>
        <v>0.46445229655777348</v>
      </c>
      <c r="M104" s="63">
        <f t="shared" si="64"/>
        <v>1.7367199529746227E-3</v>
      </c>
      <c r="N104" s="34">
        <f t="shared" si="65"/>
        <v>5.1297535726433649E-3</v>
      </c>
      <c r="O104" s="35">
        <f t="shared" si="66"/>
        <v>88471.122435249606</v>
      </c>
      <c r="P104" s="35">
        <f t="shared" si="67"/>
        <v>453.83505638799022</v>
      </c>
      <c r="Q104" s="36">
        <f>111.88*770.88</f>
        <v>86246.054399999994</v>
      </c>
      <c r="R104" s="36">
        <f>111.88*770.88</f>
        <v>86246.054399999994</v>
      </c>
      <c r="S104" s="37">
        <v>471</v>
      </c>
      <c r="T104" s="37">
        <v>109938</v>
      </c>
      <c r="U104" s="138">
        <v>94889</v>
      </c>
    </row>
    <row r="105" spans="1:21" ht="15" customHeight="1">
      <c r="A105" s="27">
        <v>89</v>
      </c>
      <c r="B105" s="28" t="s">
        <v>158</v>
      </c>
      <c r="C105" s="38" t="s">
        <v>63</v>
      </c>
      <c r="D105" s="36">
        <f>3478000.75*770.88</f>
        <v>2681121218.1599998</v>
      </c>
      <c r="E105" s="36">
        <f>21401.79*770.88</f>
        <v>16498211.8752</v>
      </c>
      <c r="F105" s="36">
        <f>4745.84*770.88</f>
        <v>3658473.1392000001</v>
      </c>
      <c r="G105" s="30">
        <f>17245.46*770.88</f>
        <v>13294180.204799999</v>
      </c>
      <c r="H105" s="26">
        <f>461.76*3643315.77</f>
        <v>1682337489.9552</v>
      </c>
      <c r="I105" s="32">
        <f t="shared" si="61"/>
        <v>5.1053653601746763E-3</v>
      </c>
      <c r="J105" s="36">
        <f>3578464.25*770.88</f>
        <v>2758566521.04</v>
      </c>
      <c r="K105" s="32">
        <f t="shared" si="62"/>
        <v>5.4214676948885227E-3</v>
      </c>
      <c r="L105" s="32">
        <f t="shared" si="63"/>
        <v>0.63972243233636761</v>
      </c>
      <c r="M105" s="63">
        <f t="shared" si="64"/>
        <v>1.326222554829212E-3</v>
      </c>
      <c r="N105" s="34">
        <f t="shared" si="65"/>
        <v>4.8192349553303482E-3</v>
      </c>
      <c r="O105" s="35">
        <f t="shared" si="66"/>
        <v>895.90116024083352</v>
      </c>
      <c r="P105" s="35">
        <f t="shared" si="67"/>
        <v>4.3175581879536402</v>
      </c>
      <c r="Q105" s="36">
        <f>1.16*770.88</f>
        <v>894.22079999999994</v>
      </c>
      <c r="R105" s="36">
        <f>1.16*770.88</f>
        <v>894.22079999999994</v>
      </c>
      <c r="S105" s="37">
        <v>139</v>
      </c>
      <c r="T105" s="37">
        <v>3149215</v>
      </c>
      <c r="U105" s="37">
        <v>3079096.94</v>
      </c>
    </row>
    <row r="106" spans="1:21" ht="14.25">
      <c r="A106" s="27">
        <v>90</v>
      </c>
      <c r="B106" s="38" t="s">
        <v>159</v>
      </c>
      <c r="C106" s="38" t="s">
        <v>45</v>
      </c>
      <c r="D106" s="36">
        <f>10298906.2*770.88</f>
        <v>7939220811.4559994</v>
      </c>
      <c r="E106" s="36">
        <f>97433.24*770.88</f>
        <v>75109336.051200002</v>
      </c>
      <c r="F106" s="36">
        <f>14984.89*770.88</f>
        <v>11551552.0032</v>
      </c>
      <c r="G106" s="30">
        <f>82448.35*770.88</f>
        <v>63557784.048</v>
      </c>
      <c r="H106" s="26">
        <f>461.76*10251998</f>
        <v>4733962596.4799995</v>
      </c>
      <c r="I106" s="32">
        <f t="shared" si="61"/>
        <v>1.4366088136735964E-2</v>
      </c>
      <c r="J106" s="36">
        <f>10319597*770.88</f>
        <v>7955170935.3599997</v>
      </c>
      <c r="K106" s="32">
        <f t="shared" si="62"/>
        <v>1.5634461559806981E-2</v>
      </c>
      <c r="L106" s="32">
        <f t="shared" si="63"/>
        <v>0.68044651245769705</v>
      </c>
      <c r="M106" s="63">
        <f t="shared" si="64"/>
        <v>1.4520809291293062E-3</v>
      </c>
      <c r="N106" s="34">
        <f t="shared" si="65"/>
        <v>7.9894931943563299E-3</v>
      </c>
      <c r="O106" s="35">
        <f t="shared" si="66"/>
        <v>788.96496670938893</v>
      </c>
      <c r="P106" s="35">
        <f t="shared" si="67"/>
        <v>6.303430232110232</v>
      </c>
      <c r="Q106" s="36">
        <f xml:space="preserve"> 1.0234*770.88</f>
        <v>788.9185920000001</v>
      </c>
      <c r="R106" s="36">
        <f xml:space="preserve"> 1.0234*770.88</f>
        <v>788.9185920000001</v>
      </c>
      <c r="S106" s="37">
        <v>345</v>
      </c>
      <c r="T106" s="37">
        <v>10093266</v>
      </c>
      <c r="U106" s="37">
        <v>10083047.119999999</v>
      </c>
    </row>
    <row r="107" spans="1:21" ht="14.25">
      <c r="A107" s="27">
        <v>91</v>
      </c>
      <c r="B107" s="28" t="s">
        <v>160</v>
      </c>
      <c r="C107" s="38" t="s">
        <v>89</v>
      </c>
      <c r="D107" s="36">
        <f>248932*770.88</f>
        <v>191896700.16</v>
      </c>
      <c r="E107" s="36">
        <f>1449.78*770.88</f>
        <v>1117606.4064</v>
      </c>
      <c r="F107" s="36">
        <f>182.17 *770.88</f>
        <v>140431.2096</v>
      </c>
      <c r="G107" s="30">
        <f>1267.61*770.88</f>
        <v>977175.19679999992</v>
      </c>
      <c r="H107" s="26">
        <f>461.76*231543.08</f>
        <v>106917332.62079999</v>
      </c>
      <c r="I107" s="32">
        <f t="shared" si="61"/>
        <v>3.2446049001680512E-4</v>
      </c>
      <c r="J107" s="36">
        <f>243897.68*770.88</f>
        <v>188015843.55840001</v>
      </c>
      <c r="K107" s="32">
        <f t="shared" si="62"/>
        <v>3.6951141623903569E-4</v>
      </c>
      <c r="L107" s="32">
        <f t="shared" si="63"/>
        <v>0.75851603243067522</v>
      </c>
      <c r="M107" s="63">
        <f t="shared" si="64"/>
        <v>7.4691157373862676E-4</v>
      </c>
      <c r="N107" s="34">
        <f t="shared" si="65"/>
        <v>5.1973024097646189E-3</v>
      </c>
      <c r="O107" s="35">
        <f t="shared" si="66"/>
        <v>735.9173476266709</v>
      </c>
      <c r="P107" s="35">
        <f t="shared" si="67"/>
        <v>3.824785004207683</v>
      </c>
      <c r="Q107" s="36">
        <f>0.95*770.88</f>
        <v>732.33600000000001</v>
      </c>
      <c r="R107" s="36">
        <f>0.95*770.88</f>
        <v>732.33600000000001</v>
      </c>
      <c r="S107" s="37">
        <v>3</v>
      </c>
      <c r="T107" s="37">
        <v>255485</v>
      </c>
      <c r="U107" s="37">
        <v>255485</v>
      </c>
    </row>
    <row r="108" spans="1:21" ht="14.25">
      <c r="A108" s="27">
        <v>92</v>
      </c>
      <c r="B108" s="28" t="s">
        <v>161</v>
      </c>
      <c r="C108" s="28" t="s">
        <v>47</v>
      </c>
      <c r="D108" s="36">
        <f>770.88*430756079.78</f>
        <v>332061246780.8064</v>
      </c>
      <c r="E108" s="36">
        <f>770.88*3198460.4</f>
        <v>2465629153.152</v>
      </c>
      <c r="F108" s="36">
        <f>770.88*686133.31</f>
        <v>528926446.01280004</v>
      </c>
      <c r="G108" s="30">
        <f>770.88*2512327.09</f>
        <v>1936702707.1392</v>
      </c>
      <c r="H108" s="26">
        <f>461.76*432424534.69</f>
        <v>199676353138.45441</v>
      </c>
      <c r="I108" s="32">
        <f t="shared" si="61"/>
        <v>0.60595495413124145</v>
      </c>
      <c r="J108" s="36">
        <f>770.88*431713555.87</f>
        <v>332799345949.06561</v>
      </c>
      <c r="K108" s="32">
        <f t="shared" si="62"/>
        <v>0.65405742046875459</v>
      </c>
      <c r="L108" s="32">
        <f t="shared" si="63"/>
        <v>0.66669383088294143</v>
      </c>
      <c r="M108" s="63">
        <f t="shared" si="64"/>
        <v>1.5893253771410696E-3</v>
      </c>
      <c r="N108" s="34">
        <f t="shared" si="65"/>
        <v>5.8194306290361795E-3</v>
      </c>
      <c r="O108" s="35">
        <f t="shared" si="66"/>
        <v>1088.698106797181</v>
      </c>
      <c r="P108" s="35">
        <f t="shared" si="67"/>
        <v>6.3356031084692175</v>
      </c>
      <c r="Q108" s="36">
        <f>770.88*1.4123</f>
        <v>1088.7138240000002</v>
      </c>
      <c r="R108" s="36">
        <f>770.88*1.4123</f>
        <v>1088.7138240000002</v>
      </c>
      <c r="S108" s="37">
        <v>4954</v>
      </c>
      <c r="T108" s="37">
        <v>308025700.25999999</v>
      </c>
      <c r="U108" s="37">
        <v>305685610.98000002</v>
      </c>
    </row>
    <row r="109" spans="1:21" ht="14.25">
      <c r="A109" s="27">
        <v>93</v>
      </c>
      <c r="B109" s="28" t="s">
        <v>162</v>
      </c>
      <c r="C109" s="28" t="s">
        <v>51</v>
      </c>
      <c r="D109" s="36">
        <v>6235437</v>
      </c>
      <c r="E109" s="36">
        <v>106840</v>
      </c>
      <c r="F109" s="115">
        <v>25073</v>
      </c>
      <c r="G109" s="30">
        <v>81768</v>
      </c>
      <c r="H109" s="26">
        <f>10796035*461.76</f>
        <v>4985177121.5999994</v>
      </c>
      <c r="I109" s="32">
        <f t="shared" si="61"/>
        <v>1.5128445239385167E-2</v>
      </c>
      <c r="J109" s="36">
        <v>12510099</v>
      </c>
      <c r="K109" s="32">
        <f t="shared" si="62"/>
        <v>2.4586355656483283E-5</v>
      </c>
      <c r="L109" s="32">
        <f t="shared" si="63"/>
        <v>-0.99749054071804277</v>
      </c>
      <c r="M109" s="63">
        <f t="shared" si="64"/>
        <v>2.004220749971683E-3</v>
      </c>
      <c r="N109" s="34">
        <f t="shared" si="65"/>
        <v>6.5361593061733564E-3</v>
      </c>
      <c r="O109" s="35">
        <f t="shared" si="66"/>
        <v>1.0377541253925557</v>
      </c>
      <c r="P109" s="35">
        <f t="shared" si="67"/>
        <v>6.7829262842043457E-3</v>
      </c>
      <c r="Q109" s="36">
        <v>1.04</v>
      </c>
      <c r="R109" s="36">
        <v>1.04</v>
      </c>
      <c r="S109" s="37">
        <v>41</v>
      </c>
      <c r="T109" s="37">
        <v>10476850</v>
      </c>
      <c r="U109" s="37">
        <v>12054974</v>
      </c>
    </row>
    <row r="110" spans="1:21" ht="14.25">
      <c r="A110" s="27">
        <v>94</v>
      </c>
      <c r="B110" s="38" t="s">
        <v>163</v>
      </c>
      <c r="C110" s="38" t="s">
        <v>38</v>
      </c>
      <c r="D110" s="36">
        <f>14516121.05*770.88</f>
        <v>11190187395.024</v>
      </c>
      <c r="E110" s="36">
        <f>67612.66*770.88</f>
        <v>52121247.340800002</v>
      </c>
      <c r="F110" s="36">
        <f>27091.7*770.88</f>
        <v>20884449.695999999</v>
      </c>
      <c r="G110" s="30">
        <f>40520.96*770.88</f>
        <v>31236797.6448</v>
      </c>
      <c r="H110" s="26">
        <f>11483360.13*461.76</f>
        <v>5302556373.6288004</v>
      </c>
      <c r="I110" s="32">
        <f t="shared" si="61"/>
        <v>1.609159148621174E-2</v>
      </c>
      <c r="J110" s="36">
        <f>14460469.14*770.88</f>
        <v>11147286450.6432</v>
      </c>
      <c r="K110" s="32">
        <f t="shared" si="62"/>
        <v>2.1907992037489943E-2</v>
      </c>
      <c r="L110" s="32">
        <f t="shared" si="63"/>
        <v>1.10224760760338</v>
      </c>
      <c r="M110" s="63">
        <f t="shared" si="64"/>
        <v>1.8735007652732349E-3</v>
      </c>
      <c r="N110" s="34">
        <f t="shared" si="65"/>
        <v>2.8021884772681726E-3</v>
      </c>
      <c r="O110" s="35">
        <f t="shared" si="66"/>
        <v>807.99329982545271</v>
      </c>
      <c r="P110" s="35">
        <f t="shared" si="67"/>
        <v>2.2641495144807711</v>
      </c>
      <c r="Q110" s="36">
        <f>1.09*770.88</f>
        <v>840.25920000000008</v>
      </c>
      <c r="R110" s="36">
        <f>1.09*770.88</f>
        <v>840.25920000000008</v>
      </c>
      <c r="S110" s="37">
        <v>549</v>
      </c>
      <c r="T110" s="37">
        <v>11483360.130000001</v>
      </c>
      <c r="U110" s="37">
        <v>13796261</v>
      </c>
    </row>
    <row r="111" spans="1:21" ht="15.75" customHeight="1">
      <c r="A111" s="158" t="s">
        <v>52</v>
      </c>
      <c r="B111" s="158"/>
      <c r="C111" s="158"/>
      <c r="D111" s="158"/>
      <c r="E111" s="158"/>
      <c r="F111" s="158"/>
      <c r="G111" s="158"/>
      <c r="H111" s="57">
        <f>SUM(H90:H110)</f>
        <v>329523427075.08795</v>
      </c>
      <c r="I111" s="47">
        <f>(H111/$H$167)</f>
        <v>0.2021974829635601</v>
      </c>
      <c r="J111" s="57">
        <f>SUM(J90:J110)</f>
        <v>508822827375.84808</v>
      </c>
      <c r="K111" s="47">
        <f>(J111/$J$167)</f>
        <v>0.2798668299357015</v>
      </c>
      <c r="L111" s="58">
        <f t="shared" si="56"/>
        <v>0.5441173087214326</v>
      </c>
      <c r="M111" s="63"/>
      <c r="N111" s="60"/>
      <c r="O111" s="68"/>
      <c r="P111" s="68"/>
      <c r="Q111" s="57"/>
      <c r="R111" s="57"/>
      <c r="S111" s="69">
        <f>SUM(S90:S110)</f>
        <v>11047</v>
      </c>
      <c r="T111" s="69"/>
      <c r="U111" s="62"/>
    </row>
    <row r="112" spans="1:21" ht="7.5" customHeight="1">
      <c r="A112" s="159"/>
      <c r="B112" s="159"/>
      <c r="C112" s="159"/>
      <c r="D112" s="159"/>
      <c r="E112" s="159"/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</row>
    <row r="113" spans="1:21">
      <c r="A113" s="157" t="s">
        <v>164</v>
      </c>
      <c r="B113" s="157"/>
      <c r="C113" s="157"/>
      <c r="D113" s="157"/>
      <c r="E113" s="157"/>
      <c r="F113" s="157"/>
      <c r="G113" s="157"/>
      <c r="H113" s="157"/>
      <c r="I113" s="157"/>
      <c r="J113" s="157"/>
      <c r="K113" s="157"/>
      <c r="L113" s="157"/>
      <c r="M113" s="157"/>
      <c r="N113" s="157"/>
      <c r="O113" s="157"/>
      <c r="P113" s="157"/>
      <c r="Q113" s="157"/>
      <c r="R113" s="157"/>
      <c r="S113" s="157"/>
      <c r="T113" s="157"/>
      <c r="U113" s="157"/>
    </row>
    <row r="114" spans="1:21" ht="14.25">
      <c r="A114" s="27">
        <v>95</v>
      </c>
      <c r="B114" s="28" t="s">
        <v>165</v>
      </c>
      <c r="C114" s="28" t="s">
        <v>45</v>
      </c>
      <c r="D114" s="36">
        <v>8340250568</v>
      </c>
      <c r="E114" s="36">
        <v>119252996</v>
      </c>
      <c r="F114" s="29">
        <v>98946221</v>
      </c>
      <c r="G114" s="44">
        <v>229491344</v>
      </c>
      <c r="H114" s="26">
        <v>53979364340</v>
      </c>
      <c r="I114" s="32">
        <f>(H114/$H$118)</f>
        <v>0.58055208442343509</v>
      </c>
      <c r="J114" s="36">
        <v>53749872997</v>
      </c>
      <c r="K114" s="32">
        <f>(J114/$J$118)</f>
        <v>0.57853233010859217</v>
      </c>
      <c r="L114" s="32">
        <f>((J114-H114)/H114)</f>
        <v>-4.2514643476440758E-3</v>
      </c>
      <c r="M114" s="63">
        <f>(F114/J114)</f>
        <v>1.8408642752611266E-3</v>
      </c>
      <c r="N114" s="34">
        <f>G114/J114</f>
        <v>4.2696164884484253E-3</v>
      </c>
      <c r="O114" s="35">
        <f>J114/U114</f>
        <v>101.29101211537592</v>
      </c>
      <c r="P114" s="35">
        <f>G114/U114</f>
        <v>0.43247377545943827</v>
      </c>
      <c r="Q114" s="36">
        <v>101.29</v>
      </c>
      <c r="R114" s="36">
        <v>101.29</v>
      </c>
      <c r="S114" s="37">
        <v>675</v>
      </c>
      <c r="T114" s="37">
        <v>530648000</v>
      </c>
      <c r="U114" s="37">
        <v>530648000</v>
      </c>
    </row>
    <row r="115" spans="1:21" ht="14.25">
      <c r="A115" s="27">
        <v>96</v>
      </c>
      <c r="B115" s="28" t="s">
        <v>166</v>
      </c>
      <c r="C115" s="28" t="s">
        <v>129</v>
      </c>
      <c r="D115" s="36">
        <v>3029202332.6900001</v>
      </c>
      <c r="E115" s="36">
        <v>27176708.510000002</v>
      </c>
      <c r="F115" s="29">
        <v>5401912.4699999997</v>
      </c>
      <c r="G115" s="44">
        <v>21774796.039999999</v>
      </c>
      <c r="H115" s="26">
        <v>2379606228.8699999</v>
      </c>
      <c r="I115" s="32">
        <f t="shared" ref="I115:I117" si="68">(H115/$H$118)</f>
        <v>2.559284224941779E-2</v>
      </c>
      <c r="J115" s="36">
        <v>2401381024.9099998</v>
      </c>
      <c r="K115" s="32">
        <f t="shared" ref="K115:K117" si="69">(J115/$J$118)</f>
        <v>2.5847066836739926E-2</v>
      </c>
      <c r="L115" s="32">
        <f t="shared" ref="L115:L118" si="70">((J115-H115)/H115)</f>
        <v>9.1505879316596539E-3</v>
      </c>
      <c r="M115" s="63">
        <f>(F115/J115)</f>
        <v>2.2495024379575314E-3</v>
      </c>
      <c r="N115" s="34">
        <f>G115/J115</f>
        <v>9.0676139330350906E-3</v>
      </c>
      <c r="O115" s="35">
        <f>J115/U115</f>
        <v>120.06905124549999</v>
      </c>
      <c r="P115" s="35">
        <f>G115/U115</f>
        <v>1.0887398019999999</v>
      </c>
      <c r="Q115" s="44">
        <v>77</v>
      </c>
      <c r="R115" s="44">
        <v>77</v>
      </c>
      <c r="S115" s="37">
        <v>2733</v>
      </c>
      <c r="T115" s="37">
        <v>20000000</v>
      </c>
      <c r="U115" s="37">
        <v>20000000</v>
      </c>
    </row>
    <row r="116" spans="1:21" ht="14.25">
      <c r="A116" s="27">
        <v>97</v>
      </c>
      <c r="B116" s="28" t="s">
        <v>167</v>
      </c>
      <c r="C116" s="28" t="s">
        <v>129</v>
      </c>
      <c r="D116" s="36">
        <v>10986749585.83</v>
      </c>
      <c r="E116" s="36">
        <v>65713595.07</v>
      </c>
      <c r="F116" s="70" t="s">
        <v>290</v>
      </c>
      <c r="G116" s="44">
        <v>49977833.579999998</v>
      </c>
      <c r="H116" s="26">
        <v>9840662249</v>
      </c>
      <c r="I116" s="32">
        <f t="shared" si="68"/>
        <v>0.10583705552328034</v>
      </c>
      <c r="J116" s="111">
        <v>9889080762</v>
      </c>
      <c r="K116" s="32">
        <f t="shared" si="69"/>
        <v>0.10644030612297881</v>
      </c>
      <c r="L116" s="32">
        <f t="shared" si="70"/>
        <v>4.9202494481426036E-3</v>
      </c>
      <c r="M116" s="63">
        <f>(F116/J116)</f>
        <v>1.5912259054923067E-3</v>
      </c>
      <c r="N116" s="34">
        <f>G116/J116</f>
        <v>5.0538401680412931E-3</v>
      </c>
      <c r="O116" s="35">
        <f>J116/U116</f>
        <v>52.565964973907583</v>
      </c>
      <c r="P116" s="35">
        <f>G116/U116</f>
        <v>0.26565998525698581</v>
      </c>
      <c r="Q116" s="44">
        <v>36.6</v>
      </c>
      <c r="R116" s="44">
        <v>36.6</v>
      </c>
      <c r="S116" s="37">
        <v>5263</v>
      </c>
      <c r="T116" s="37">
        <v>188127066</v>
      </c>
      <c r="U116" s="37">
        <v>188127066</v>
      </c>
    </row>
    <row r="117" spans="1:21" ht="16.5" customHeight="1">
      <c r="A117" s="27">
        <v>98</v>
      </c>
      <c r="B117" s="28" t="s">
        <v>168</v>
      </c>
      <c r="C117" s="38" t="s">
        <v>169</v>
      </c>
      <c r="D117" s="104">
        <v>26766110052.869999</v>
      </c>
      <c r="E117" s="104">
        <v>137547220.80000001</v>
      </c>
      <c r="F117" s="104">
        <v>19900598.280000001</v>
      </c>
      <c r="G117" s="104">
        <v>117646622.52</v>
      </c>
      <c r="H117" s="26">
        <v>26779732493.700001</v>
      </c>
      <c r="I117" s="32">
        <f t="shared" si="68"/>
        <v>0.28801801780386677</v>
      </c>
      <c r="J117" s="104">
        <v>26866958723.630001</v>
      </c>
      <c r="K117" s="32">
        <f t="shared" si="69"/>
        <v>0.28918029693168901</v>
      </c>
      <c r="L117" s="32">
        <f t="shared" si="70"/>
        <v>3.257173310096376E-3</v>
      </c>
      <c r="M117" s="63">
        <f>(F117/J117)</f>
        <v>7.4070900561205117E-4</v>
      </c>
      <c r="N117" s="34">
        <f>G117/J117</f>
        <v>4.378858944556592E-3</v>
      </c>
      <c r="O117" s="35">
        <f>J117/U117</f>
        <v>10.069057388554642</v>
      </c>
      <c r="P117" s="35">
        <f>G117/U117</f>
        <v>4.4090982009126138E-2</v>
      </c>
      <c r="Q117" s="44">
        <v>10.07</v>
      </c>
      <c r="R117" s="44">
        <v>10.07</v>
      </c>
      <c r="S117" s="37">
        <v>1</v>
      </c>
      <c r="T117" s="138">
        <v>2668269500</v>
      </c>
      <c r="U117" s="138">
        <v>2668269500</v>
      </c>
    </row>
    <row r="118" spans="1:21" ht="15" customHeight="1">
      <c r="A118" s="158" t="s">
        <v>52</v>
      </c>
      <c r="B118" s="158"/>
      <c r="C118" s="158"/>
      <c r="D118" s="158"/>
      <c r="E118" s="158"/>
      <c r="F118" s="158"/>
      <c r="G118" s="158"/>
      <c r="H118" s="57">
        <f t="shared" ref="H118" si="71">SUM(H114:H117)</f>
        <v>92979365311.570007</v>
      </c>
      <c r="I118" s="47">
        <f>(H118/$H$167)</f>
        <v>5.7052676953571614E-2</v>
      </c>
      <c r="J118" s="57">
        <f>SUM(J114:J117)</f>
        <v>92907293507.540009</v>
      </c>
      <c r="K118" s="47">
        <f>(J118/$J$167)</f>
        <v>5.110161791671064E-2</v>
      </c>
      <c r="L118" s="58">
        <f t="shared" si="70"/>
        <v>-7.7513762100321019E-4</v>
      </c>
      <c r="M118" s="63"/>
      <c r="N118" s="60"/>
      <c r="O118" s="61"/>
      <c r="P118" s="61"/>
      <c r="Q118" s="57"/>
      <c r="R118" s="57"/>
      <c r="S118" s="62">
        <f>SUM(S114:S117)</f>
        <v>8672</v>
      </c>
      <c r="T118" s="62"/>
      <c r="U118" s="62"/>
    </row>
    <row r="119" spans="1:21" ht="8.25" customHeight="1">
      <c r="A119" s="159"/>
      <c r="B119" s="159"/>
      <c r="C119" s="159"/>
      <c r="D119" s="159"/>
      <c r="E119" s="159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</row>
    <row r="120" spans="1:21">
      <c r="A120" s="157" t="s">
        <v>170</v>
      </c>
      <c r="B120" s="157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  <c r="P120" s="157"/>
      <c r="Q120" s="157"/>
      <c r="R120" s="157"/>
      <c r="S120" s="157"/>
      <c r="T120" s="157"/>
      <c r="U120" s="157"/>
    </row>
    <row r="121" spans="1:21" ht="14.25">
      <c r="A121" s="27">
        <v>99</v>
      </c>
      <c r="B121" s="28" t="s">
        <v>171</v>
      </c>
      <c r="C121" s="28" t="s">
        <v>56</v>
      </c>
      <c r="D121" s="31">
        <v>204798742.36000001</v>
      </c>
      <c r="E121" s="31">
        <v>1505503.86</v>
      </c>
      <c r="F121" s="36">
        <v>459226.71</v>
      </c>
      <c r="G121" s="30">
        <v>1046277.15</v>
      </c>
      <c r="H121" s="26">
        <v>180200031.16</v>
      </c>
      <c r="I121" s="32">
        <f t="shared" ref="I121:I144" si="72">(H121/$H$145)</f>
        <v>5.3817034532696499E-3</v>
      </c>
      <c r="J121" s="36">
        <v>191093109</v>
      </c>
      <c r="K121" s="32">
        <f t="shared" ref="K121:K144" si="73">(J121/$J$145)</f>
        <v>6.2120637358470043E-3</v>
      </c>
      <c r="L121" s="32">
        <f>((J121-H121)/H121)</f>
        <v>6.0449922066484085E-2</v>
      </c>
      <c r="M121" s="63">
        <f t="shared" ref="M121" si="74">(F121/J121)</f>
        <v>2.4031568296897614E-3</v>
      </c>
      <c r="N121" s="34">
        <f t="shared" ref="N121" si="75">G121/J121</f>
        <v>5.4752217674160089E-3</v>
      </c>
      <c r="O121" s="35">
        <f t="shared" ref="O121" si="76">J121/U121</f>
        <v>4.3197745745597471</v>
      </c>
      <c r="P121" s="35">
        <f t="shared" ref="P121" si="77">G121/U121</f>
        <v>2.3651723780959755E-2</v>
      </c>
      <c r="Q121" s="36">
        <v>4.2831000000000001</v>
      </c>
      <c r="R121" s="36">
        <v>4.3512000000000004</v>
      </c>
      <c r="S121" s="37">
        <v>11818</v>
      </c>
      <c r="T121" s="37">
        <v>44236824.329999998</v>
      </c>
      <c r="U121" s="37">
        <v>44236824.329999998</v>
      </c>
    </row>
    <row r="122" spans="1:21" ht="14.25">
      <c r="A122" s="27">
        <v>100</v>
      </c>
      <c r="B122" s="28" t="s">
        <v>172</v>
      </c>
      <c r="C122" s="38" t="s">
        <v>26</v>
      </c>
      <c r="D122" s="31">
        <v>4198682418.1799998</v>
      </c>
      <c r="E122" s="31">
        <v>133914181.27</v>
      </c>
      <c r="F122" s="36">
        <v>30472619.890000001</v>
      </c>
      <c r="G122" s="30">
        <v>325293842.5</v>
      </c>
      <c r="H122" s="26">
        <v>5203095255</v>
      </c>
      <c r="I122" s="32">
        <f t="shared" si="72"/>
        <v>0.15539129222825618</v>
      </c>
      <c r="J122" s="36">
        <v>5467902900</v>
      </c>
      <c r="K122" s="32">
        <f t="shared" si="73"/>
        <v>0.17775084352320977</v>
      </c>
      <c r="L122" s="32">
        <f t="shared" ref="L122:L144" si="78">((J122-H122)/H122)</f>
        <v>5.0894252751865099E-2</v>
      </c>
      <c r="M122" s="63">
        <f t="shared" ref="M122:M144" si="79">(F122/J122)</f>
        <v>5.5729994565192446E-3</v>
      </c>
      <c r="N122" s="34">
        <f t="shared" ref="N122:N144" si="80">G122/J122</f>
        <v>5.9491517762687407E-2</v>
      </c>
      <c r="O122" s="35">
        <f t="shared" ref="O122:O144" si="81">J122/U122</f>
        <v>603.25488710780155</v>
      </c>
      <c r="P122" s="35">
        <f t="shared" ref="P122:P144" si="82">G122/U122</f>
        <v>35.888548831801764</v>
      </c>
      <c r="Q122" s="36">
        <v>600.23860000000002</v>
      </c>
      <c r="R122" s="36">
        <v>618.33630000000005</v>
      </c>
      <c r="S122" s="37">
        <v>1948</v>
      </c>
      <c r="T122" s="37">
        <v>9067951</v>
      </c>
      <c r="U122" s="37">
        <v>9064001</v>
      </c>
    </row>
    <row r="123" spans="1:21" ht="14.25">
      <c r="A123" s="27">
        <v>101</v>
      </c>
      <c r="B123" s="28" t="s">
        <v>173</v>
      </c>
      <c r="C123" s="28" t="s">
        <v>111</v>
      </c>
      <c r="D123" s="71">
        <v>1251258038.79</v>
      </c>
      <c r="E123" s="111">
        <v>10112127.73</v>
      </c>
      <c r="F123" s="111">
        <v>2511670.3199999998</v>
      </c>
      <c r="G123" s="30">
        <v>60518148.240000002</v>
      </c>
      <c r="H123" s="26">
        <v>1125385630.03</v>
      </c>
      <c r="I123" s="32">
        <f t="shared" si="72"/>
        <v>3.3609826215928451E-2</v>
      </c>
      <c r="J123" s="36">
        <v>1183279978.28</v>
      </c>
      <c r="K123" s="32">
        <f t="shared" si="73"/>
        <v>3.8466120944356072E-2</v>
      </c>
      <c r="L123" s="32">
        <f t="shared" si="78"/>
        <v>5.1444008795861987E-2</v>
      </c>
      <c r="M123" s="63">
        <f t="shared" si="79"/>
        <v>2.1226340055638653E-3</v>
      </c>
      <c r="N123" s="34">
        <f t="shared" si="80"/>
        <v>5.1144403142837233E-2</v>
      </c>
      <c r="O123" s="35">
        <f t="shared" si="81"/>
        <v>2.7931623970803847</v>
      </c>
      <c r="P123" s="35">
        <f t="shared" si="82"/>
        <v>0.14285462367969282</v>
      </c>
      <c r="Q123" s="55">
        <v>2.7349000000000001</v>
      </c>
      <c r="R123" s="55">
        <v>2.7984</v>
      </c>
      <c r="S123" s="54">
        <v>2762</v>
      </c>
      <c r="T123" s="54">
        <v>424615432.19349998</v>
      </c>
      <c r="U123" s="54">
        <v>423634508.15350002</v>
      </c>
    </row>
    <row r="124" spans="1:21" ht="14.25">
      <c r="A124" s="27">
        <v>102</v>
      </c>
      <c r="B124" s="28" t="s">
        <v>174</v>
      </c>
      <c r="C124" s="28" t="s">
        <v>63</v>
      </c>
      <c r="D124" s="31">
        <v>2677639634.1799998</v>
      </c>
      <c r="E124" s="31">
        <v>69899676.040000007</v>
      </c>
      <c r="F124" s="36">
        <v>6854493.3499999996</v>
      </c>
      <c r="G124" s="30">
        <v>63469822.200000003</v>
      </c>
      <c r="H124" s="26">
        <v>2476024579.8400002</v>
      </c>
      <c r="I124" s="32">
        <f t="shared" si="72"/>
        <v>7.3946879730969417E-2</v>
      </c>
      <c r="J124" s="36">
        <v>2677193555.4099998</v>
      </c>
      <c r="K124" s="32">
        <f t="shared" si="73"/>
        <v>8.7030333466424303E-2</v>
      </c>
      <c r="L124" s="32">
        <f t="shared" si="78"/>
        <v>8.1246760314067301E-2</v>
      </c>
      <c r="M124" s="63">
        <f t="shared" si="79"/>
        <v>2.5603278986491753E-3</v>
      </c>
      <c r="N124" s="34">
        <f t="shared" si="80"/>
        <v>2.3707595616963111E-2</v>
      </c>
      <c r="O124" s="35">
        <f t="shared" si="81"/>
        <v>5007.2430611259006</v>
      </c>
      <c r="P124" s="35">
        <f t="shared" si="82"/>
        <v>118.70969364901735</v>
      </c>
      <c r="Q124" s="36">
        <v>5007.24</v>
      </c>
      <c r="R124" s="36">
        <v>5041.1099999999997</v>
      </c>
      <c r="S124" s="37">
        <v>828</v>
      </c>
      <c r="T124" s="37">
        <v>531121.49</v>
      </c>
      <c r="U124" s="37">
        <v>534664.18999999994</v>
      </c>
    </row>
    <row r="125" spans="1:21" ht="14.25" customHeight="1">
      <c r="A125" s="27">
        <v>103</v>
      </c>
      <c r="B125" s="28" t="s">
        <v>175</v>
      </c>
      <c r="C125" s="38" t="s">
        <v>65</v>
      </c>
      <c r="D125" s="31">
        <v>322908056.45999998</v>
      </c>
      <c r="E125" s="31">
        <v>2328458.29</v>
      </c>
      <c r="F125" s="36">
        <v>697696.78</v>
      </c>
      <c r="G125" s="30">
        <v>25403030.09</v>
      </c>
      <c r="H125" s="26">
        <v>351570070.68000001</v>
      </c>
      <c r="I125" s="32">
        <f t="shared" si="72"/>
        <v>1.0499697759568417E-2</v>
      </c>
      <c r="J125" s="36">
        <v>389833851.67000002</v>
      </c>
      <c r="K125" s="32">
        <f t="shared" si="73"/>
        <v>1.2672737105160432E-2</v>
      </c>
      <c r="L125" s="32">
        <f t="shared" si="78"/>
        <v>0.10883685552638467</v>
      </c>
      <c r="M125" s="63">
        <f t="shared" si="79"/>
        <v>1.7897285651596272E-3</v>
      </c>
      <c r="N125" s="34">
        <f t="shared" si="80"/>
        <v>6.51637357329964E-2</v>
      </c>
      <c r="O125" s="35">
        <f t="shared" si="81"/>
        <v>147.56350269361391</v>
      </c>
      <c r="P125" s="35">
        <f t="shared" si="82"/>
        <v>9.6157890933619594</v>
      </c>
      <c r="Q125" s="36">
        <v>151.9</v>
      </c>
      <c r="R125" s="36">
        <v>153.03</v>
      </c>
      <c r="S125" s="37">
        <v>557</v>
      </c>
      <c r="T125" s="37">
        <v>2553410</v>
      </c>
      <c r="U125" s="37">
        <v>2641804</v>
      </c>
    </row>
    <row r="126" spans="1:21" ht="15" customHeight="1">
      <c r="A126" s="27">
        <v>104</v>
      </c>
      <c r="B126" s="28" t="s">
        <v>176</v>
      </c>
      <c r="C126" s="38" t="s">
        <v>67</v>
      </c>
      <c r="D126" s="31">
        <v>248331135.28999999</v>
      </c>
      <c r="E126" s="31">
        <v>1956454.75</v>
      </c>
      <c r="F126" s="36">
        <v>691169.45</v>
      </c>
      <c r="G126" s="30">
        <v>3676035.92</v>
      </c>
      <c r="H126" s="26">
        <v>331444396.5</v>
      </c>
      <c r="I126" s="32">
        <f t="shared" si="72"/>
        <v>9.8986412029370991E-3</v>
      </c>
      <c r="J126" s="36">
        <v>331444396.5</v>
      </c>
      <c r="K126" s="32">
        <f t="shared" si="73"/>
        <v>1.0774609962242781E-2</v>
      </c>
      <c r="L126" s="32">
        <f t="shared" si="78"/>
        <v>0</v>
      </c>
      <c r="M126" s="63">
        <f t="shared" si="79"/>
        <v>2.0853254944076267E-3</v>
      </c>
      <c r="N126" s="34">
        <f t="shared" si="80"/>
        <v>1.1090958117917675E-2</v>
      </c>
      <c r="O126" s="35">
        <f t="shared" si="81"/>
        <v>137.41595449214111</v>
      </c>
      <c r="P126" s="35">
        <f t="shared" si="82"/>
        <v>1.5240745960060182</v>
      </c>
      <c r="Q126" s="36">
        <v>141.68</v>
      </c>
      <c r="R126" s="36">
        <v>142.58000000000001</v>
      </c>
      <c r="S126" s="37">
        <f>549+27+3</f>
        <v>579</v>
      </c>
      <c r="T126" s="37">
        <v>2411979</v>
      </c>
      <c r="U126" s="37">
        <v>2411979</v>
      </c>
    </row>
    <row r="127" spans="1:21" ht="14.25">
      <c r="A127" s="27">
        <v>105</v>
      </c>
      <c r="B127" s="28" t="s">
        <v>177</v>
      </c>
      <c r="C127" s="38" t="s">
        <v>69</v>
      </c>
      <c r="D127" s="45">
        <v>158051175.84999999</v>
      </c>
      <c r="E127" s="45">
        <v>811181.63</v>
      </c>
      <c r="F127" s="36">
        <v>377443.48</v>
      </c>
      <c r="G127" s="44">
        <v>14238408.5</v>
      </c>
      <c r="H127" s="26">
        <v>136035484.5</v>
      </c>
      <c r="I127" s="32">
        <f t="shared" si="72"/>
        <v>4.0627220316672664E-3</v>
      </c>
      <c r="J127" s="45">
        <v>156159173.36000001</v>
      </c>
      <c r="K127" s="32">
        <f t="shared" si="73"/>
        <v>5.0764297201815979E-3</v>
      </c>
      <c r="L127" s="32">
        <f t="shared" si="78"/>
        <v>0.14792970329737765</v>
      </c>
      <c r="M127" s="63">
        <f t="shared" si="79"/>
        <v>2.4170432762849249E-3</v>
      </c>
      <c r="N127" s="34">
        <f t="shared" si="80"/>
        <v>9.1178815779048891E-2</v>
      </c>
      <c r="O127" s="35">
        <f t="shared" si="81"/>
        <v>1.3951823784925406</v>
      </c>
      <c r="P127" s="35">
        <f t="shared" si="82"/>
        <v>0.12721107706674661</v>
      </c>
      <c r="Q127" s="36">
        <v>1.3884000000000001</v>
      </c>
      <c r="R127" s="36">
        <v>1.4</v>
      </c>
      <c r="S127" s="37">
        <v>225</v>
      </c>
      <c r="T127" s="44">
        <v>107682740.84</v>
      </c>
      <c r="U127" s="44">
        <v>111927426.67</v>
      </c>
    </row>
    <row r="128" spans="1:21" ht="14.25">
      <c r="A128" s="27">
        <v>117</v>
      </c>
      <c r="B128" s="40" t="s">
        <v>295</v>
      </c>
      <c r="C128" s="41" t="s">
        <v>49</v>
      </c>
      <c r="D128" s="31">
        <f>27417170.44+22103475.53+25114441.6</f>
        <v>74635087.569999993</v>
      </c>
      <c r="E128" s="31">
        <v>435247.5</v>
      </c>
      <c r="F128" s="36">
        <v>109016.98</v>
      </c>
      <c r="G128" s="30">
        <v>326230.52</v>
      </c>
      <c r="H128" s="26">
        <v>53570756.509999998</v>
      </c>
      <c r="I128" s="32">
        <f t="shared" si="72"/>
        <v>1.599899419818361E-3</v>
      </c>
      <c r="J128" s="36">
        <v>82608118.099999994</v>
      </c>
      <c r="K128" s="32">
        <f t="shared" si="73"/>
        <v>2.6854285715534436E-3</v>
      </c>
      <c r="L128" s="32">
        <f t="shared" ref="L128" si="83">((J128-H128)/H128)</f>
        <v>0.54203754962055883</v>
      </c>
      <c r="M128" s="63">
        <f t="shared" ref="M128" si="84">(F128/J128)</f>
        <v>1.3196884580766162E-3</v>
      </c>
      <c r="N128" s="34">
        <f t="shared" ref="N128" si="85">G128/J128</f>
        <v>3.9491339047947639E-3</v>
      </c>
      <c r="O128" s="35">
        <f t="shared" ref="O128" si="86">J128/U128</f>
        <v>119.97354001067832</v>
      </c>
      <c r="P128" s="35">
        <f t="shared" ref="P128" si="87">G128/U128</f>
        <v>0.47379157453442095</v>
      </c>
      <c r="Q128" s="36">
        <v>119.878</v>
      </c>
      <c r="R128" s="36">
        <v>120.2045</v>
      </c>
      <c r="S128" s="37">
        <v>57</v>
      </c>
      <c r="T128" s="37">
        <v>688552.81</v>
      </c>
      <c r="U128" s="37">
        <v>688552.81</v>
      </c>
    </row>
    <row r="129" spans="1:21" ht="14.25">
      <c r="A129" s="27">
        <v>106</v>
      </c>
      <c r="B129" s="40" t="s">
        <v>178</v>
      </c>
      <c r="C129" s="41" t="s">
        <v>179</v>
      </c>
      <c r="D129" s="31">
        <v>81732206.859999999</v>
      </c>
      <c r="E129" s="31">
        <v>1313506.32</v>
      </c>
      <c r="F129" s="36">
        <v>365845.35</v>
      </c>
      <c r="G129" s="30">
        <v>947660.97</v>
      </c>
      <c r="H129" s="26">
        <v>170911331.47</v>
      </c>
      <c r="I129" s="32">
        <f t="shared" si="72"/>
        <v>5.1042949152340913E-3</v>
      </c>
      <c r="J129" s="36">
        <v>174893840.34</v>
      </c>
      <c r="K129" s="32">
        <f t="shared" si="73"/>
        <v>5.6854571516711779E-3</v>
      </c>
      <c r="L129" s="32">
        <f t="shared" si="78"/>
        <v>2.330160812478986E-2</v>
      </c>
      <c r="M129" s="63">
        <f t="shared" si="79"/>
        <v>2.0918138071002574E-3</v>
      </c>
      <c r="N129" s="34">
        <f t="shared" si="80"/>
        <v>5.4184925447214862E-3</v>
      </c>
      <c r="O129" s="35">
        <f t="shared" si="81"/>
        <v>111.66798536580694</v>
      </c>
      <c r="P129" s="35">
        <f t="shared" si="82"/>
        <v>0.60507214618869298</v>
      </c>
      <c r="Q129" s="36">
        <v>110.17</v>
      </c>
      <c r="R129" s="36">
        <v>111.67</v>
      </c>
      <c r="S129" s="37">
        <v>47</v>
      </c>
      <c r="T129" s="44">
        <v>1563879</v>
      </c>
      <c r="U129" s="37">
        <v>1566195</v>
      </c>
    </row>
    <row r="130" spans="1:21" ht="14.25">
      <c r="A130" s="27">
        <v>107</v>
      </c>
      <c r="B130" s="28" t="s">
        <v>180</v>
      </c>
      <c r="C130" s="38" t="s">
        <v>74</v>
      </c>
      <c r="D130" s="45" t="s">
        <v>288</v>
      </c>
      <c r="E130" s="31">
        <v>11141715.310000001</v>
      </c>
      <c r="F130" s="36">
        <v>673043.6</v>
      </c>
      <c r="G130" s="30">
        <v>10468671.710000001</v>
      </c>
      <c r="H130" s="26">
        <v>269003219.64999998</v>
      </c>
      <c r="I130" s="32">
        <f t="shared" si="72"/>
        <v>8.0338252263988056E-3</v>
      </c>
      <c r="J130" s="36">
        <v>366261210.38</v>
      </c>
      <c r="K130" s="32">
        <f t="shared" si="73"/>
        <v>1.190643657824955E-2</v>
      </c>
      <c r="L130" s="32">
        <f t="shared" si="78"/>
        <v>0.36154954151308066</v>
      </c>
      <c r="M130" s="63">
        <f t="shared" si="79"/>
        <v>1.8376054600532498E-3</v>
      </c>
      <c r="N130" s="34">
        <f t="shared" si="80"/>
        <v>2.8582529116688717E-2</v>
      </c>
      <c r="O130" s="35">
        <f t="shared" si="81"/>
        <v>1.216408934783771</v>
      </c>
      <c r="P130" s="35">
        <f t="shared" si="82"/>
        <v>3.476804379625744E-2</v>
      </c>
      <c r="Q130" s="36">
        <v>1.22</v>
      </c>
      <c r="R130" s="36">
        <v>1.22</v>
      </c>
      <c r="S130" s="37">
        <v>84</v>
      </c>
      <c r="T130" s="37">
        <v>230990289.34</v>
      </c>
      <c r="U130" s="37">
        <v>301100394.69999999</v>
      </c>
    </row>
    <row r="131" spans="1:21" ht="14.25">
      <c r="A131" s="27">
        <v>108</v>
      </c>
      <c r="B131" s="38" t="s">
        <v>181</v>
      </c>
      <c r="C131" s="38" t="s">
        <v>78</v>
      </c>
      <c r="D131" s="31">
        <v>5829414310.0799999</v>
      </c>
      <c r="E131" s="31">
        <v>30132547.16</v>
      </c>
      <c r="F131" s="45">
        <v>15041412.369999999</v>
      </c>
      <c r="G131" s="45">
        <v>591783629.05999994</v>
      </c>
      <c r="H131" s="26">
        <v>5392859388.6300001</v>
      </c>
      <c r="I131" s="32">
        <f t="shared" si="72"/>
        <v>0.16105862916870609</v>
      </c>
      <c r="J131" s="36">
        <v>5829414310.0799999</v>
      </c>
      <c r="K131" s="32">
        <f t="shared" si="73"/>
        <v>0.18950287337088409</v>
      </c>
      <c r="L131" s="32">
        <f t="shared" si="78"/>
        <v>8.0950547750309881E-2</v>
      </c>
      <c r="M131" s="63">
        <f t="shared" si="79"/>
        <v>2.5802613384317127E-3</v>
      </c>
      <c r="N131" s="34">
        <f t="shared" si="80"/>
        <v>0.10151682443238086</v>
      </c>
      <c r="O131" s="35">
        <f t="shared" si="81"/>
        <v>240.17694764226425</v>
      </c>
      <c r="P131" s="35">
        <f t="shared" si="82"/>
        <v>24.38200102650487</v>
      </c>
      <c r="Q131" s="36">
        <v>240.18</v>
      </c>
      <c r="R131" s="36">
        <v>242.13</v>
      </c>
      <c r="S131" s="37">
        <v>5444</v>
      </c>
      <c r="T131" s="37">
        <v>24261056.379999999</v>
      </c>
      <c r="U131" s="37">
        <v>24271331.48</v>
      </c>
    </row>
    <row r="132" spans="1:21" ht="15" customHeight="1">
      <c r="A132" s="27">
        <v>109</v>
      </c>
      <c r="B132" s="72" t="s">
        <v>182</v>
      </c>
      <c r="C132" s="28" t="s">
        <v>80</v>
      </c>
      <c r="D132" s="31">
        <v>2292667159.8699999</v>
      </c>
      <c r="E132" s="31">
        <v>16060736.640000001</v>
      </c>
      <c r="F132" s="36">
        <v>8083071.9000000004</v>
      </c>
      <c r="G132" s="30">
        <v>7977664.7400000002</v>
      </c>
      <c r="H132" s="26">
        <v>2130170630.4400001</v>
      </c>
      <c r="I132" s="32">
        <f t="shared" si="72"/>
        <v>6.3617894869916369E-2</v>
      </c>
      <c r="J132" s="36">
        <v>2276133824.9699998</v>
      </c>
      <c r="K132" s="32">
        <f t="shared" si="73"/>
        <v>7.3992664968525204E-2</v>
      </c>
      <c r="L132" s="32">
        <f t="shared" si="78"/>
        <v>6.8521832215783632E-2</v>
      </c>
      <c r="M132" s="63">
        <f t="shared" si="79"/>
        <v>3.5512287596299562E-3</v>
      </c>
      <c r="N132" s="34">
        <f t="shared" si="80"/>
        <v>3.5049190221076517E-3</v>
      </c>
      <c r="O132" s="35">
        <f t="shared" si="81"/>
        <v>1.5854063766279702</v>
      </c>
      <c r="P132" s="35">
        <f t="shared" si="82"/>
        <v>5.5567209672141406E-3</v>
      </c>
      <c r="Q132" s="36">
        <v>1.5689</v>
      </c>
      <c r="R132" s="36">
        <v>1.599</v>
      </c>
      <c r="S132" s="37">
        <v>10321</v>
      </c>
      <c r="T132" s="37">
        <v>1437489299.3099999</v>
      </c>
      <c r="U132" s="37">
        <v>1435678485.04</v>
      </c>
    </row>
    <row r="133" spans="1:21" ht="12.75" customHeight="1">
      <c r="A133" s="27">
        <v>110</v>
      </c>
      <c r="B133" s="28" t="s">
        <v>183</v>
      </c>
      <c r="C133" s="38" t="s">
        <v>82</v>
      </c>
      <c r="D133" s="36">
        <v>56154915.299999997</v>
      </c>
      <c r="E133" s="31">
        <v>723443</v>
      </c>
      <c r="F133" s="36">
        <v>254567.39</v>
      </c>
      <c r="G133" s="30">
        <v>468875.64</v>
      </c>
      <c r="H133" s="26">
        <v>149935554.47999999</v>
      </c>
      <c r="I133" s="32">
        <f t="shared" si="72"/>
        <v>4.4778498989073963E-3</v>
      </c>
      <c r="J133" s="36">
        <v>158086008.36000001</v>
      </c>
      <c r="K133" s="32">
        <f t="shared" si="73"/>
        <v>5.1390673625910941E-3</v>
      </c>
      <c r="L133" s="32">
        <f t="shared" si="78"/>
        <v>5.4359714133629458E-2</v>
      </c>
      <c r="M133" s="63">
        <f t="shared" si="79"/>
        <v>1.6103094299167108E-3</v>
      </c>
      <c r="N133" s="34">
        <f t="shared" si="80"/>
        <v>2.9659528054643328E-3</v>
      </c>
      <c r="O133" s="35">
        <f t="shared" si="81"/>
        <v>78.653689261383818</v>
      </c>
      <c r="P133" s="35">
        <f t="shared" si="82"/>
        <v>0.23328313032492118</v>
      </c>
      <c r="Q133" s="36">
        <v>98.74</v>
      </c>
      <c r="R133" s="36">
        <v>103.27</v>
      </c>
      <c r="S133" s="37">
        <v>37</v>
      </c>
      <c r="T133" s="37">
        <v>2009899.47</v>
      </c>
      <c r="U133" s="30">
        <v>2009899.47</v>
      </c>
    </row>
    <row r="134" spans="1:21" ht="16.5" customHeight="1">
      <c r="A134" s="27">
        <v>111</v>
      </c>
      <c r="B134" s="38" t="s">
        <v>184</v>
      </c>
      <c r="C134" s="38" t="s">
        <v>38</v>
      </c>
      <c r="D134" s="104">
        <v>2535495995.3600001</v>
      </c>
      <c r="E134" s="104">
        <v>12278928.74</v>
      </c>
      <c r="F134" s="104">
        <v>6208771.5599999996</v>
      </c>
      <c r="G134" s="104">
        <v>151162622.40000001</v>
      </c>
      <c r="H134" s="26">
        <v>2320246114.9699998</v>
      </c>
      <c r="I134" s="32">
        <f t="shared" si="72"/>
        <v>6.9294530356004275E-2</v>
      </c>
      <c r="J134" s="104">
        <v>2463292256.5700002</v>
      </c>
      <c r="K134" s="32">
        <f t="shared" si="73"/>
        <v>8.0076820027200624E-2</v>
      </c>
      <c r="L134" s="32">
        <f t="shared" si="78"/>
        <v>6.1651279438452992E-2</v>
      </c>
      <c r="M134" s="63">
        <f t="shared" si="79"/>
        <v>2.5205176297859902E-3</v>
      </c>
      <c r="N134" s="34">
        <f t="shared" si="80"/>
        <v>6.1366093283013727E-2</v>
      </c>
      <c r="O134" s="35">
        <f t="shared" si="81"/>
        <v>3.510750834486223</v>
      </c>
      <c r="P134" s="35">
        <f t="shared" si="82"/>
        <v>0.21544106320249984</v>
      </c>
      <c r="Q134" s="36">
        <v>3.63</v>
      </c>
      <c r="R134" s="36">
        <v>3.7</v>
      </c>
      <c r="S134" s="37">
        <v>2199</v>
      </c>
      <c r="T134" s="138">
        <v>704935286.74000001</v>
      </c>
      <c r="U134" s="138">
        <v>701642575.25</v>
      </c>
    </row>
    <row r="135" spans="1:21" ht="14.25">
      <c r="A135" s="27">
        <v>112</v>
      </c>
      <c r="B135" s="38" t="s">
        <v>185</v>
      </c>
      <c r="C135" s="38" t="s">
        <v>122</v>
      </c>
      <c r="D135" s="31">
        <v>178168486.41999999</v>
      </c>
      <c r="E135" s="31">
        <v>5157588.26</v>
      </c>
      <c r="F135" s="128">
        <v>2746216.44</v>
      </c>
      <c r="G135" s="30">
        <v>2411371.8199999998</v>
      </c>
      <c r="H135" s="26">
        <v>172599201.33000001</v>
      </c>
      <c r="I135" s="32">
        <f t="shared" si="72"/>
        <v>5.1547034251314423E-3</v>
      </c>
      <c r="J135" s="36">
        <v>173575254.71000001</v>
      </c>
      <c r="K135" s="32">
        <f t="shared" si="73"/>
        <v>5.6425925082646379E-3</v>
      </c>
      <c r="L135" s="32">
        <f t="shared" si="78"/>
        <v>5.6550283690701203E-3</v>
      </c>
      <c r="M135" s="63">
        <f t="shared" si="79"/>
        <v>1.5821474348911239E-2</v>
      </c>
      <c r="N135" s="34">
        <f t="shared" si="80"/>
        <v>1.3892370914441619E-2</v>
      </c>
      <c r="O135" s="35">
        <f t="shared" si="81"/>
        <v>156.80490150037792</v>
      </c>
      <c r="P135" s="35">
        <f t="shared" si="82"/>
        <v>2.1783918528457336</v>
      </c>
      <c r="Q135" s="36">
        <v>156.8049</v>
      </c>
      <c r="R135" s="36">
        <v>160.95429999999999</v>
      </c>
      <c r="S135" s="37">
        <v>135</v>
      </c>
      <c r="T135" s="37">
        <v>1106768.6200000001</v>
      </c>
      <c r="U135" s="37">
        <v>1106950.44</v>
      </c>
    </row>
    <row r="136" spans="1:21" ht="14.25">
      <c r="A136" s="27">
        <v>113</v>
      </c>
      <c r="B136" s="28" t="s">
        <v>186</v>
      </c>
      <c r="C136" s="38" t="s">
        <v>34</v>
      </c>
      <c r="D136" s="31">
        <v>1430497318.01</v>
      </c>
      <c r="E136" s="45" t="s">
        <v>289</v>
      </c>
      <c r="F136" s="36">
        <v>2725215.52</v>
      </c>
      <c r="G136" s="44">
        <v>26029682.34</v>
      </c>
      <c r="H136" s="26">
        <v>1262375677.99</v>
      </c>
      <c r="I136" s="32">
        <f t="shared" si="72"/>
        <v>3.7701056441717423E-2</v>
      </c>
      <c r="J136" s="104">
        <v>1423791743.95</v>
      </c>
      <c r="K136" s="32">
        <f t="shared" si="73"/>
        <v>4.6284688685399734E-2</v>
      </c>
      <c r="L136" s="32">
        <f t="shared" si="78"/>
        <v>0.12786690109319321</v>
      </c>
      <c r="M136" s="63">
        <f t="shared" si="79"/>
        <v>1.9140548690354696E-3</v>
      </c>
      <c r="N136" s="34">
        <f t="shared" si="80"/>
        <v>1.8281944989922694E-2</v>
      </c>
      <c r="O136" s="35">
        <f t="shared" si="81"/>
        <v>1908.6959500636772</v>
      </c>
      <c r="P136" s="35">
        <f t="shared" si="82"/>
        <v>34.894674361552383</v>
      </c>
      <c r="Q136" s="36">
        <v>552.20000000000005</v>
      </c>
      <c r="R136" s="36">
        <v>552.20000000000005</v>
      </c>
      <c r="S136" s="37">
        <v>830</v>
      </c>
      <c r="T136" s="44">
        <v>745950</v>
      </c>
      <c r="U136" s="37">
        <v>745950</v>
      </c>
    </row>
    <row r="137" spans="1:21" ht="14.25">
      <c r="A137" s="27">
        <v>114</v>
      </c>
      <c r="B137" s="28" t="s">
        <v>187</v>
      </c>
      <c r="C137" s="38" t="s">
        <v>89</v>
      </c>
      <c r="D137" s="104">
        <v>23385722.100000001</v>
      </c>
      <c r="E137" s="31">
        <v>145672.48000000001</v>
      </c>
      <c r="F137" s="36">
        <v>36647.26</v>
      </c>
      <c r="G137" s="30">
        <v>109025.22</v>
      </c>
      <c r="H137" s="26">
        <v>21732892.02</v>
      </c>
      <c r="I137" s="32">
        <f t="shared" si="72"/>
        <v>6.4905638073792227E-4</v>
      </c>
      <c r="J137" s="36">
        <v>22861441.489999998</v>
      </c>
      <c r="K137" s="32">
        <f t="shared" si="73"/>
        <v>7.4318081050854165E-4</v>
      </c>
      <c r="L137" s="32">
        <f t="shared" si="78"/>
        <v>5.1928177297408708E-2</v>
      </c>
      <c r="M137" s="63">
        <f t="shared" si="79"/>
        <v>1.603016153466533E-3</v>
      </c>
      <c r="N137" s="34">
        <f t="shared" si="80"/>
        <v>4.7689565003015922E-3</v>
      </c>
      <c r="O137" s="35">
        <f t="shared" si="81"/>
        <v>1.4176800809716392</v>
      </c>
      <c r="P137" s="35">
        <f t="shared" si="82"/>
        <v>6.7608546374977856E-3</v>
      </c>
      <c r="Q137" s="36">
        <v>1.43</v>
      </c>
      <c r="R137" s="36">
        <v>1.43</v>
      </c>
      <c r="S137" s="37">
        <v>6</v>
      </c>
      <c r="T137" s="54">
        <v>16190952.390000001</v>
      </c>
      <c r="U137" s="37">
        <v>16125952.390000001</v>
      </c>
    </row>
    <row r="138" spans="1:21" ht="14.25">
      <c r="A138" s="27">
        <v>115</v>
      </c>
      <c r="B138" s="38" t="s">
        <v>188</v>
      </c>
      <c r="C138" s="38" t="s">
        <v>43</v>
      </c>
      <c r="D138" s="31">
        <v>194199229.41</v>
      </c>
      <c r="E138" s="31">
        <v>2999445.97</v>
      </c>
      <c r="F138" s="73">
        <v>298512.82</v>
      </c>
      <c r="G138" s="30">
        <v>2700933.15</v>
      </c>
      <c r="H138" s="26">
        <v>182516335.22999999</v>
      </c>
      <c r="I138" s="32">
        <f t="shared" si="72"/>
        <v>5.450880253806788E-3</v>
      </c>
      <c r="J138" s="36">
        <v>196015717.11000001</v>
      </c>
      <c r="K138" s="32">
        <f t="shared" si="73"/>
        <v>6.3720881108019246E-3</v>
      </c>
      <c r="L138" s="32">
        <f t="shared" si="78"/>
        <v>7.396259552871598E-2</v>
      </c>
      <c r="M138" s="63">
        <f t="shared" si="79"/>
        <v>1.5229024712976496E-3</v>
      </c>
      <c r="N138" s="34">
        <f t="shared" si="80"/>
        <v>1.3779166231268543E-2</v>
      </c>
      <c r="O138" s="35">
        <f t="shared" si="81"/>
        <v>1.9896238807927011</v>
      </c>
      <c r="P138" s="35">
        <f t="shared" si="82"/>
        <v>2.7415358191144257E-2</v>
      </c>
      <c r="Q138" s="36">
        <v>1.94</v>
      </c>
      <c r="R138" s="36">
        <v>1.99</v>
      </c>
      <c r="S138" s="37">
        <v>107</v>
      </c>
      <c r="T138" s="37">
        <v>98518980.900000006</v>
      </c>
      <c r="U138" s="37">
        <v>98518980.900000006</v>
      </c>
    </row>
    <row r="139" spans="1:21" ht="14.25">
      <c r="A139" s="27">
        <v>116</v>
      </c>
      <c r="B139" s="28" t="s">
        <v>189</v>
      </c>
      <c r="C139" s="28" t="s">
        <v>47</v>
      </c>
      <c r="D139" s="104">
        <v>1965581723.47</v>
      </c>
      <c r="E139" s="104">
        <v>13230269.380000001</v>
      </c>
      <c r="F139" s="104">
        <v>3520116.85</v>
      </c>
      <c r="G139" s="104">
        <v>112924519.59</v>
      </c>
      <c r="H139" s="26">
        <v>1830139980.24</v>
      </c>
      <c r="I139" s="32">
        <f t="shared" si="72"/>
        <v>5.465743034683089E-2</v>
      </c>
      <c r="J139" s="104">
        <v>1962718539.1800001</v>
      </c>
      <c r="K139" s="32">
        <f t="shared" si="73"/>
        <v>6.3804146181507176E-2</v>
      </c>
      <c r="L139" s="32">
        <f t="shared" si="78"/>
        <v>7.2441758756952593E-2</v>
      </c>
      <c r="M139" s="63">
        <f t="shared" si="79"/>
        <v>1.7934903959640907E-3</v>
      </c>
      <c r="N139" s="34">
        <f t="shared" si="80"/>
        <v>5.7534749550579217E-2</v>
      </c>
      <c r="O139" s="35">
        <f t="shared" si="81"/>
        <v>4394.3500909624345</v>
      </c>
      <c r="P139" s="35">
        <f t="shared" si="82"/>
        <v>252.82783192108866</v>
      </c>
      <c r="Q139" s="36">
        <v>4408.6400000000003</v>
      </c>
      <c r="R139" s="36">
        <v>4373.5</v>
      </c>
      <c r="S139" s="37">
        <v>1586</v>
      </c>
      <c r="T139" s="138">
        <v>446210.68</v>
      </c>
      <c r="U139" s="138">
        <v>446645.92</v>
      </c>
    </row>
    <row r="140" spans="1:21" ht="14.25">
      <c r="A140" s="27">
        <v>118</v>
      </c>
      <c r="B140" s="28" t="s">
        <v>190</v>
      </c>
      <c r="C140" s="28" t="s">
        <v>51</v>
      </c>
      <c r="D140" s="31">
        <v>966527700</v>
      </c>
      <c r="E140" s="31">
        <v>6707003</v>
      </c>
      <c r="F140" s="31">
        <v>2469138</v>
      </c>
      <c r="G140" s="30">
        <v>98240139</v>
      </c>
      <c r="H140" s="26">
        <v>1096471358.3699999</v>
      </c>
      <c r="I140" s="32">
        <f t="shared" si="72"/>
        <v>3.2746296755696368E-2</v>
      </c>
      <c r="J140" s="36">
        <v>1341514767.02</v>
      </c>
      <c r="K140" s="32">
        <f t="shared" si="73"/>
        <v>4.3610024866507273E-2</v>
      </c>
      <c r="L140" s="32">
        <f t="shared" si="78"/>
        <v>0.22348363847303632</v>
      </c>
      <c r="M140" s="63">
        <f t="shared" si="79"/>
        <v>1.8405596872294353E-3</v>
      </c>
      <c r="N140" s="34">
        <f t="shared" si="80"/>
        <v>7.3230754826670783E-2</v>
      </c>
      <c r="O140" s="35">
        <f t="shared" si="81"/>
        <v>1.5493737010971733</v>
      </c>
      <c r="P140" s="35">
        <f t="shared" si="82"/>
        <v>0.11346180563993861</v>
      </c>
      <c r="Q140" s="36">
        <v>1.55</v>
      </c>
      <c r="R140" s="36">
        <v>1.58</v>
      </c>
      <c r="S140" s="37">
        <v>1374</v>
      </c>
      <c r="T140" s="37">
        <v>793852857</v>
      </c>
      <c r="U140" s="37">
        <v>865843254</v>
      </c>
    </row>
    <row r="141" spans="1:21" ht="14.25">
      <c r="A141" s="27">
        <v>119</v>
      </c>
      <c r="B141" s="56" t="s">
        <v>191</v>
      </c>
      <c r="C141" s="28" t="s">
        <v>96</v>
      </c>
      <c r="D141" s="123">
        <v>5448667852.9300003</v>
      </c>
      <c r="E141" s="45">
        <v>201681619.25</v>
      </c>
      <c r="F141" s="45">
        <v>11130458.24</v>
      </c>
      <c r="G141" s="44">
        <v>1265301851.47</v>
      </c>
      <c r="H141" s="26">
        <v>4922198522.8400002</v>
      </c>
      <c r="I141" s="32">
        <f t="shared" si="72"/>
        <v>0.14700226530219873</v>
      </c>
      <c r="J141" s="45" t="s">
        <v>267</v>
      </c>
      <c r="K141" s="32">
        <f t="shared" si="73"/>
        <v>0.20139871075345353</v>
      </c>
      <c r="L141" s="32">
        <f t="shared" si="78"/>
        <v>0.25865493708600357</v>
      </c>
      <c r="M141" s="63">
        <f t="shared" si="79"/>
        <v>1.7965827900657786E-3</v>
      </c>
      <c r="N141" s="34">
        <f t="shared" si="80"/>
        <v>0.20423413677794525</v>
      </c>
      <c r="O141" s="35">
        <f t="shared" si="81"/>
        <v>276.83925824120695</v>
      </c>
      <c r="P141" s="35">
        <f t="shared" si="82"/>
        <v>56.540026933139565</v>
      </c>
      <c r="Q141" s="36">
        <v>273.14</v>
      </c>
      <c r="R141" s="36">
        <v>279.22000000000003</v>
      </c>
      <c r="S141" s="37">
        <v>28</v>
      </c>
      <c r="T141" s="44" t="s">
        <v>268</v>
      </c>
      <c r="U141" s="44" t="s">
        <v>269</v>
      </c>
    </row>
    <row r="142" spans="1:21" ht="14.25">
      <c r="A142" s="27">
        <v>120</v>
      </c>
      <c r="B142" s="28" t="s">
        <v>192</v>
      </c>
      <c r="C142" s="28" t="s">
        <v>51</v>
      </c>
      <c r="D142" s="45">
        <v>474976595.75</v>
      </c>
      <c r="E142" s="45">
        <v>7353201.4299999997</v>
      </c>
      <c r="F142" s="45">
        <v>1336080</v>
      </c>
      <c r="G142" s="129">
        <v>37278807</v>
      </c>
      <c r="H142" s="26">
        <v>709247453</v>
      </c>
      <c r="I142" s="32">
        <f t="shared" si="72"/>
        <v>2.118179138184342E-2</v>
      </c>
      <c r="J142" s="45">
        <v>761658441</v>
      </c>
      <c r="K142" s="32">
        <f t="shared" si="73"/>
        <v>2.4760028266837528E-2</v>
      </c>
      <c r="L142" s="32">
        <f t="shared" si="78"/>
        <v>7.389661785644791E-2</v>
      </c>
      <c r="M142" s="63">
        <f t="shared" si="79"/>
        <v>1.7541721171576959E-3</v>
      </c>
      <c r="N142" s="34">
        <f t="shared" si="80"/>
        <v>4.8944257679407771E-2</v>
      </c>
      <c r="O142" s="35">
        <f t="shared" si="81"/>
        <v>1.2613920787975952</v>
      </c>
      <c r="P142" s="35">
        <f t="shared" si="82"/>
        <v>6.1737898939433329E-2</v>
      </c>
      <c r="Q142" s="36">
        <v>1.26</v>
      </c>
      <c r="R142" s="36">
        <v>1.27</v>
      </c>
      <c r="S142" s="37">
        <v>105</v>
      </c>
      <c r="T142" s="37">
        <v>554637471</v>
      </c>
      <c r="U142" s="37">
        <v>603823707</v>
      </c>
    </row>
    <row r="143" spans="1:21" ht="14.25">
      <c r="A143" s="27">
        <v>121</v>
      </c>
      <c r="B143" s="28" t="s">
        <v>193</v>
      </c>
      <c r="C143" s="28" t="s">
        <v>45</v>
      </c>
      <c r="D143" s="31">
        <v>241304740.59</v>
      </c>
      <c r="E143" s="31">
        <v>22393338.300000001</v>
      </c>
      <c r="F143" s="36">
        <v>440486.31</v>
      </c>
      <c r="G143" s="30">
        <v>21952851.989999998</v>
      </c>
      <c r="H143" s="26">
        <v>223790407.84</v>
      </c>
      <c r="I143" s="32">
        <f t="shared" si="72"/>
        <v>6.6835371943514557E-3</v>
      </c>
      <c r="J143" s="36">
        <v>239757115.62</v>
      </c>
      <c r="K143" s="32">
        <f t="shared" si="73"/>
        <v>7.7940355418796362E-3</v>
      </c>
      <c r="L143" s="32">
        <f t="shared" si="78"/>
        <v>7.1346703078603232E-2</v>
      </c>
      <c r="M143" s="63">
        <f t="shared" si="79"/>
        <v>1.8372189240804147E-3</v>
      </c>
      <c r="N143" s="34">
        <f t="shared" si="80"/>
        <v>9.1562879930512223E-2</v>
      </c>
      <c r="O143" s="35">
        <f t="shared" si="81"/>
        <v>185.31134521609482</v>
      </c>
      <c r="P143" s="35">
        <f t="shared" si="82"/>
        <v>16.967640451782994</v>
      </c>
      <c r="Q143" s="36">
        <v>180</v>
      </c>
      <c r="R143" s="36">
        <v>185.65</v>
      </c>
      <c r="S143" s="37">
        <v>731</v>
      </c>
      <c r="T143" s="37">
        <v>1293750</v>
      </c>
      <c r="U143" s="37">
        <v>1293807</v>
      </c>
    </row>
    <row r="144" spans="1:21" ht="14.25">
      <c r="A144" s="27">
        <v>122</v>
      </c>
      <c r="B144" s="28" t="s">
        <v>194</v>
      </c>
      <c r="C144" s="28" t="s">
        <v>100</v>
      </c>
      <c r="D144" s="36">
        <v>2978414755.3099999</v>
      </c>
      <c r="E144" s="45">
        <v>14037180.119999999</v>
      </c>
      <c r="F144" s="123">
        <v>88471023.659999996</v>
      </c>
      <c r="G144" s="123">
        <v>95431421.709999993</v>
      </c>
      <c r="H144" s="26">
        <v>2772303426.9499998</v>
      </c>
      <c r="I144" s="32">
        <f t="shared" si="72"/>
        <v>8.2795296040103619E-2</v>
      </c>
      <c r="J144" s="104">
        <v>2892124803.3800001</v>
      </c>
      <c r="K144" s="32">
        <f t="shared" si="73"/>
        <v>9.4017328540196315E-2</v>
      </c>
      <c r="L144" s="32">
        <f t="shared" si="78"/>
        <v>4.3220873756168884E-2</v>
      </c>
      <c r="M144" s="63">
        <f t="shared" si="79"/>
        <v>3.0590320153751564E-2</v>
      </c>
      <c r="N144" s="34">
        <f t="shared" si="80"/>
        <v>3.2996992936981891E-2</v>
      </c>
      <c r="O144" s="35">
        <f t="shared" si="81"/>
        <v>16.169711768202191</v>
      </c>
      <c r="P144" s="35">
        <f t="shared" si="82"/>
        <v>0.53355186500840068</v>
      </c>
      <c r="Q144" s="45" t="s">
        <v>270</v>
      </c>
      <c r="R144" s="45" t="s">
        <v>271</v>
      </c>
      <c r="S144" s="44" t="s">
        <v>272</v>
      </c>
      <c r="T144" s="144">
        <v>178953093.06999999</v>
      </c>
      <c r="U144" s="144">
        <v>178860628.12</v>
      </c>
    </row>
    <row r="145" spans="1:21" ht="15.75" customHeight="1">
      <c r="A145" s="158" t="s">
        <v>52</v>
      </c>
      <c r="B145" s="158"/>
      <c r="C145" s="158"/>
      <c r="D145" s="158"/>
      <c r="E145" s="158"/>
      <c r="F145" s="158"/>
      <c r="G145" s="158"/>
      <c r="H145" s="57">
        <f>SUM(H121:H144)</f>
        <v>33483827699.670002</v>
      </c>
      <c r="I145" s="47">
        <f>(H145/$H$167)</f>
        <v>2.0545870565117846E-2</v>
      </c>
      <c r="J145" s="57">
        <f>SUM(J121:J144)</f>
        <v>30761614356.480003</v>
      </c>
      <c r="K145" s="47">
        <f>(J145/$J$167)</f>
        <v>1.6919750904362173E-2</v>
      </c>
      <c r="L145" s="58">
        <f t="shared" ref="L145" si="88">((J145-H145)/H145)</f>
        <v>-8.1299347482212347E-2</v>
      </c>
      <c r="M145" s="59"/>
      <c r="N145" s="60"/>
      <c r="O145" s="68"/>
      <c r="P145" s="68"/>
      <c r="Q145" s="57"/>
      <c r="R145" s="57"/>
      <c r="S145" s="62">
        <f>SUM(S121:S144)</f>
        <v>41808</v>
      </c>
      <c r="T145" s="62"/>
      <c r="U145" s="74"/>
    </row>
    <row r="146" spans="1:21" ht="6" customHeight="1">
      <c r="A146" s="159"/>
      <c r="B146" s="159"/>
      <c r="C146" s="159"/>
      <c r="D146" s="159"/>
      <c r="E146" s="159"/>
      <c r="F146" s="159"/>
      <c r="G146" s="159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59"/>
      <c r="S146" s="159"/>
      <c r="T146" s="159"/>
      <c r="U146" s="159"/>
    </row>
    <row r="147" spans="1:21">
      <c r="A147" s="157" t="s">
        <v>195</v>
      </c>
      <c r="B147" s="157"/>
      <c r="C147" s="157"/>
      <c r="D147" s="157"/>
      <c r="E147" s="157"/>
      <c r="F147" s="157"/>
      <c r="G147" s="157"/>
      <c r="H147" s="157"/>
      <c r="I147" s="157"/>
      <c r="J147" s="157"/>
      <c r="K147" s="157"/>
      <c r="L147" s="157"/>
      <c r="M147" s="157"/>
      <c r="N147" s="157"/>
      <c r="O147" s="157"/>
      <c r="P147" s="157"/>
      <c r="Q147" s="157"/>
      <c r="R147" s="157"/>
      <c r="S147" s="157"/>
      <c r="T147" s="157"/>
      <c r="U147" s="157"/>
    </row>
    <row r="148" spans="1:21" ht="14.25">
      <c r="A148" s="27">
        <v>123</v>
      </c>
      <c r="B148" s="38" t="s">
        <v>196</v>
      </c>
      <c r="C148" s="38" t="s">
        <v>26</v>
      </c>
      <c r="D148" s="36">
        <v>499415689.54000002</v>
      </c>
      <c r="E148" s="36">
        <v>2582298.48</v>
      </c>
      <c r="F148" s="29">
        <v>2045914.19</v>
      </c>
      <c r="G148" s="30">
        <v>21832137.969999999</v>
      </c>
      <c r="H148" s="26">
        <v>550893305</v>
      </c>
      <c r="I148" s="32">
        <f>(H148/$H$151)</f>
        <v>0.17156362574565159</v>
      </c>
      <c r="J148" s="36">
        <v>564012366</v>
      </c>
      <c r="K148" s="32">
        <f>(J148/$J$151)</f>
        <v>0.20146289590112249</v>
      </c>
      <c r="L148" s="32">
        <f>((J148-H148)/H148)</f>
        <v>2.3814159440547204E-2</v>
      </c>
      <c r="M148" s="63">
        <f>(F148/J148)</f>
        <v>3.6274278957919158E-3</v>
      </c>
      <c r="N148" s="34">
        <f>G148/J148</f>
        <v>3.8708615778824958E-2</v>
      </c>
      <c r="O148" s="35">
        <f>J148/U148</f>
        <v>48.331976325734608</v>
      </c>
      <c r="P148" s="35">
        <f>G148/U148</f>
        <v>1.8708639014241253</v>
      </c>
      <c r="Q148" s="36">
        <v>48.090299999999999</v>
      </c>
      <c r="R148" s="36">
        <v>49.540300000000002</v>
      </c>
      <c r="S148" s="37">
        <v>245</v>
      </c>
      <c r="T148" s="37">
        <v>11508458</v>
      </c>
      <c r="U148" s="37">
        <v>11669549</v>
      </c>
    </row>
    <row r="149" spans="1:21" ht="14.25">
      <c r="A149" s="27">
        <v>124</v>
      </c>
      <c r="B149" s="38" t="s">
        <v>197</v>
      </c>
      <c r="C149" s="28" t="s">
        <v>47</v>
      </c>
      <c r="D149" s="104">
        <v>2255829256.3800001</v>
      </c>
      <c r="E149" s="104">
        <v>11168954.9</v>
      </c>
      <c r="F149" s="104">
        <v>7356087.4500000002</v>
      </c>
      <c r="G149" s="104">
        <v>208497061.74000001</v>
      </c>
      <c r="H149" s="26">
        <v>2024786704.73</v>
      </c>
      <c r="I149" s="32">
        <f>(H149/$H$151)</f>
        <v>0.63057536781113877</v>
      </c>
      <c r="J149" s="104">
        <v>2235571961.8099999</v>
      </c>
      <c r="K149" s="32">
        <f t="shared" ref="K149:K150" si="89">(J149/$J$151)</f>
        <v>0.79853710409887746</v>
      </c>
      <c r="L149" s="32">
        <f t="shared" ref="L149:L151" si="90">((J149-H149)/H149)</f>
        <v>0.10410245019270194</v>
      </c>
      <c r="M149" s="63">
        <f t="shared" ref="M149:M150" si="91">(F149/J149)</f>
        <v>3.2904722261967562E-3</v>
      </c>
      <c r="N149" s="34">
        <f t="shared" ref="N149:N150" si="92">G149/J149</f>
        <v>9.3263408783850213E-2</v>
      </c>
      <c r="O149" s="35">
        <f t="shared" ref="O149:O150" si="93">J149/U149</f>
        <v>1.8109572021288292</v>
      </c>
      <c r="P149" s="35">
        <f t="shared" ref="P149:P150" si="94">G149/U149</f>
        <v>0.16889604183219864</v>
      </c>
      <c r="Q149" s="36">
        <v>1.8</v>
      </c>
      <c r="R149" s="36">
        <v>1.82</v>
      </c>
      <c r="S149" s="37">
        <v>9345</v>
      </c>
      <c r="T149" s="138">
        <v>2235571961.8099999</v>
      </c>
      <c r="U149" s="138">
        <v>1234469792.6500001</v>
      </c>
    </row>
    <row r="150" spans="1:21" ht="14.25">
      <c r="A150" s="27">
        <v>125</v>
      </c>
      <c r="B150" s="38" t="s">
        <v>198</v>
      </c>
      <c r="C150" s="28" t="s">
        <v>100</v>
      </c>
      <c r="D150" s="45" t="s">
        <v>273</v>
      </c>
      <c r="E150" s="45" t="s">
        <v>274</v>
      </c>
      <c r="F150" s="122" t="s">
        <v>275</v>
      </c>
      <c r="G150" s="123">
        <v>10281321.6</v>
      </c>
      <c r="H150" s="26">
        <v>635334578.03999996</v>
      </c>
      <c r="I150" s="32">
        <f>(H150/$H$151)</f>
        <v>0.19786100644320959</v>
      </c>
      <c r="J150" s="45" t="s">
        <v>276</v>
      </c>
      <c r="K150" s="32">
        <f t="shared" si="89"/>
        <v>0.24233265798809087</v>
      </c>
      <c r="L150" s="32">
        <f t="shared" si="90"/>
        <v>6.7832186173387696E-2</v>
      </c>
      <c r="M150" s="63">
        <f t="shared" si="91"/>
        <v>3.4430814314269836E-2</v>
      </c>
      <c r="N150" s="34">
        <f t="shared" si="92"/>
        <v>1.5154563947260759E-2</v>
      </c>
      <c r="O150" s="35">
        <f t="shared" si="93"/>
        <v>18.590073679460097</v>
      </c>
      <c r="P150" s="35">
        <f t="shared" si="94"/>
        <v>0.28172446035966719</v>
      </c>
      <c r="Q150" s="45" t="s">
        <v>277</v>
      </c>
      <c r="R150" s="45" t="s">
        <v>278</v>
      </c>
      <c r="S150" s="44" t="s">
        <v>279</v>
      </c>
      <c r="T150" s="44" t="s">
        <v>280</v>
      </c>
      <c r="U150" s="44" t="s">
        <v>281</v>
      </c>
    </row>
    <row r="151" spans="1:21" ht="15.75" customHeight="1">
      <c r="A151" s="158" t="s">
        <v>52</v>
      </c>
      <c r="B151" s="158"/>
      <c r="C151" s="158"/>
      <c r="D151" s="158"/>
      <c r="E151" s="158"/>
      <c r="F151" s="158"/>
      <c r="G151" s="158"/>
      <c r="H151" s="57">
        <f t="shared" ref="H151" si="95">SUM(H148:H150)</f>
        <v>3211014587.77</v>
      </c>
      <c r="I151" s="47">
        <f>(H151/$H$167)</f>
        <v>1.9702971444832112E-3</v>
      </c>
      <c r="J151" s="57">
        <f>SUM(J148:J150)</f>
        <v>2799584327.8099999</v>
      </c>
      <c r="K151" s="47">
        <f>(J151/$J$167)</f>
        <v>1.5398499218336108E-3</v>
      </c>
      <c r="L151" s="58">
        <f t="shared" si="90"/>
        <v>-0.12813092208520049</v>
      </c>
      <c r="M151" s="63"/>
      <c r="N151" s="75"/>
      <c r="O151" s="68"/>
      <c r="P151" s="68"/>
      <c r="Q151" s="57"/>
      <c r="R151" s="57"/>
      <c r="S151" s="62">
        <f>SUM(S148:S150)</f>
        <v>9590</v>
      </c>
      <c r="T151" s="62"/>
      <c r="U151" s="74"/>
    </row>
    <row r="152" spans="1:21" ht="8.25" customHeight="1">
      <c r="A152" s="153"/>
      <c r="B152" s="153"/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  <c r="Q152" s="153"/>
      <c r="R152" s="153"/>
      <c r="S152" s="153"/>
      <c r="T152" s="153"/>
      <c r="U152" s="153"/>
    </row>
    <row r="153" spans="1:21">
      <c r="A153" s="154" t="s">
        <v>199</v>
      </c>
      <c r="B153" s="154"/>
      <c r="C153" s="154"/>
      <c r="D153" s="154"/>
      <c r="E153" s="154"/>
      <c r="F153" s="154"/>
      <c r="G153" s="154"/>
      <c r="H153" s="154"/>
      <c r="I153" s="154"/>
      <c r="J153" s="154"/>
      <c r="K153" s="154"/>
      <c r="L153" s="154"/>
      <c r="M153" s="154"/>
      <c r="N153" s="154"/>
      <c r="O153" s="154"/>
      <c r="P153" s="154"/>
      <c r="Q153" s="154"/>
      <c r="R153" s="154"/>
      <c r="S153" s="154"/>
      <c r="T153" s="154"/>
      <c r="U153" s="154"/>
    </row>
    <row r="154" spans="1:21" ht="13.5" customHeight="1">
      <c r="A154" s="155" t="s">
        <v>200</v>
      </c>
      <c r="B154" s="155"/>
      <c r="C154" s="155"/>
      <c r="D154" s="155"/>
      <c r="E154" s="155"/>
      <c r="F154" s="155"/>
      <c r="G154" s="155"/>
      <c r="H154" s="155"/>
      <c r="I154" s="155"/>
      <c r="J154" s="155"/>
      <c r="K154" s="155"/>
      <c r="L154" s="155"/>
      <c r="M154" s="155"/>
      <c r="N154" s="155"/>
      <c r="O154" s="155"/>
      <c r="P154" s="155"/>
      <c r="Q154" s="155"/>
      <c r="R154" s="155"/>
      <c r="S154" s="155"/>
      <c r="T154" s="155"/>
      <c r="U154" s="155"/>
    </row>
    <row r="155" spans="1:21" ht="15" customHeight="1">
      <c r="A155" s="27">
        <v>126</v>
      </c>
      <c r="B155" s="38" t="s">
        <v>201</v>
      </c>
      <c r="C155" s="28" t="s">
        <v>125</v>
      </c>
      <c r="D155" s="76">
        <v>3309995399.0599999</v>
      </c>
      <c r="E155" s="31">
        <v>47950785.009999998</v>
      </c>
      <c r="F155" s="29">
        <v>15214413.140000001</v>
      </c>
      <c r="G155" s="30">
        <v>110564015.70999999</v>
      </c>
      <c r="H155" s="25">
        <v>3245282917.23</v>
      </c>
      <c r="I155" s="32">
        <f>(H155/$H$166)</f>
        <v>0.12733777351394532</v>
      </c>
      <c r="J155" s="31">
        <v>3622648512.77</v>
      </c>
      <c r="K155" s="32">
        <f>(J155/$J$166)</f>
        <v>0.13939828628477385</v>
      </c>
      <c r="L155" s="32">
        <f>((J155-H155)/H155)</f>
        <v>0.1162812627325876</v>
      </c>
      <c r="M155" s="63">
        <f>(F155/J155)</f>
        <v>4.1998038414073312E-3</v>
      </c>
      <c r="N155" s="34">
        <f>G155/J155</f>
        <v>3.0520216167882926E-2</v>
      </c>
      <c r="O155" s="35">
        <f>J155/U155</f>
        <v>1.7919114737955326</v>
      </c>
      <c r="P155" s="35">
        <f>G155/U155</f>
        <v>5.4689525533949339E-2</v>
      </c>
      <c r="Q155" s="31">
        <v>1.76</v>
      </c>
      <c r="R155" s="31">
        <v>1.79</v>
      </c>
      <c r="S155" s="67">
        <v>15345</v>
      </c>
      <c r="T155" s="67">
        <v>2031466540.53</v>
      </c>
      <c r="U155" s="37">
        <v>2021667122.3699999</v>
      </c>
    </row>
    <row r="156" spans="1:21" ht="14.25">
      <c r="A156" s="27">
        <v>127</v>
      </c>
      <c r="B156" s="28" t="s">
        <v>202</v>
      </c>
      <c r="C156" s="28" t="s">
        <v>47</v>
      </c>
      <c r="D156" s="104">
        <v>378696286.29000002</v>
      </c>
      <c r="E156" s="104">
        <v>1009582.74</v>
      </c>
      <c r="F156" s="104">
        <v>798293.09</v>
      </c>
      <c r="G156" s="104">
        <v>25378217.289999999</v>
      </c>
      <c r="H156" s="26">
        <v>346152219.02999997</v>
      </c>
      <c r="I156" s="32">
        <f>(H156/$H$166)</f>
        <v>1.3582252762669632E-2</v>
      </c>
      <c r="J156" s="104">
        <v>381416849.20999998</v>
      </c>
      <c r="K156" s="32">
        <f>(J156/$J$166)</f>
        <v>1.4676791014250864E-2</v>
      </c>
      <c r="L156" s="32">
        <f>((J156-H156)/H156)</f>
        <v>0.10187607717442865</v>
      </c>
      <c r="M156" s="63">
        <f>(F156/J156)</f>
        <v>2.0929675541430442E-3</v>
      </c>
      <c r="N156" s="34">
        <f>G156/J156</f>
        <v>6.6536696904093223E-2</v>
      </c>
      <c r="O156" s="35">
        <f>J156/U156</f>
        <v>320.04185600905782</v>
      </c>
      <c r="P156" s="35">
        <f>G156/U156</f>
        <v>21.294527969898127</v>
      </c>
      <c r="Q156" s="36">
        <v>317.69</v>
      </c>
      <c r="R156" s="36">
        <v>321.64999999999998</v>
      </c>
      <c r="S156" s="37">
        <v>564</v>
      </c>
      <c r="T156" s="138">
        <v>1158959.54</v>
      </c>
      <c r="U156" s="138">
        <v>1191771.77</v>
      </c>
    </row>
    <row r="157" spans="1:21" ht="7.5" customHeight="1">
      <c r="A157" s="153"/>
      <c r="B157" s="153"/>
      <c r="C157" s="153"/>
      <c r="D157" s="153"/>
      <c r="E157" s="153"/>
      <c r="F157" s="153"/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  <c r="S157" s="153"/>
      <c r="T157" s="153"/>
      <c r="U157" s="153"/>
    </row>
    <row r="158" spans="1:21">
      <c r="A158" s="156" t="s">
        <v>154</v>
      </c>
      <c r="B158" s="156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  <c r="M158" s="156"/>
      <c r="N158" s="156"/>
      <c r="O158" s="156"/>
      <c r="P158" s="156"/>
      <c r="Q158" s="156"/>
      <c r="R158" s="156"/>
      <c r="S158" s="156"/>
      <c r="T158" s="156"/>
      <c r="U158" s="156"/>
    </row>
    <row r="159" spans="1:21" ht="14.25">
      <c r="A159" s="27">
        <v>128</v>
      </c>
      <c r="B159" s="38" t="s">
        <v>203</v>
      </c>
      <c r="C159" s="28" t="s">
        <v>204</v>
      </c>
      <c r="D159" s="130">
        <v>422402881</v>
      </c>
      <c r="E159" s="36">
        <v>4739923</v>
      </c>
      <c r="F159" s="30">
        <v>794128</v>
      </c>
      <c r="G159" s="131">
        <v>3945796</v>
      </c>
      <c r="H159" s="26">
        <v>505733680.45319992</v>
      </c>
      <c r="I159" s="32">
        <f>(H159/$H$166)</f>
        <v>1.984387879343694E-2</v>
      </c>
      <c r="J159" s="36">
        <v>469678998</v>
      </c>
      <c r="K159" s="32">
        <f>(J159/$J$166)</f>
        <v>1.8073088568862361E-2</v>
      </c>
      <c r="L159" s="32">
        <f t="shared" ref="L159:L166" si="96">((J159-H159)/H159)</f>
        <v>-7.1291835696785058E-2</v>
      </c>
      <c r="M159" s="63">
        <f t="shared" ref="M159:M165" si="97">(F159/J159)</f>
        <v>1.6907888225396019E-3</v>
      </c>
      <c r="N159" s="34">
        <f t="shared" ref="N159:N165" si="98">G159/J159</f>
        <v>8.4010484113662669E-3</v>
      </c>
      <c r="O159" s="35">
        <f t="shared" ref="O159:O165" si="99">J159/U159</f>
        <v>1032.9130638446668</v>
      </c>
      <c r="P159" s="35">
        <f t="shared" ref="P159:P165" si="100">G159/U159</f>
        <v>8.6775526540917021</v>
      </c>
      <c r="Q159" s="36">
        <v>1032.9100000000001</v>
      </c>
      <c r="R159" s="36">
        <v>1032.9100000000001</v>
      </c>
      <c r="S159" s="54">
        <v>22</v>
      </c>
      <c r="T159" s="37">
        <v>483315</v>
      </c>
      <c r="U159" s="37">
        <v>454713</v>
      </c>
    </row>
    <row r="160" spans="1:21" ht="15" customHeight="1">
      <c r="A160" s="27">
        <v>129</v>
      </c>
      <c r="B160" s="38" t="s">
        <v>205</v>
      </c>
      <c r="C160" s="41" t="s">
        <v>65</v>
      </c>
      <c r="D160" s="36">
        <v>19345806.809999999</v>
      </c>
      <c r="E160" s="36">
        <v>458763.11</v>
      </c>
      <c r="F160" s="36">
        <v>247780.05</v>
      </c>
      <c r="G160" s="30">
        <v>210983.06</v>
      </c>
      <c r="H160" s="26">
        <v>58999829.289999999</v>
      </c>
      <c r="I160" s="32">
        <f t="shared" ref="I160:I165" si="101">(H160/$H$166)</f>
        <v>2.3150237101374422E-3</v>
      </c>
      <c r="J160" s="111">
        <v>59227588.950000003</v>
      </c>
      <c r="K160" s="32">
        <f t="shared" ref="K160:K165" si="102">(J160/$J$166)</f>
        <v>2.2790575379602641E-3</v>
      </c>
      <c r="L160" s="32">
        <f t="shared" si="96"/>
        <v>3.8603443898202485E-3</v>
      </c>
      <c r="M160" s="63">
        <f t="shared" si="97"/>
        <v>4.1835241716352183E-3</v>
      </c>
      <c r="N160" s="34">
        <f t="shared" si="98"/>
        <v>3.562242930032356E-3</v>
      </c>
      <c r="O160" s="35">
        <f t="shared" si="99"/>
        <v>103.79660601249185</v>
      </c>
      <c r="P160" s="35">
        <f t="shared" si="100"/>
        <v>0.36974872592935304</v>
      </c>
      <c r="Q160" s="36">
        <v>103.89</v>
      </c>
      <c r="R160" s="36">
        <v>103.89</v>
      </c>
      <c r="S160" s="54">
        <v>51</v>
      </c>
      <c r="T160" s="37">
        <v>572647</v>
      </c>
      <c r="U160" s="37">
        <v>570612</v>
      </c>
    </row>
    <row r="161" spans="1:21" ht="15" customHeight="1">
      <c r="A161" s="27">
        <v>130</v>
      </c>
      <c r="B161" s="38" t="s">
        <v>206</v>
      </c>
      <c r="C161" s="41" t="s">
        <v>179</v>
      </c>
      <c r="D161" s="36">
        <v>34234127.840000004</v>
      </c>
      <c r="E161" s="36">
        <v>544359.38</v>
      </c>
      <c r="F161" s="36">
        <v>135932.59</v>
      </c>
      <c r="G161" s="30">
        <v>408426.79</v>
      </c>
      <c r="H161" s="26">
        <v>51976634.969999999</v>
      </c>
      <c r="I161" s="32">
        <f t="shared" si="101"/>
        <v>2.0394489912380718E-3</v>
      </c>
      <c r="J161" s="36">
        <v>52573938.920000002</v>
      </c>
      <c r="K161" s="32">
        <f t="shared" si="102"/>
        <v>2.0230273411440043E-3</v>
      </c>
      <c r="L161" s="32">
        <f t="shared" si="96"/>
        <v>1.1491777994954008E-2</v>
      </c>
      <c r="M161" s="63">
        <f t="shared" si="97"/>
        <v>2.585550803162077E-3</v>
      </c>
      <c r="N161" s="34">
        <f t="shared" si="98"/>
        <v>7.768616892515688E-3</v>
      </c>
      <c r="O161" s="35">
        <f t="shared" si="99"/>
        <v>105.79811304276082</v>
      </c>
      <c r="P161" s="35">
        <f t="shared" si="100"/>
        <v>0.8219050081802759</v>
      </c>
      <c r="Q161" s="36">
        <v>101.06</v>
      </c>
      <c r="R161" s="36">
        <v>105.8</v>
      </c>
      <c r="S161" s="54">
        <v>5</v>
      </c>
      <c r="T161" s="37">
        <v>499311</v>
      </c>
      <c r="U161" s="37">
        <v>496927</v>
      </c>
    </row>
    <row r="162" spans="1:21" ht="15" customHeight="1">
      <c r="A162" s="27">
        <v>131</v>
      </c>
      <c r="B162" s="28" t="s">
        <v>207</v>
      </c>
      <c r="C162" s="28" t="s">
        <v>78</v>
      </c>
      <c r="D162" s="45" t="s">
        <v>282</v>
      </c>
      <c r="E162" s="45" t="s">
        <v>283</v>
      </c>
      <c r="F162" s="45" t="s">
        <v>284</v>
      </c>
      <c r="G162" s="44" t="s">
        <v>285</v>
      </c>
      <c r="H162" s="26">
        <v>9389865595.7999992</v>
      </c>
      <c r="I162" s="32">
        <f t="shared" si="101"/>
        <v>0.36843770144543819</v>
      </c>
      <c r="J162" s="45">
        <v>9208704373.3500004</v>
      </c>
      <c r="K162" s="32">
        <f t="shared" si="102"/>
        <v>0.35434782149664001</v>
      </c>
      <c r="L162" s="32">
        <f t="shared" si="96"/>
        <v>-1.9293271091231658E-2</v>
      </c>
      <c r="M162" s="63">
        <f t="shared" si="97"/>
        <v>1.596250183960739E-3</v>
      </c>
      <c r="N162" s="34">
        <f t="shared" si="98"/>
        <v>9.315000980837736E-3</v>
      </c>
      <c r="O162" s="35">
        <f t="shared" si="99"/>
        <v>130.29467225236311</v>
      </c>
      <c r="P162" s="35">
        <f t="shared" si="100"/>
        <v>1.2136949998286937</v>
      </c>
      <c r="Q162" s="36">
        <v>130.29</v>
      </c>
      <c r="R162" s="36">
        <v>130.29</v>
      </c>
      <c r="S162" s="37">
        <v>506</v>
      </c>
      <c r="T162" s="44">
        <v>72768137.060000002</v>
      </c>
      <c r="U162" s="44">
        <v>70675985.549999997</v>
      </c>
    </row>
    <row r="163" spans="1:21" ht="14.25">
      <c r="A163" s="27">
        <v>132</v>
      </c>
      <c r="B163" s="28" t="s">
        <v>208</v>
      </c>
      <c r="C163" s="28" t="s">
        <v>152</v>
      </c>
      <c r="D163" s="36">
        <v>365669002.43000001</v>
      </c>
      <c r="E163" s="111">
        <v>5182964.7300000004</v>
      </c>
      <c r="F163" s="36">
        <v>980632.17</v>
      </c>
      <c r="G163" s="30">
        <v>4202332.5599999996</v>
      </c>
      <c r="H163" s="26">
        <v>479796666.64999998</v>
      </c>
      <c r="I163" s="32">
        <f t="shared" si="101"/>
        <v>1.8826167341604874E-2</v>
      </c>
      <c r="J163" s="36">
        <v>508961373.81</v>
      </c>
      <c r="K163" s="32">
        <f t="shared" si="102"/>
        <v>1.9584661068873244E-2</v>
      </c>
      <c r="L163" s="32">
        <f t="shared" si="96"/>
        <v>6.0785556022370145E-2</v>
      </c>
      <c r="M163" s="63">
        <f t="shared" si="97"/>
        <v>1.9267320084806262E-3</v>
      </c>
      <c r="N163" s="34">
        <f t="shared" si="98"/>
        <v>8.2566826801453285E-3</v>
      </c>
      <c r="O163" s="35">
        <f t="shared" si="99"/>
        <v>103.47004148467398</v>
      </c>
      <c r="P163" s="35">
        <f t="shared" si="100"/>
        <v>0.85431929944042639</v>
      </c>
      <c r="Q163" s="36">
        <v>103.47</v>
      </c>
      <c r="R163" s="36">
        <v>103.47</v>
      </c>
      <c r="S163" s="37">
        <v>432</v>
      </c>
      <c r="T163" s="37">
        <v>4675835</v>
      </c>
      <c r="U163" s="37">
        <v>4918925</v>
      </c>
    </row>
    <row r="164" spans="1:21" ht="14.25">
      <c r="A164" s="27">
        <v>133</v>
      </c>
      <c r="B164" s="38" t="s">
        <v>209</v>
      </c>
      <c r="C164" s="38" t="s">
        <v>47</v>
      </c>
      <c r="D164" s="104">
        <v>8352349792.4399996</v>
      </c>
      <c r="E164" s="104">
        <v>57886829.270000003</v>
      </c>
      <c r="F164" s="104">
        <v>13109660.84</v>
      </c>
      <c r="G164" s="104">
        <v>44777168.43</v>
      </c>
      <c r="H164" s="26">
        <v>8426222721.1000004</v>
      </c>
      <c r="I164" s="32">
        <f t="shared" si="101"/>
        <v>0.33062647165237818</v>
      </c>
      <c r="J164" s="104">
        <v>8375626518.8999996</v>
      </c>
      <c r="K164" s="32">
        <f t="shared" si="102"/>
        <v>0.32229126816479892</v>
      </c>
      <c r="L164" s="32">
        <f t="shared" si="96"/>
        <v>-6.0046124906363366E-3</v>
      </c>
      <c r="M164" s="63">
        <f t="shared" si="97"/>
        <v>1.5652155466122357E-3</v>
      </c>
      <c r="N164" s="34">
        <f t="shared" si="98"/>
        <v>5.3461276394020426E-3</v>
      </c>
      <c r="O164" s="35">
        <f t="shared" si="99"/>
        <v>123.27410309754971</v>
      </c>
      <c r="P164" s="35">
        <f t="shared" si="100"/>
        <v>0.65903908979230741</v>
      </c>
      <c r="Q164" s="36">
        <v>124.58</v>
      </c>
      <c r="R164" s="36">
        <v>124.58</v>
      </c>
      <c r="S164" s="37">
        <v>1057</v>
      </c>
      <c r="T164" s="138">
        <v>67943114.640000001</v>
      </c>
      <c r="U164" s="138">
        <v>67943114.640000001</v>
      </c>
    </row>
    <row r="165" spans="1:21" ht="15" customHeight="1">
      <c r="A165" s="27">
        <v>134</v>
      </c>
      <c r="B165" s="28" t="s">
        <v>210</v>
      </c>
      <c r="C165" s="28" t="s">
        <v>51</v>
      </c>
      <c r="D165" s="45" t="s">
        <v>286</v>
      </c>
      <c r="E165" s="45" t="s">
        <v>287</v>
      </c>
      <c r="F165" s="129">
        <v>5343678</v>
      </c>
      <c r="G165" s="129">
        <v>23856729</v>
      </c>
      <c r="H165" s="26">
        <v>2981596095</v>
      </c>
      <c r="I165" s="32">
        <f t="shared" si="101"/>
        <v>0.11699128178915126</v>
      </c>
      <c r="J165" s="108">
        <v>3308916856</v>
      </c>
      <c r="K165" s="32">
        <f t="shared" si="102"/>
        <v>0.12732599852269652</v>
      </c>
      <c r="L165" s="32">
        <f t="shared" si="96"/>
        <v>0.10978038291266276</v>
      </c>
      <c r="M165" s="63">
        <f t="shared" si="97"/>
        <v>1.6149326902277414E-3</v>
      </c>
      <c r="N165" s="34">
        <f t="shared" si="98"/>
        <v>7.2098302974101689E-3</v>
      </c>
      <c r="O165" s="35">
        <f t="shared" si="99"/>
        <v>1.111989244881638</v>
      </c>
      <c r="P165" s="35">
        <f t="shared" si="100"/>
        <v>8.0172537481418889E-3</v>
      </c>
      <c r="Q165" s="30">
        <v>1.1100000000000001</v>
      </c>
      <c r="R165" s="30">
        <v>1.1100000000000001</v>
      </c>
      <c r="S165" s="37">
        <v>216</v>
      </c>
      <c r="T165" s="37">
        <v>2581187324</v>
      </c>
      <c r="U165" s="37">
        <v>2975673435</v>
      </c>
    </row>
    <row r="166" spans="1:21" ht="15" customHeight="1">
      <c r="A166" s="151" t="s">
        <v>52</v>
      </c>
      <c r="B166" s="151"/>
      <c r="C166" s="151"/>
      <c r="D166" s="151"/>
      <c r="E166" s="151"/>
      <c r="F166" s="151"/>
      <c r="G166" s="151"/>
      <c r="H166" s="57">
        <f>SUM(H155:H165)</f>
        <v>25485626359.523201</v>
      </c>
      <c r="I166" s="47">
        <f>(H166/$H$167)</f>
        <v>1.5638127909100422E-2</v>
      </c>
      <c r="J166" s="57">
        <f>SUM(J155:J165)</f>
        <v>25987755009.91</v>
      </c>
      <c r="K166" s="47">
        <f>(J166/$J$167)</f>
        <v>1.4293994334489217E-2</v>
      </c>
      <c r="L166" s="58">
        <f t="shared" si="96"/>
        <v>1.9702425331962412E-2</v>
      </c>
      <c r="M166" s="63"/>
      <c r="N166" s="60"/>
      <c r="O166" s="68"/>
      <c r="P166" s="68"/>
      <c r="Q166" s="57"/>
      <c r="R166" s="57"/>
      <c r="S166" s="62">
        <f>SUM(S155:S165)</f>
        <v>18198</v>
      </c>
      <c r="T166" s="62"/>
      <c r="U166" s="62"/>
    </row>
    <row r="167" spans="1:21" ht="15.75" customHeight="1">
      <c r="A167" s="152" t="s">
        <v>211</v>
      </c>
      <c r="B167" s="152"/>
      <c r="C167" s="152"/>
      <c r="D167" s="152"/>
      <c r="E167" s="152"/>
      <c r="F167" s="152"/>
      <c r="G167" s="152"/>
      <c r="H167" s="132">
        <f>SUM(H21,H53,H86,H111,H118,H145,H151,H166)</f>
        <v>1629710826491.7148</v>
      </c>
      <c r="I167" s="133"/>
      <c r="J167" s="132">
        <f>SUM(J21,J53,J86,J111,J118,J145,J151,J166)</f>
        <v>1818089080055.498</v>
      </c>
      <c r="K167" s="133"/>
      <c r="L167" s="133"/>
      <c r="M167" s="134"/>
      <c r="N167" s="135"/>
      <c r="O167" s="136"/>
      <c r="P167" s="136"/>
      <c r="Q167" s="132"/>
      <c r="R167" s="132"/>
      <c r="S167" s="137">
        <f>SUM(S21,S53,S86,S111,S118,S145,S151,S166)</f>
        <v>355780</v>
      </c>
      <c r="T167" s="137"/>
      <c r="U167" s="137"/>
    </row>
    <row r="168" spans="1:21" ht="5.25" customHeight="1">
      <c r="A168" s="17"/>
      <c r="B168" s="17"/>
      <c r="C168" s="17"/>
      <c r="D168" s="18"/>
      <c r="E168" s="18"/>
      <c r="F168" s="18"/>
      <c r="G168" s="19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</row>
    <row r="169" spans="1:21">
      <c r="A169" s="20" t="s">
        <v>212</v>
      </c>
      <c r="B169" s="21" t="s">
        <v>296</v>
      </c>
      <c r="C169" s="22"/>
      <c r="D169" s="18"/>
      <c r="E169" s="18"/>
      <c r="F169" s="18"/>
      <c r="G169" s="19"/>
      <c r="H169" s="23"/>
      <c r="I169" s="18"/>
      <c r="J169" s="23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24"/>
    </row>
  </sheetData>
  <sheetProtection algorithmName="SHA-512" hashValue="BFlBrdJHDpu94VcLdazW/saxTHNaQ8cclMf2yWttpVnNhZnjsNlv38pOkOQU9KIYVTw+w1wC+y1l/bbtKf6UDg==" saltValue="p6gOn71WA02gUN9gB2HCsg==" spinCount="100000" sheet="1" objects="1" scenarios="1"/>
  <mergeCells count="32">
    <mergeCell ref="A1:U1"/>
    <mergeCell ref="A3:U3"/>
    <mergeCell ref="A4:U4"/>
    <mergeCell ref="A21:G21"/>
    <mergeCell ref="A22:U22"/>
    <mergeCell ref="A23:U23"/>
    <mergeCell ref="A53:G53"/>
    <mergeCell ref="A54:U54"/>
    <mergeCell ref="A55:U55"/>
    <mergeCell ref="A86:G86"/>
    <mergeCell ref="A87:U87"/>
    <mergeCell ref="A88:U88"/>
    <mergeCell ref="A89:U89"/>
    <mergeCell ref="A100:U100"/>
    <mergeCell ref="A101:U101"/>
    <mergeCell ref="A111:G111"/>
    <mergeCell ref="A112:U112"/>
    <mergeCell ref="A113:U113"/>
    <mergeCell ref="A118:G118"/>
    <mergeCell ref="A119:U119"/>
    <mergeCell ref="A120:U120"/>
    <mergeCell ref="A145:G145"/>
    <mergeCell ref="A146:U146"/>
    <mergeCell ref="A147:U147"/>
    <mergeCell ref="A151:G151"/>
    <mergeCell ref="A166:G166"/>
    <mergeCell ref="A167:G167"/>
    <mergeCell ref="A152:U152"/>
    <mergeCell ref="A153:U153"/>
    <mergeCell ref="A154:U154"/>
    <mergeCell ref="A157:U157"/>
    <mergeCell ref="A158:U158"/>
  </mergeCells>
  <pageMargins left="0.7" right="0.7" top="0.75" bottom="0.75" header="0.3" footer="0.3"/>
  <pageSetup orientation="portrait" r:id="rId1"/>
  <ignoredErrors>
    <ignoredError sqref="I166 I151 I145 I118 I111 I86 I53 I21" formula="1"/>
    <ignoredError sqref="J33 J141 J10 D69:F69 T37:T38 U37:U38 T50:U50 T52:U52 T83:U83 S85:U85 T94:U94 T141:U141 S144 Q144:R144 Q150:R150 S150:U150 G10 G50 D50:F50 E52:G52 D59:F59 D65:E65 E70:F70 J69 D83:G83 D85 E85:G85 J93:J94 D93:F93 D94 F116 D150 E150:F150 J150 D162 D165:E165 E162:G16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I4" sqref="I4"/>
    </sheetView>
  </sheetViews>
  <sheetFormatPr defaultColWidth="9" defaultRowHeight="15"/>
  <cols>
    <col min="1" max="1" width="34" customWidth="1"/>
    <col min="2" max="2" width="14.28515625" customWidth="1"/>
    <col min="3" max="3" width="13.7109375" customWidth="1"/>
    <col min="4" max="4" width="13.85546875" customWidth="1"/>
  </cols>
  <sheetData>
    <row r="1" spans="1:5">
      <c r="A1" s="1"/>
      <c r="B1" s="1"/>
      <c r="C1" s="1"/>
      <c r="D1" s="1"/>
      <c r="E1" s="1"/>
    </row>
    <row r="2" spans="1:5">
      <c r="A2" s="15"/>
      <c r="B2" s="15"/>
      <c r="C2" s="15"/>
      <c r="D2" s="15"/>
      <c r="E2" s="15"/>
    </row>
    <row r="3" spans="1:5">
      <c r="A3" s="15"/>
      <c r="B3" s="15"/>
      <c r="C3" s="15"/>
      <c r="D3" s="15"/>
      <c r="E3" s="15"/>
    </row>
    <row r="4" spans="1:5" ht="33" customHeight="1">
      <c r="A4" s="8" t="s">
        <v>213</v>
      </c>
      <c r="B4" s="145" t="s">
        <v>214</v>
      </c>
      <c r="C4" s="145" t="s">
        <v>215</v>
      </c>
      <c r="D4" s="145" t="s">
        <v>298</v>
      </c>
      <c r="E4" s="15"/>
    </row>
    <row r="5" spans="1:5" ht="19.5" customHeight="1">
      <c r="A5" s="146" t="s">
        <v>20</v>
      </c>
      <c r="B5" s="147">
        <f>17025818154.79/1000000000</f>
        <v>17.025818154790002</v>
      </c>
      <c r="C5" s="148">
        <f>18395824731.344/1000000000</f>
        <v>18.395824731344003</v>
      </c>
      <c r="D5" s="148">
        <f>'June 2023'!J21/1000000000</f>
        <v>20.083601851879997</v>
      </c>
      <c r="E5" s="15"/>
    </row>
    <row r="6" spans="1:5" ht="15.75">
      <c r="A6" s="8" t="s">
        <v>53</v>
      </c>
      <c r="B6" s="147">
        <f>793022132206.29/1000000000</f>
        <v>793.02213220629005</v>
      </c>
      <c r="C6" s="148">
        <f>749900598862.71/1000000000</f>
        <v>749.90059886271001</v>
      </c>
      <c r="D6" s="148">
        <f>'June 2023'!J53/1000000000</f>
        <v>816.07201842012989</v>
      </c>
      <c r="E6" s="15"/>
    </row>
    <row r="7" spans="1:5" ht="15.75">
      <c r="A7" s="8" t="s">
        <v>216</v>
      </c>
      <c r="B7" s="147">
        <f>324976065625.26/1000000000</f>
        <v>324.97606562525999</v>
      </c>
      <c r="C7" s="148">
        <f>324257293662.39/1000000000</f>
        <v>324.25729366239</v>
      </c>
      <c r="D7" s="148">
        <f>'June 2023'!J86/1000000000</f>
        <v>320.65438520590004</v>
      </c>
      <c r="E7" s="15"/>
    </row>
    <row r="8" spans="1:5" ht="15.75">
      <c r="A8" s="8" t="s">
        <v>217</v>
      </c>
      <c r="B8" s="147">
        <f>331276784520.635/1000000000</f>
        <v>331.27678452063503</v>
      </c>
      <c r="C8" s="148">
        <f>329523427075.088/1000000000</f>
        <v>329.52342707508802</v>
      </c>
      <c r="D8" s="148">
        <f>'June 2023'!J111/1000000000</f>
        <v>508.82282737584808</v>
      </c>
      <c r="E8" s="15"/>
    </row>
    <row r="9" spans="1:5" ht="15.75">
      <c r="A9" s="8" t="s">
        <v>218</v>
      </c>
      <c r="B9" s="147">
        <f>93619984415.46/1000000000</f>
        <v>93.61998441546001</v>
      </c>
      <c r="C9" s="148">
        <f>92979365311.57/1000000000</f>
        <v>92.979365311570007</v>
      </c>
      <c r="D9" s="148">
        <f>'June 2023'!J118/1000000000</f>
        <v>92.907293507540004</v>
      </c>
      <c r="E9" s="15"/>
    </row>
    <row r="10" spans="1:5" ht="15.75">
      <c r="A10" s="8" t="s">
        <v>170</v>
      </c>
      <c r="B10" s="147">
        <f>31120467757.33/1000000000</f>
        <v>31.120467757330001</v>
      </c>
      <c r="C10" s="148">
        <f>33483827699.67/1000000000</f>
        <v>33.483827699670002</v>
      </c>
      <c r="D10" s="148">
        <f>'June 2023'!J145/1000000000</f>
        <v>30.761614356480003</v>
      </c>
      <c r="E10" s="15"/>
    </row>
    <row r="11" spans="1:5" ht="15.75">
      <c r="A11" s="8" t="s">
        <v>195</v>
      </c>
      <c r="B11" s="147">
        <f>3019168959.59/1000000000</f>
        <v>3.01916895959</v>
      </c>
      <c r="C11" s="148">
        <f>3211014587.77/1000000000</f>
        <v>3.2110145877699998</v>
      </c>
      <c r="D11" s="148">
        <f>'June 2023'!J151/1000000000</f>
        <v>2.7995843278099999</v>
      </c>
      <c r="E11" s="15"/>
    </row>
    <row r="12" spans="1:5" ht="15.75">
      <c r="A12" s="8" t="s">
        <v>219</v>
      </c>
      <c r="B12" s="147">
        <f>25071429293.5796/1000000000</f>
        <v>25.071429293579602</v>
      </c>
      <c r="C12" s="148">
        <f>25485626359.5232/1000000000</f>
        <v>25.485626359523202</v>
      </c>
      <c r="D12" s="148">
        <f>'June 2023'!J166/1000000000</f>
        <v>25.98775500991</v>
      </c>
      <c r="E12" s="15"/>
    </row>
    <row r="13" spans="1:5">
      <c r="A13" s="1"/>
      <c r="B13" s="1"/>
      <c r="C13" s="1"/>
      <c r="D13" s="1"/>
      <c r="E13" s="15"/>
    </row>
    <row r="14" spans="1:5">
      <c r="A14" s="1"/>
      <c r="B14" s="1"/>
      <c r="C14" s="1"/>
      <c r="D14" s="1"/>
      <c r="E14" s="15"/>
    </row>
    <row r="15" spans="1:5">
      <c r="A15" s="1"/>
      <c r="B15" s="1"/>
      <c r="C15" s="1"/>
      <c r="D15" s="1"/>
      <c r="E15" s="15"/>
    </row>
    <row r="16" spans="1:5" ht="16.5">
      <c r="A16" s="1"/>
      <c r="B16" s="1"/>
      <c r="C16" s="149"/>
      <c r="D16" s="150"/>
      <c r="E16" s="15"/>
    </row>
    <row r="17" spans="1:5" ht="16.5">
      <c r="A17" s="79"/>
      <c r="B17" s="79"/>
      <c r="C17" s="80"/>
      <c r="D17" s="81"/>
      <c r="E17" s="15"/>
    </row>
    <row r="18" spans="1:5" ht="16.5">
      <c r="A18" s="8"/>
      <c r="B18" s="8"/>
      <c r="C18" s="10"/>
      <c r="D18" s="11">
        <v>324257293662.39001</v>
      </c>
      <c r="E18" s="1"/>
    </row>
    <row r="19" spans="1:5" ht="16.5">
      <c r="A19" s="6"/>
      <c r="B19" s="6"/>
      <c r="C19" s="9"/>
      <c r="D19" s="12">
        <v>329523427075.08801</v>
      </c>
      <c r="E19" s="1"/>
    </row>
    <row r="20" spans="1:5" ht="16.5">
      <c r="A20" s="6"/>
      <c r="B20" s="6"/>
      <c r="C20" s="10"/>
      <c r="D20" s="11">
        <v>92979365311.570007</v>
      </c>
      <c r="E20" s="1"/>
    </row>
    <row r="21" spans="1:5" ht="16.5">
      <c r="A21" s="6"/>
      <c r="B21" s="6"/>
      <c r="C21" s="9"/>
      <c r="D21" s="12">
        <v>33483827699.669998</v>
      </c>
      <c r="E21" s="1"/>
    </row>
    <row r="22" spans="1:5" ht="16.5">
      <c r="A22" s="6"/>
      <c r="B22" s="6"/>
      <c r="C22" s="13"/>
      <c r="D22" s="14">
        <v>3211014587.77</v>
      </c>
      <c r="E22" s="1"/>
    </row>
    <row r="23" spans="1:5" ht="16.5">
      <c r="A23" s="6"/>
      <c r="B23" s="6"/>
      <c r="C23" s="9"/>
      <c r="D23" s="12">
        <v>25485626359.523201</v>
      </c>
      <c r="E23" s="1"/>
    </row>
    <row r="24" spans="1:5" ht="16.5">
      <c r="A24" s="6"/>
      <c r="B24" s="6"/>
      <c r="C24" s="9"/>
      <c r="D24" s="9"/>
      <c r="E24" s="1"/>
    </row>
    <row r="25" spans="1:5" ht="16.5">
      <c r="A25" s="6"/>
      <c r="B25" s="6"/>
      <c r="C25" s="9"/>
      <c r="D25" s="9"/>
      <c r="E25" s="1"/>
    </row>
    <row r="26" spans="1:5" ht="16.5">
      <c r="A26" s="6"/>
      <c r="B26" s="6"/>
      <c r="C26" s="9"/>
      <c r="D26" s="9"/>
      <c r="E26" s="1"/>
    </row>
    <row r="27" spans="1:5">
      <c r="C27" s="15"/>
      <c r="D27" s="15"/>
    </row>
    <row r="28" spans="1:5">
      <c r="C28" s="15"/>
      <c r="D28" s="15"/>
    </row>
  </sheetData>
  <sheetProtection algorithmName="SHA-512" hashValue="Ju+1/LeM9544QilffLx/VNRp3d/WDogpmnB45mJHAI5/DQLR7b/Gw4+lkgqT8GC3haztFi3FgRy4SDgrQTNcjg==" saltValue="Z89B930gkWO2k4uqS9QUZ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zoomScale="85" zoomScaleNormal="85" workbookViewId="0">
      <selection activeCell="A32" sqref="A32:P33"/>
    </sheetView>
  </sheetViews>
  <sheetFormatPr defaultColWidth="9" defaultRowHeight="15"/>
  <cols>
    <col min="1" max="1" width="26.7109375" customWidth="1"/>
    <col min="2" max="2" width="21.28515625" customWidth="1"/>
  </cols>
  <sheetData>
    <row r="1" spans="1:3">
      <c r="A1" s="94" t="s">
        <v>213</v>
      </c>
      <c r="B1" s="95" t="s">
        <v>298</v>
      </c>
      <c r="C1" s="15"/>
    </row>
    <row r="2" spans="1:3">
      <c r="A2" s="94" t="s">
        <v>195</v>
      </c>
      <c r="B2" s="96">
        <f>'June 2023'!J151</f>
        <v>2799584327.8099999</v>
      </c>
      <c r="C2" s="15"/>
    </row>
    <row r="3" spans="1:3">
      <c r="A3" s="94" t="s">
        <v>20</v>
      </c>
      <c r="B3" s="97">
        <f>'June 2023'!J21</f>
        <v>20083601851.879997</v>
      </c>
      <c r="C3" s="15"/>
    </row>
    <row r="4" spans="1:3">
      <c r="A4" s="94" t="s">
        <v>219</v>
      </c>
      <c r="B4" s="98">
        <f>'June 2023'!J166</f>
        <v>25987755009.91</v>
      </c>
      <c r="C4" s="15"/>
    </row>
    <row r="5" spans="1:3">
      <c r="A5" s="94" t="s">
        <v>170</v>
      </c>
      <c r="B5" s="98">
        <f>'June 2023'!J145</f>
        <v>30761614356.480003</v>
      </c>
      <c r="C5" s="15"/>
    </row>
    <row r="6" spans="1:3">
      <c r="A6" s="94" t="s">
        <v>218</v>
      </c>
      <c r="B6" s="99">
        <f>'June 2023'!J118</f>
        <v>92907293507.540009</v>
      </c>
      <c r="C6" s="15"/>
    </row>
    <row r="7" spans="1:3">
      <c r="A7" s="94" t="s">
        <v>216</v>
      </c>
      <c r="B7" s="99">
        <f>'June 2023'!J86</f>
        <v>320654385205.90002</v>
      </c>
      <c r="C7" s="15"/>
    </row>
    <row r="8" spans="1:3">
      <c r="A8" s="94" t="s">
        <v>217</v>
      </c>
      <c r="B8" s="98">
        <f>'June 2023'!J111</f>
        <v>508822827375.84808</v>
      </c>
      <c r="C8" s="15"/>
    </row>
    <row r="9" spans="1:3">
      <c r="A9" s="94" t="s">
        <v>53</v>
      </c>
      <c r="B9" s="100">
        <f>'June 2023'!J53</f>
        <v>816072018420.12988</v>
      </c>
      <c r="C9" s="15"/>
    </row>
    <row r="10" spans="1:3">
      <c r="A10" s="1"/>
      <c r="B10" s="1"/>
      <c r="C10" s="15"/>
    </row>
    <row r="11" spans="1:3" ht="16.5">
      <c r="A11" s="4"/>
      <c r="B11" s="1"/>
      <c r="C11" s="15"/>
    </row>
    <row r="12" spans="1:3">
      <c r="A12" s="82"/>
      <c r="B12" s="15"/>
      <c r="C12" s="15"/>
    </row>
    <row r="13" spans="1:3" ht="15.75" customHeight="1">
      <c r="A13" s="83"/>
      <c r="B13" s="84"/>
      <c r="C13" s="15"/>
    </row>
    <row r="14" spans="1:3">
      <c r="A14" s="85"/>
      <c r="B14" s="84"/>
      <c r="C14" s="15"/>
    </row>
    <row r="15" spans="1:3">
      <c r="A15" s="85"/>
      <c r="B15" s="84"/>
      <c r="C15" s="15"/>
    </row>
    <row r="16" spans="1:3">
      <c r="A16" s="86"/>
      <c r="B16" s="84"/>
      <c r="C16" s="15"/>
    </row>
    <row r="17" spans="1:17">
      <c r="A17" s="86"/>
      <c r="B17" s="84"/>
      <c r="C17" s="15"/>
    </row>
    <row r="18" spans="1:17">
      <c r="A18" s="85"/>
      <c r="B18" s="84"/>
      <c r="C18" s="15"/>
    </row>
    <row r="19" spans="1:17" ht="15" customHeight="1">
      <c r="A19" s="87"/>
      <c r="B19" s="84"/>
      <c r="C19" s="15"/>
    </row>
    <row r="20" spans="1:17" ht="16.5">
      <c r="A20" s="88"/>
      <c r="B20" s="84"/>
      <c r="C20" s="15"/>
    </row>
    <row r="21" spans="1:17" ht="16.5">
      <c r="A21" s="89"/>
      <c r="B21" s="90"/>
      <c r="C21" s="15"/>
    </row>
    <row r="22" spans="1:17" ht="16.5">
      <c r="A22" s="91"/>
      <c r="B22" s="92"/>
      <c r="C22" s="91"/>
    </row>
    <row r="23" spans="1:17">
      <c r="A23" s="91"/>
      <c r="B23" s="91"/>
      <c r="C23" s="91"/>
    </row>
    <row r="24" spans="1:17">
      <c r="A24" s="91"/>
      <c r="B24" s="91"/>
      <c r="C24" s="91"/>
    </row>
    <row r="32" spans="1:17" ht="16.5" customHeight="1">
      <c r="A32" s="167" t="s">
        <v>299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7"/>
    </row>
    <row r="33" spans="1:17" ht="15" customHeight="1">
      <c r="A33" s="167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7"/>
    </row>
  </sheetData>
  <sheetProtection algorithmName="SHA-512" hashValue="NBK8wmhzdblL2G9Jo9xRIQfgrM2hiLibO+mXS6d35so2e0WaloL71xLKCcnPNzFuRJ2N/llwASetmeYqlQDCmQ==" saltValue="miTEA9w0Fi4NyhulPEsthw==" spinCount="100000" sheet="1" objects="1" scenarios="1"/>
  <sortState xmlns:xlrd2="http://schemas.microsoft.com/office/spreadsheetml/2017/richdata2" ref="A13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21"/>
  <sheetViews>
    <sheetView workbookViewId="0">
      <selection activeCell="H2" sqref="H2"/>
    </sheetView>
  </sheetViews>
  <sheetFormatPr defaultColWidth="9" defaultRowHeight="15"/>
  <cols>
    <col min="1" max="1" width="34.7109375" customWidth="1"/>
    <col min="2" max="2" width="15" customWidth="1"/>
  </cols>
  <sheetData>
    <row r="2" spans="1:3">
      <c r="A2" s="93"/>
      <c r="B2" s="93"/>
      <c r="C2" s="91"/>
    </row>
    <row r="3" spans="1:3">
      <c r="A3" s="93"/>
      <c r="B3" s="93"/>
      <c r="C3" s="91"/>
    </row>
    <row r="4" spans="1:3">
      <c r="A4" s="1"/>
      <c r="B4" s="1"/>
      <c r="C4" s="91"/>
    </row>
    <row r="5" spans="1:3" ht="15.75">
      <c r="A5" s="2" t="s">
        <v>213</v>
      </c>
      <c r="B5" s="3" t="s">
        <v>220</v>
      </c>
      <c r="C5" s="91"/>
    </row>
    <row r="6" spans="1:3" ht="16.5">
      <c r="A6" s="4" t="s">
        <v>20</v>
      </c>
      <c r="B6" s="5">
        <f>'June 2023'!S21</f>
        <v>40882</v>
      </c>
      <c r="C6" s="91"/>
    </row>
    <row r="7" spans="1:3" ht="16.5">
      <c r="A7" s="4" t="s">
        <v>53</v>
      </c>
      <c r="B7" s="5">
        <f>'June 2023'!S53</f>
        <v>176016</v>
      </c>
      <c r="C7" s="91"/>
    </row>
    <row r="8" spans="1:3" ht="16.5">
      <c r="A8" s="4" t="s">
        <v>216</v>
      </c>
      <c r="B8" s="5">
        <f>'June 2023'!S86</f>
        <v>49567</v>
      </c>
      <c r="C8" s="91"/>
    </row>
    <row r="9" spans="1:3" ht="16.5">
      <c r="A9" s="4" t="s">
        <v>217</v>
      </c>
      <c r="B9" s="5">
        <f>'June 2023'!S111</f>
        <v>11047</v>
      </c>
      <c r="C9" s="91"/>
    </row>
    <row r="10" spans="1:3" ht="16.5">
      <c r="A10" s="4" t="s">
        <v>218</v>
      </c>
      <c r="B10" s="5">
        <f>'June 2023'!S118</f>
        <v>8672</v>
      </c>
      <c r="C10" s="91"/>
    </row>
    <row r="11" spans="1:3" ht="16.5">
      <c r="A11" s="4" t="s">
        <v>170</v>
      </c>
      <c r="B11" s="5">
        <f>'June 2023'!S145</f>
        <v>41808</v>
      </c>
      <c r="C11" s="91"/>
    </row>
    <row r="12" spans="1:3" ht="16.5">
      <c r="A12" s="4" t="s">
        <v>195</v>
      </c>
      <c r="B12" s="5">
        <f>'June 2023'!S151</f>
        <v>9590</v>
      </c>
      <c r="C12" s="91"/>
    </row>
    <row r="13" spans="1:3" ht="16.5">
      <c r="A13" s="4" t="s">
        <v>219</v>
      </c>
      <c r="B13" s="5">
        <f>'June 2023'!S166</f>
        <v>18198</v>
      </c>
      <c r="C13" s="91"/>
    </row>
    <row r="14" spans="1:3">
      <c r="A14" s="1"/>
      <c r="B14" s="1"/>
      <c r="C14" s="91"/>
    </row>
    <row r="15" spans="1:3">
      <c r="A15" s="1"/>
      <c r="B15" s="1"/>
      <c r="C15" s="91"/>
    </row>
    <row r="16" spans="1:3">
      <c r="A16" s="93"/>
      <c r="B16" s="93"/>
      <c r="C16" s="91"/>
    </row>
    <row r="17" spans="1:3">
      <c r="A17" s="91"/>
      <c r="B17" s="91"/>
      <c r="C17" s="91"/>
    </row>
    <row r="18" spans="1:3">
      <c r="A18" s="91"/>
      <c r="B18" s="91"/>
      <c r="C18" s="91"/>
    </row>
    <row r="19" spans="1:3">
      <c r="A19" s="91"/>
      <c r="B19" s="91"/>
      <c r="C19" s="91"/>
    </row>
    <row r="20" spans="1:3">
      <c r="A20" s="91"/>
      <c r="B20" s="91"/>
      <c r="C20" s="91"/>
    </row>
    <row r="21" spans="1:3">
      <c r="A21" s="91"/>
      <c r="B21" s="91"/>
      <c r="C21" s="91"/>
    </row>
  </sheetData>
  <sheetProtection algorithmName="SHA-512" hashValue="mUQzEsU5xQSL/autzMtDdKlsJaSC6aXzbAyNhiZSvrjUN0VDtyD3PJpKABsCbQ5Jvk7svhBW/EdYly9VGQDo+Q==" saltValue="VqiK7/XG8ncUhm05eGJJkA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June 2023</vt:lpstr>
      <vt:lpstr>NAV Comparison</vt:lpstr>
      <vt:lpstr>Market Share</vt:lpstr>
      <vt:lpstr>Unitholders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2024-05-09T10:08:41Z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A28B6CC3FF9C449EAFECA2D87E614F85_13</vt:lpwstr>
  </property>
  <property fmtid="{D5CDD505-2E9C-101B-9397-08002B2CF9AE}" pid="3" name="KSOProductBuildVer">
    <vt:lpwstr>1033-12.2.0.13266</vt:lpwstr>
  </property>
</Properties>
</file>