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USER\Desktop\Tunde Isaac\Monthly Spreadsheet of Mutual Funds\Monthly Mutal Fund Updates 2023\"/>
    </mc:Choice>
  </mc:AlternateContent>
  <xr:revisionPtr revIDLastSave="0" documentId="13_ncr:1_{9D9C5A81-4AF6-401A-BE83-26E774E3667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ay 2023" sheetId="7" r:id="rId1"/>
    <sheet name="NAV Comparison" sheetId="2" r:id="rId2"/>
    <sheet name="Market Share" sheetId="3" r:id="rId3"/>
    <sheet name="Unitholders" sheetId="6" r:id="rId4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6" i="7" l="1"/>
  <c r="D66" i="7"/>
  <c r="C12" i="2" l="1"/>
  <c r="C11" i="2"/>
  <c r="C10" i="2"/>
  <c r="C9" i="2"/>
  <c r="C8" i="2"/>
  <c r="C7" i="2"/>
  <c r="C6" i="2"/>
  <c r="C5" i="2"/>
  <c r="B12" i="2"/>
  <c r="B11" i="2"/>
  <c r="B10" i="2"/>
  <c r="B9" i="2"/>
  <c r="B8" i="2"/>
  <c r="B7" i="2"/>
  <c r="B6" i="2"/>
  <c r="B5" i="2"/>
  <c r="L156" i="7"/>
  <c r="M156" i="7"/>
  <c r="N156" i="7"/>
  <c r="O156" i="7"/>
  <c r="P156" i="7"/>
  <c r="M149" i="7"/>
  <c r="N149" i="7"/>
  <c r="O149" i="7"/>
  <c r="P149" i="7"/>
  <c r="M150" i="7"/>
  <c r="N150" i="7"/>
  <c r="O150" i="7"/>
  <c r="P150" i="7"/>
  <c r="L122" i="7"/>
  <c r="M122" i="7"/>
  <c r="N122" i="7"/>
  <c r="O122" i="7"/>
  <c r="P122" i="7"/>
  <c r="L123" i="7"/>
  <c r="M123" i="7"/>
  <c r="N123" i="7"/>
  <c r="O123" i="7"/>
  <c r="P123" i="7"/>
  <c r="L124" i="7"/>
  <c r="M124" i="7"/>
  <c r="N124" i="7"/>
  <c r="O124" i="7"/>
  <c r="P124" i="7"/>
  <c r="L125" i="7"/>
  <c r="M125" i="7"/>
  <c r="N125" i="7"/>
  <c r="O125" i="7"/>
  <c r="P125" i="7"/>
  <c r="L126" i="7"/>
  <c r="M126" i="7"/>
  <c r="N126" i="7"/>
  <c r="O126" i="7"/>
  <c r="P126" i="7"/>
  <c r="L127" i="7"/>
  <c r="M127" i="7"/>
  <c r="N127" i="7"/>
  <c r="O127" i="7"/>
  <c r="P127" i="7"/>
  <c r="L128" i="7"/>
  <c r="M128" i="7"/>
  <c r="N128" i="7"/>
  <c r="O128" i="7"/>
  <c r="P128" i="7"/>
  <c r="L129" i="7"/>
  <c r="M129" i="7"/>
  <c r="N129" i="7"/>
  <c r="O129" i="7"/>
  <c r="P129" i="7"/>
  <c r="L130" i="7"/>
  <c r="M130" i="7"/>
  <c r="N130" i="7"/>
  <c r="O130" i="7"/>
  <c r="P130" i="7"/>
  <c r="L131" i="7"/>
  <c r="M131" i="7"/>
  <c r="N131" i="7"/>
  <c r="O131" i="7"/>
  <c r="P131" i="7"/>
  <c r="L132" i="7"/>
  <c r="M132" i="7"/>
  <c r="N132" i="7"/>
  <c r="O132" i="7"/>
  <c r="P132" i="7"/>
  <c r="L133" i="7"/>
  <c r="M133" i="7"/>
  <c r="N133" i="7"/>
  <c r="O133" i="7"/>
  <c r="P133" i="7"/>
  <c r="L134" i="7"/>
  <c r="M134" i="7"/>
  <c r="N134" i="7"/>
  <c r="O134" i="7"/>
  <c r="P134" i="7"/>
  <c r="L135" i="7"/>
  <c r="M135" i="7"/>
  <c r="N135" i="7"/>
  <c r="O135" i="7"/>
  <c r="P135" i="7"/>
  <c r="L136" i="7"/>
  <c r="M136" i="7"/>
  <c r="N136" i="7"/>
  <c r="O136" i="7"/>
  <c r="P136" i="7"/>
  <c r="L137" i="7"/>
  <c r="M137" i="7"/>
  <c r="N137" i="7"/>
  <c r="O137" i="7"/>
  <c r="P137" i="7"/>
  <c r="L138" i="7"/>
  <c r="M138" i="7"/>
  <c r="N138" i="7"/>
  <c r="O138" i="7"/>
  <c r="P138" i="7"/>
  <c r="L139" i="7"/>
  <c r="M139" i="7"/>
  <c r="N139" i="7"/>
  <c r="O139" i="7"/>
  <c r="P139" i="7"/>
  <c r="L140" i="7"/>
  <c r="M140" i="7"/>
  <c r="N140" i="7"/>
  <c r="O140" i="7"/>
  <c r="P140" i="7"/>
  <c r="L141" i="7"/>
  <c r="M141" i="7"/>
  <c r="N141" i="7"/>
  <c r="O141" i="7"/>
  <c r="P141" i="7"/>
  <c r="L142" i="7"/>
  <c r="M142" i="7"/>
  <c r="N142" i="7"/>
  <c r="O142" i="7"/>
  <c r="P142" i="7"/>
  <c r="L143" i="7"/>
  <c r="M143" i="7"/>
  <c r="N143" i="7"/>
  <c r="O143" i="7"/>
  <c r="P143" i="7"/>
  <c r="L144" i="7"/>
  <c r="M144" i="7"/>
  <c r="N144" i="7"/>
  <c r="O144" i="7"/>
  <c r="P144" i="7"/>
  <c r="L92" i="7"/>
  <c r="M92" i="7"/>
  <c r="N92" i="7"/>
  <c r="O92" i="7"/>
  <c r="P92" i="7"/>
  <c r="L93" i="7"/>
  <c r="M93" i="7"/>
  <c r="N93" i="7"/>
  <c r="O93" i="7"/>
  <c r="P93" i="7"/>
  <c r="L94" i="7"/>
  <c r="M94" i="7"/>
  <c r="N94" i="7"/>
  <c r="O94" i="7"/>
  <c r="P94" i="7"/>
  <c r="L98" i="7"/>
  <c r="M98" i="7"/>
  <c r="N98" i="7"/>
  <c r="O98" i="7"/>
  <c r="P98" i="7"/>
  <c r="M99" i="7"/>
  <c r="N99" i="7"/>
  <c r="O99" i="7"/>
  <c r="P99" i="7"/>
  <c r="L57" i="7"/>
  <c r="M57" i="7"/>
  <c r="N57" i="7"/>
  <c r="O57" i="7"/>
  <c r="P57" i="7"/>
  <c r="L58" i="7"/>
  <c r="M58" i="7"/>
  <c r="N58" i="7"/>
  <c r="O58" i="7"/>
  <c r="P58" i="7"/>
  <c r="L59" i="7"/>
  <c r="M59" i="7"/>
  <c r="N59" i="7"/>
  <c r="O59" i="7"/>
  <c r="P59" i="7"/>
  <c r="L60" i="7"/>
  <c r="M60" i="7"/>
  <c r="N60" i="7"/>
  <c r="O60" i="7"/>
  <c r="P60" i="7"/>
  <c r="L61" i="7"/>
  <c r="M61" i="7"/>
  <c r="N61" i="7"/>
  <c r="O61" i="7"/>
  <c r="P61" i="7"/>
  <c r="L62" i="7"/>
  <c r="M62" i="7"/>
  <c r="N62" i="7"/>
  <c r="O62" i="7"/>
  <c r="P62" i="7"/>
  <c r="L63" i="7"/>
  <c r="M63" i="7"/>
  <c r="N63" i="7"/>
  <c r="O63" i="7"/>
  <c r="P63" i="7"/>
  <c r="L64" i="7"/>
  <c r="M64" i="7"/>
  <c r="N64" i="7"/>
  <c r="O64" i="7"/>
  <c r="P64" i="7"/>
  <c r="L65" i="7"/>
  <c r="M65" i="7"/>
  <c r="N65" i="7"/>
  <c r="O65" i="7"/>
  <c r="P65" i="7"/>
  <c r="L66" i="7"/>
  <c r="M66" i="7"/>
  <c r="N66" i="7"/>
  <c r="O66" i="7"/>
  <c r="P66" i="7"/>
  <c r="L67" i="7"/>
  <c r="M67" i="7"/>
  <c r="N67" i="7"/>
  <c r="O67" i="7"/>
  <c r="P67" i="7"/>
  <c r="L68" i="7"/>
  <c r="M68" i="7"/>
  <c r="N68" i="7"/>
  <c r="O68" i="7"/>
  <c r="P68" i="7"/>
  <c r="L69" i="7"/>
  <c r="M69" i="7"/>
  <c r="N69" i="7"/>
  <c r="O69" i="7"/>
  <c r="P69" i="7"/>
  <c r="L70" i="7"/>
  <c r="M70" i="7"/>
  <c r="N70" i="7"/>
  <c r="O70" i="7"/>
  <c r="P70" i="7"/>
  <c r="L71" i="7"/>
  <c r="M71" i="7"/>
  <c r="N71" i="7"/>
  <c r="O71" i="7"/>
  <c r="P71" i="7"/>
  <c r="L72" i="7"/>
  <c r="M72" i="7"/>
  <c r="N72" i="7"/>
  <c r="O72" i="7"/>
  <c r="P72" i="7"/>
  <c r="L73" i="7"/>
  <c r="M73" i="7"/>
  <c r="N73" i="7"/>
  <c r="O73" i="7"/>
  <c r="P73" i="7"/>
  <c r="L74" i="7"/>
  <c r="M74" i="7"/>
  <c r="N74" i="7"/>
  <c r="O74" i="7"/>
  <c r="P74" i="7"/>
  <c r="L75" i="7"/>
  <c r="M75" i="7"/>
  <c r="N75" i="7"/>
  <c r="O75" i="7"/>
  <c r="P75" i="7"/>
  <c r="L76" i="7"/>
  <c r="M76" i="7"/>
  <c r="N76" i="7"/>
  <c r="O76" i="7"/>
  <c r="P76" i="7"/>
  <c r="L77" i="7"/>
  <c r="M77" i="7"/>
  <c r="N77" i="7"/>
  <c r="O77" i="7"/>
  <c r="P77" i="7"/>
  <c r="L78" i="7"/>
  <c r="M78" i="7"/>
  <c r="N78" i="7"/>
  <c r="O78" i="7"/>
  <c r="P78" i="7"/>
  <c r="L79" i="7"/>
  <c r="M79" i="7"/>
  <c r="N79" i="7"/>
  <c r="O79" i="7"/>
  <c r="P79" i="7"/>
  <c r="L80" i="7"/>
  <c r="M80" i="7"/>
  <c r="N80" i="7"/>
  <c r="O80" i="7"/>
  <c r="P80" i="7"/>
  <c r="L81" i="7"/>
  <c r="M81" i="7"/>
  <c r="N81" i="7"/>
  <c r="O81" i="7"/>
  <c r="P81" i="7"/>
  <c r="L82" i="7"/>
  <c r="M82" i="7"/>
  <c r="N82" i="7"/>
  <c r="O82" i="7"/>
  <c r="P82" i="7"/>
  <c r="L83" i="7"/>
  <c r="M83" i="7"/>
  <c r="N83" i="7"/>
  <c r="O83" i="7"/>
  <c r="P83" i="7"/>
  <c r="L84" i="7"/>
  <c r="M84" i="7"/>
  <c r="N84" i="7"/>
  <c r="O84" i="7"/>
  <c r="P84" i="7"/>
  <c r="L85" i="7"/>
  <c r="M85" i="7"/>
  <c r="N85" i="7"/>
  <c r="O85" i="7"/>
  <c r="P85" i="7"/>
  <c r="L25" i="7"/>
  <c r="M25" i="7"/>
  <c r="N25" i="7"/>
  <c r="O25" i="7"/>
  <c r="P25" i="7"/>
  <c r="L26" i="7"/>
  <c r="M26" i="7"/>
  <c r="N26" i="7"/>
  <c r="O26" i="7"/>
  <c r="P26" i="7"/>
  <c r="L27" i="7"/>
  <c r="M27" i="7"/>
  <c r="N27" i="7"/>
  <c r="O27" i="7"/>
  <c r="P27" i="7"/>
  <c r="L28" i="7"/>
  <c r="M28" i="7"/>
  <c r="N28" i="7"/>
  <c r="O28" i="7"/>
  <c r="P28" i="7"/>
  <c r="L29" i="7"/>
  <c r="M29" i="7"/>
  <c r="N29" i="7"/>
  <c r="O29" i="7"/>
  <c r="P29" i="7"/>
  <c r="L30" i="7"/>
  <c r="M30" i="7"/>
  <c r="N30" i="7"/>
  <c r="O30" i="7"/>
  <c r="P30" i="7"/>
  <c r="L31" i="7"/>
  <c r="M31" i="7"/>
  <c r="N31" i="7"/>
  <c r="O31" i="7"/>
  <c r="P31" i="7"/>
  <c r="L32" i="7"/>
  <c r="M32" i="7"/>
  <c r="N32" i="7"/>
  <c r="O32" i="7"/>
  <c r="P32" i="7"/>
  <c r="L33" i="7"/>
  <c r="M33" i="7"/>
  <c r="N33" i="7"/>
  <c r="O33" i="7"/>
  <c r="P33" i="7"/>
  <c r="L34" i="7"/>
  <c r="M34" i="7"/>
  <c r="N34" i="7"/>
  <c r="O34" i="7"/>
  <c r="P34" i="7"/>
  <c r="L35" i="7"/>
  <c r="M35" i="7"/>
  <c r="N35" i="7"/>
  <c r="O35" i="7"/>
  <c r="P35" i="7"/>
  <c r="L36" i="7"/>
  <c r="M36" i="7"/>
  <c r="N36" i="7"/>
  <c r="O36" i="7"/>
  <c r="P36" i="7"/>
  <c r="L37" i="7"/>
  <c r="M37" i="7"/>
  <c r="N37" i="7"/>
  <c r="O37" i="7"/>
  <c r="P37" i="7"/>
  <c r="L38" i="7"/>
  <c r="M38" i="7"/>
  <c r="N38" i="7"/>
  <c r="O38" i="7"/>
  <c r="P38" i="7"/>
  <c r="L39" i="7"/>
  <c r="M39" i="7"/>
  <c r="N39" i="7"/>
  <c r="O39" i="7"/>
  <c r="P39" i="7"/>
  <c r="L40" i="7"/>
  <c r="M40" i="7"/>
  <c r="N40" i="7"/>
  <c r="O40" i="7"/>
  <c r="P40" i="7"/>
  <c r="L41" i="7"/>
  <c r="M41" i="7"/>
  <c r="N41" i="7"/>
  <c r="O41" i="7"/>
  <c r="P41" i="7"/>
  <c r="L42" i="7"/>
  <c r="M42" i="7"/>
  <c r="N42" i="7"/>
  <c r="O42" i="7"/>
  <c r="P42" i="7"/>
  <c r="L43" i="7"/>
  <c r="M43" i="7"/>
  <c r="N43" i="7"/>
  <c r="O43" i="7"/>
  <c r="P43" i="7"/>
  <c r="L44" i="7"/>
  <c r="M44" i="7"/>
  <c r="N44" i="7"/>
  <c r="O44" i="7"/>
  <c r="P44" i="7"/>
  <c r="L45" i="7"/>
  <c r="M45" i="7"/>
  <c r="N45" i="7"/>
  <c r="O45" i="7"/>
  <c r="P45" i="7"/>
  <c r="L46" i="7"/>
  <c r="M46" i="7"/>
  <c r="N46" i="7"/>
  <c r="O46" i="7"/>
  <c r="P46" i="7"/>
  <c r="L47" i="7"/>
  <c r="M47" i="7"/>
  <c r="N47" i="7"/>
  <c r="O47" i="7"/>
  <c r="P47" i="7"/>
  <c r="L48" i="7"/>
  <c r="M48" i="7"/>
  <c r="N48" i="7"/>
  <c r="O48" i="7"/>
  <c r="P48" i="7"/>
  <c r="L49" i="7"/>
  <c r="M49" i="7"/>
  <c r="N49" i="7"/>
  <c r="O49" i="7"/>
  <c r="P49" i="7"/>
  <c r="L50" i="7"/>
  <c r="M50" i="7"/>
  <c r="N50" i="7"/>
  <c r="O50" i="7"/>
  <c r="P50" i="7"/>
  <c r="L51" i="7"/>
  <c r="M51" i="7"/>
  <c r="N51" i="7"/>
  <c r="O51" i="7"/>
  <c r="P51" i="7"/>
  <c r="L52" i="7"/>
  <c r="M52" i="7"/>
  <c r="N52" i="7"/>
  <c r="O52" i="7"/>
  <c r="P52" i="7"/>
  <c r="M6" i="7"/>
  <c r="N6" i="7"/>
  <c r="O6" i="7"/>
  <c r="P6" i="7"/>
  <c r="M7" i="7"/>
  <c r="N7" i="7"/>
  <c r="O7" i="7"/>
  <c r="P7" i="7"/>
  <c r="M8" i="7"/>
  <c r="N8" i="7"/>
  <c r="O8" i="7"/>
  <c r="P8" i="7"/>
  <c r="M9" i="7"/>
  <c r="N9" i="7"/>
  <c r="O9" i="7"/>
  <c r="P9" i="7"/>
  <c r="M10" i="7"/>
  <c r="N10" i="7"/>
  <c r="O10" i="7"/>
  <c r="P10" i="7"/>
  <c r="M11" i="7"/>
  <c r="N11" i="7"/>
  <c r="O11" i="7"/>
  <c r="P11" i="7"/>
  <c r="M12" i="7"/>
  <c r="N12" i="7"/>
  <c r="O12" i="7"/>
  <c r="P12" i="7"/>
  <c r="M13" i="7"/>
  <c r="N13" i="7"/>
  <c r="O13" i="7"/>
  <c r="P13" i="7"/>
  <c r="M14" i="7"/>
  <c r="N14" i="7"/>
  <c r="O14" i="7"/>
  <c r="P14" i="7"/>
  <c r="M15" i="7"/>
  <c r="N15" i="7"/>
  <c r="O15" i="7"/>
  <c r="P15" i="7"/>
  <c r="M16" i="7"/>
  <c r="N16" i="7"/>
  <c r="O16" i="7"/>
  <c r="P16" i="7"/>
  <c r="M17" i="7"/>
  <c r="N17" i="7"/>
  <c r="O17" i="7"/>
  <c r="P17" i="7"/>
  <c r="M18" i="7"/>
  <c r="N18" i="7"/>
  <c r="O18" i="7"/>
  <c r="P18" i="7"/>
  <c r="M19" i="7"/>
  <c r="N19" i="7"/>
  <c r="O19" i="7"/>
  <c r="P19" i="7"/>
  <c r="M20" i="7"/>
  <c r="N20" i="7"/>
  <c r="O20" i="7"/>
  <c r="P20" i="7"/>
  <c r="L6" i="7"/>
  <c r="L7" i="7"/>
  <c r="L8" i="7"/>
  <c r="L9" i="7"/>
  <c r="L10" i="7"/>
  <c r="L11" i="7"/>
  <c r="L12" i="7"/>
  <c r="L13" i="7"/>
  <c r="L14" i="7"/>
  <c r="L15" i="7"/>
  <c r="L16" i="7"/>
  <c r="L17" i="7"/>
  <c r="L18" i="7"/>
  <c r="L19" i="7"/>
  <c r="L20" i="7"/>
  <c r="R109" i="7"/>
  <c r="Q109" i="7"/>
  <c r="J109" i="7"/>
  <c r="G109" i="7"/>
  <c r="F109" i="7"/>
  <c r="M109" i="7" s="1"/>
  <c r="E109" i="7"/>
  <c r="D109" i="7"/>
  <c r="H110" i="7"/>
  <c r="H109" i="7"/>
  <c r="H108" i="7"/>
  <c r="H107" i="7"/>
  <c r="H106" i="7"/>
  <c r="H105" i="7"/>
  <c r="H104" i="7"/>
  <c r="H103" i="7"/>
  <c r="H102" i="7"/>
  <c r="H99" i="7"/>
  <c r="L99" i="7" s="1"/>
  <c r="H97" i="7"/>
  <c r="H96" i="7"/>
  <c r="H95" i="7"/>
  <c r="H91" i="7"/>
  <c r="N109" i="7" l="1"/>
  <c r="P109" i="7"/>
  <c r="L109" i="7"/>
  <c r="O109" i="7"/>
  <c r="S166" i="7"/>
  <c r="J166" i="7"/>
  <c r="H166" i="7"/>
  <c r="P165" i="7"/>
  <c r="O165" i="7"/>
  <c r="N165" i="7"/>
  <c r="M165" i="7"/>
  <c r="L165" i="7"/>
  <c r="P164" i="7"/>
  <c r="O164" i="7"/>
  <c r="N164" i="7"/>
  <c r="M164" i="7"/>
  <c r="L164" i="7"/>
  <c r="P163" i="7"/>
  <c r="O163" i="7"/>
  <c r="N163" i="7"/>
  <c r="M163" i="7"/>
  <c r="L163" i="7"/>
  <c r="P162" i="7"/>
  <c r="O162" i="7"/>
  <c r="N162" i="7"/>
  <c r="M162" i="7"/>
  <c r="L162" i="7"/>
  <c r="P161" i="7"/>
  <c r="O161" i="7"/>
  <c r="N161" i="7"/>
  <c r="M161" i="7"/>
  <c r="L161" i="7"/>
  <c r="P160" i="7"/>
  <c r="O160" i="7"/>
  <c r="N160" i="7"/>
  <c r="M160" i="7"/>
  <c r="L160" i="7"/>
  <c r="P159" i="7"/>
  <c r="O159" i="7"/>
  <c r="N159" i="7"/>
  <c r="M159" i="7"/>
  <c r="L159" i="7"/>
  <c r="K159" i="7"/>
  <c r="I159" i="7"/>
  <c r="P155" i="7"/>
  <c r="O155" i="7"/>
  <c r="N155" i="7"/>
  <c r="M155" i="7"/>
  <c r="L155" i="7"/>
  <c r="K155" i="7"/>
  <c r="I155" i="7"/>
  <c r="S151" i="7"/>
  <c r="J151" i="7"/>
  <c r="H151" i="7"/>
  <c r="L150" i="7"/>
  <c r="K150" i="7"/>
  <c r="I150" i="7"/>
  <c r="L149" i="7"/>
  <c r="K149" i="7"/>
  <c r="I149" i="7"/>
  <c r="P148" i="7"/>
  <c r="O148" i="7"/>
  <c r="N148" i="7"/>
  <c r="M148" i="7"/>
  <c r="L148" i="7"/>
  <c r="K148" i="7"/>
  <c r="I148" i="7"/>
  <c r="J145" i="7"/>
  <c r="H145" i="7"/>
  <c r="S126" i="7"/>
  <c r="S145" i="7" s="1"/>
  <c r="P121" i="7"/>
  <c r="O121" i="7"/>
  <c r="N121" i="7"/>
  <c r="M121" i="7"/>
  <c r="L121" i="7"/>
  <c r="K121" i="7"/>
  <c r="S118" i="7"/>
  <c r="J118" i="7"/>
  <c r="H118" i="7"/>
  <c r="P117" i="7"/>
  <c r="O117" i="7"/>
  <c r="N117" i="7"/>
  <c r="M117" i="7"/>
  <c r="L117" i="7"/>
  <c r="K117" i="7"/>
  <c r="P116" i="7"/>
  <c r="O116" i="7"/>
  <c r="N116" i="7"/>
  <c r="M116" i="7"/>
  <c r="L116" i="7"/>
  <c r="K116" i="7"/>
  <c r="P115" i="7"/>
  <c r="O115" i="7"/>
  <c r="N115" i="7"/>
  <c r="M115" i="7"/>
  <c r="L115" i="7"/>
  <c r="K115" i="7"/>
  <c r="P114" i="7"/>
  <c r="O114" i="7"/>
  <c r="N114" i="7"/>
  <c r="M114" i="7"/>
  <c r="L114" i="7"/>
  <c r="K114" i="7"/>
  <c r="I114" i="7"/>
  <c r="S111" i="7"/>
  <c r="H111" i="7"/>
  <c r="R110" i="7"/>
  <c r="Q110" i="7"/>
  <c r="J110" i="7"/>
  <c r="G110" i="7"/>
  <c r="F110" i="7"/>
  <c r="M110" i="7" s="1"/>
  <c r="E110" i="7"/>
  <c r="D110" i="7"/>
  <c r="U108" i="7"/>
  <c r="T108" i="7"/>
  <c r="R108" i="7"/>
  <c r="Q108" i="7"/>
  <c r="J108" i="7"/>
  <c r="G108" i="7"/>
  <c r="F108" i="7"/>
  <c r="M108" i="7" s="1"/>
  <c r="E108" i="7"/>
  <c r="D108" i="7"/>
  <c r="U107" i="7"/>
  <c r="T107" i="7"/>
  <c r="R107" i="7"/>
  <c r="Q107" i="7"/>
  <c r="J107" i="7"/>
  <c r="G107" i="7"/>
  <c r="F107" i="7"/>
  <c r="M107" i="7" s="1"/>
  <c r="E107" i="7"/>
  <c r="D107" i="7"/>
  <c r="U106" i="7"/>
  <c r="T106" i="7"/>
  <c r="R106" i="7"/>
  <c r="Q106" i="7"/>
  <c r="J106" i="7"/>
  <c r="G106" i="7"/>
  <c r="F106" i="7"/>
  <c r="M106" i="7" s="1"/>
  <c r="E106" i="7"/>
  <c r="D106" i="7"/>
  <c r="U105" i="7"/>
  <c r="T105" i="7"/>
  <c r="R105" i="7"/>
  <c r="Q105" i="7"/>
  <c r="J105" i="7"/>
  <c r="G105" i="7"/>
  <c r="F105" i="7"/>
  <c r="M105" i="7" s="1"/>
  <c r="E105" i="7"/>
  <c r="D105" i="7"/>
  <c r="U104" i="7"/>
  <c r="T104" i="7"/>
  <c r="R104" i="7"/>
  <c r="Q104" i="7"/>
  <c r="J104" i="7"/>
  <c r="G104" i="7"/>
  <c r="F104" i="7"/>
  <c r="M104" i="7" s="1"/>
  <c r="E104" i="7"/>
  <c r="D104" i="7"/>
  <c r="U103" i="7"/>
  <c r="T103" i="7"/>
  <c r="R103" i="7"/>
  <c r="Q103" i="7"/>
  <c r="J103" i="7"/>
  <c r="G103" i="7"/>
  <c r="F103" i="7"/>
  <c r="M103" i="7" s="1"/>
  <c r="E103" i="7"/>
  <c r="D103" i="7"/>
  <c r="U102" i="7"/>
  <c r="T102" i="7"/>
  <c r="R102" i="7"/>
  <c r="Q102" i="7"/>
  <c r="J102" i="7"/>
  <c r="I102" i="7"/>
  <c r="G102" i="7"/>
  <c r="F102" i="7"/>
  <c r="M102" i="7" s="1"/>
  <c r="E102" i="7"/>
  <c r="D102" i="7"/>
  <c r="U97" i="7"/>
  <c r="T97" i="7"/>
  <c r="R97" i="7"/>
  <c r="Q97" i="7"/>
  <c r="J97" i="7"/>
  <c r="G97" i="7"/>
  <c r="F97" i="7"/>
  <c r="M97" i="7" s="1"/>
  <c r="E97" i="7"/>
  <c r="D97" i="7"/>
  <c r="U96" i="7"/>
  <c r="T96" i="7"/>
  <c r="R96" i="7"/>
  <c r="Q96" i="7"/>
  <c r="J96" i="7"/>
  <c r="G96" i="7"/>
  <c r="F96" i="7"/>
  <c r="M96" i="7" s="1"/>
  <c r="E96" i="7"/>
  <c r="D96" i="7"/>
  <c r="R95" i="7"/>
  <c r="Q95" i="7"/>
  <c r="J95" i="7"/>
  <c r="G95" i="7"/>
  <c r="F95" i="7"/>
  <c r="M95" i="7" s="1"/>
  <c r="E95" i="7"/>
  <c r="D95" i="7"/>
  <c r="R91" i="7"/>
  <c r="Q91" i="7"/>
  <c r="J91" i="7"/>
  <c r="G91" i="7"/>
  <c r="F91" i="7"/>
  <c r="M91" i="7" s="1"/>
  <c r="E91" i="7"/>
  <c r="D91" i="7"/>
  <c r="U90" i="7"/>
  <c r="T90" i="7"/>
  <c r="R90" i="7"/>
  <c r="Q90" i="7"/>
  <c r="P90" i="7"/>
  <c r="O90" i="7"/>
  <c r="N90" i="7"/>
  <c r="M90" i="7"/>
  <c r="L90" i="7"/>
  <c r="I90" i="7"/>
  <c r="S86" i="7"/>
  <c r="J86" i="7"/>
  <c r="H86" i="7"/>
  <c r="P56" i="7"/>
  <c r="O56" i="7"/>
  <c r="N56" i="7"/>
  <c r="M56" i="7"/>
  <c r="L56" i="7"/>
  <c r="K56" i="7"/>
  <c r="I56" i="7"/>
  <c r="S53" i="7"/>
  <c r="J53" i="7"/>
  <c r="H53" i="7"/>
  <c r="P24" i="7"/>
  <c r="O24" i="7"/>
  <c r="N24" i="7"/>
  <c r="M24" i="7"/>
  <c r="L24" i="7"/>
  <c r="K24" i="7"/>
  <c r="I24" i="7"/>
  <c r="S21" i="7"/>
  <c r="S167" i="7" s="1"/>
  <c r="J21" i="7"/>
  <c r="H21" i="7"/>
  <c r="P5" i="7"/>
  <c r="O5" i="7"/>
  <c r="N5" i="7"/>
  <c r="M5" i="7"/>
  <c r="L5" i="7"/>
  <c r="K5" i="7"/>
  <c r="I5" i="7"/>
  <c r="K51" i="7" l="1"/>
  <c r="K52" i="7"/>
  <c r="I6" i="7"/>
  <c r="I7" i="7"/>
  <c r="I8" i="7"/>
  <c r="I9" i="7"/>
  <c r="I10" i="7"/>
  <c r="I11" i="7"/>
  <c r="I12" i="7"/>
  <c r="I13" i="7"/>
  <c r="I14" i="7"/>
  <c r="I15" i="7"/>
  <c r="I16" i="7"/>
  <c r="I17" i="7"/>
  <c r="I18" i="7"/>
  <c r="I19" i="7"/>
  <c r="I20" i="7"/>
  <c r="L21" i="7"/>
  <c r="K6" i="7"/>
  <c r="K7" i="7"/>
  <c r="K8" i="7"/>
  <c r="K9" i="7"/>
  <c r="K10" i="7"/>
  <c r="K11" i="7"/>
  <c r="K12" i="7"/>
  <c r="K13" i="7"/>
  <c r="K14" i="7"/>
  <c r="K15" i="7"/>
  <c r="K16" i="7"/>
  <c r="K17" i="7"/>
  <c r="K18" i="7"/>
  <c r="K19" i="7"/>
  <c r="K20" i="7"/>
  <c r="I25" i="7"/>
  <c r="I26" i="7"/>
  <c r="I27" i="7"/>
  <c r="I28" i="7"/>
  <c r="I29" i="7"/>
  <c r="I30" i="7"/>
  <c r="I31" i="7"/>
  <c r="I32" i="7"/>
  <c r="I33" i="7"/>
  <c r="I34" i="7"/>
  <c r="I35" i="7"/>
  <c r="I36" i="7"/>
  <c r="I37" i="7"/>
  <c r="I38" i="7"/>
  <c r="I39" i="7"/>
  <c r="I40" i="7"/>
  <c r="I41" i="7"/>
  <c r="I42" i="7"/>
  <c r="I43" i="7"/>
  <c r="I44" i="7"/>
  <c r="I45" i="7"/>
  <c r="I46" i="7"/>
  <c r="I47" i="7"/>
  <c r="I48" i="7"/>
  <c r="I49" i="7"/>
  <c r="I50" i="7"/>
  <c r="I51" i="7"/>
  <c r="I52" i="7"/>
  <c r="I57" i="7"/>
  <c r="I58" i="7"/>
  <c r="I59" i="7"/>
  <c r="I60" i="7"/>
  <c r="I61" i="7"/>
  <c r="I62" i="7"/>
  <c r="I63" i="7"/>
  <c r="I64" i="7"/>
  <c r="I65" i="7"/>
  <c r="I66" i="7"/>
  <c r="I67" i="7"/>
  <c r="I68" i="7"/>
  <c r="I69" i="7"/>
  <c r="I70" i="7"/>
  <c r="I71" i="7"/>
  <c r="I72" i="7"/>
  <c r="I73" i="7"/>
  <c r="I74" i="7"/>
  <c r="I75" i="7"/>
  <c r="I76" i="7"/>
  <c r="I77" i="7"/>
  <c r="I78" i="7"/>
  <c r="I79" i="7"/>
  <c r="I80" i="7"/>
  <c r="I81" i="7"/>
  <c r="I82" i="7"/>
  <c r="I83" i="7"/>
  <c r="I84" i="7"/>
  <c r="I85" i="7"/>
  <c r="K57" i="7"/>
  <c r="K58" i="7"/>
  <c r="K59" i="7"/>
  <c r="K60" i="7"/>
  <c r="K61" i="7"/>
  <c r="K62" i="7"/>
  <c r="K63" i="7"/>
  <c r="K64" i="7"/>
  <c r="K65" i="7"/>
  <c r="K66" i="7"/>
  <c r="K67" i="7"/>
  <c r="K68" i="7"/>
  <c r="K69" i="7"/>
  <c r="K70" i="7"/>
  <c r="K71" i="7"/>
  <c r="K72" i="7"/>
  <c r="K73" i="7"/>
  <c r="K74" i="7"/>
  <c r="K75" i="7"/>
  <c r="K76" i="7"/>
  <c r="K77" i="7"/>
  <c r="K78" i="7"/>
  <c r="K79" i="7"/>
  <c r="K80" i="7"/>
  <c r="K81" i="7"/>
  <c r="K82" i="7"/>
  <c r="K83" i="7"/>
  <c r="K84" i="7"/>
  <c r="K85" i="7"/>
  <c r="N91" i="7"/>
  <c r="P91" i="7"/>
  <c r="L91" i="7"/>
  <c r="O91" i="7"/>
  <c r="N95" i="7"/>
  <c r="P95" i="7"/>
  <c r="L95" i="7"/>
  <c r="O95" i="7"/>
  <c r="N96" i="7"/>
  <c r="P96" i="7"/>
  <c r="L96" i="7"/>
  <c r="O96" i="7"/>
  <c r="N97" i="7"/>
  <c r="P97" i="7"/>
  <c r="L97" i="7"/>
  <c r="O97" i="7"/>
  <c r="N103" i="7"/>
  <c r="P103" i="7"/>
  <c r="L103" i="7"/>
  <c r="O103" i="7"/>
  <c r="N104" i="7"/>
  <c r="P104" i="7"/>
  <c r="L104" i="7"/>
  <c r="O104" i="7"/>
  <c r="N105" i="7"/>
  <c r="P105" i="7"/>
  <c r="L105" i="7"/>
  <c r="O105" i="7"/>
  <c r="N106" i="7"/>
  <c r="P106" i="7"/>
  <c r="L106" i="7"/>
  <c r="O106" i="7"/>
  <c r="N107" i="7"/>
  <c r="P107" i="7"/>
  <c r="L107" i="7"/>
  <c r="O107" i="7"/>
  <c r="N108" i="7"/>
  <c r="P108" i="7"/>
  <c r="L108" i="7"/>
  <c r="O108" i="7"/>
  <c r="N110" i="7"/>
  <c r="P110" i="7"/>
  <c r="L110" i="7"/>
  <c r="O110" i="7"/>
  <c r="I115" i="7"/>
  <c r="I116" i="7"/>
  <c r="I117" i="7"/>
  <c r="I122" i="7"/>
  <c r="I123" i="7"/>
  <c r="I124" i="7"/>
  <c r="I125" i="7"/>
  <c r="I126" i="7"/>
  <c r="I127" i="7"/>
  <c r="I128" i="7"/>
  <c r="I129" i="7"/>
  <c r="I130" i="7"/>
  <c r="I131" i="7"/>
  <c r="I132" i="7"/>
  <c r="I133" i="7"/>
  <c r="I134" i="7"/>
  <c r="I135" i="7"/>
  <c r="I136" i="7"/>
  <c r="I137" i="7"/>
  <c r="I138" i="7"/>
  <c r="I139" i="7"/>
  <c r="I140" i="7"/>
  <c r="I141" i="7"/>
  <c r="I142" i="7"/>
  <c r="I143" i="7"/>
  <c r="I144" i="7"/>
  <c r="I121" i="7"/>
  <c r="K122" i="7"/>
  <c r="K123" i="7"/>
  <c r="K124" i="7"/>
  <c r="K125" i="7"/>
  <c r="K126" i="7"/>
  <c r="K127" i="7"/>
  <c r="K128" i="7"/>
  <c r="K129" i="7"/>
  <c r="K130" i="7"/>
  <c r="K131" i="7"/>
  <c r="K132" i="7"/>
  <c r="K133" i="7"/>
  <c r="K134" i="7"/>
  <c r="K135" i="7"/>
  <c r="K136" i="7"/>
  <c r="K137" i="7"/>
  <c r="K138" i="7"/>
  <c r="K139" i="7"/>
  <c r="K140" i="7"/>
  <c r="K141" i="7"/>
  <c r="K142" i="7"/>
  <c r="K143" i="7"/>
  <c r="K144" i="7"/>
  <c r="I160" i="7"/>
  <c r="I161" i="7"/>
  <c r="I162" i="7"/>
  <c r="I163" i="7"/>
  <c r="I164" i="7"/>
  <c r="I165" i="7"/>
  <c r="I156" i="7"/>
  <c r="K160" i="7"/>
  <c r="K161" i="7"/>
  <c r="K162" i="7"/>
  <c r="K163" i="7"/>
  <c r="K164" i="7"/>
  <c r="K165" i="7"/>
  <c r="K156" i="7"/>
  <c r="I103" i="7"/>
  <c r="I104" i="7"/>
  <c r="I105" i="7"/>
  <c r="I106" i="7"/>
  <c r="I107" i="7"/>
  <c r="I108" i="7"/>
  <c r="I109" i="7"/>
  <c r="I110" i="7"/>
  <c r="I91" i="7"/>
  <c r="I92" i="7"/>
  <c r="I93" i="7"/>
  <c r="I94" i="7"/>
  <c r="I95" i="7"/>
  <c r="I96" i="7"/>
  <c r="I97" i="7"/>
  <c r="I98" i="7"/>
  <c r="I99" i="7"/>
  <c r="K25" i="7"/>
  <c r="K26" i="7"/>
  <c r="K27" i="7"/>
  <c r="K28" i="7"/>
  <c r="K29" i="7"/>
  <c r="K30" i="7"/>
  <c r="K31" i="7"/>
  <c r="K32" i="7"/>
  <c r="K33" i="7"/>
  <c r="K34" i="7"/>
  <c r="K35" i="7"/>
  <c r="K36" i="7"/>
  <c r="K37" i="7"/>
  <c r="K38" i="7"/>
  <c r="K39" i="7"/>
  <c r="K40" i="7"/>
  <c r="K41" i="7"/>
  <c r="K42" i="7"/>
  <c r="K43" i="7"/>
  <c r="K44" i="7"/>
  <c r="K45" i="7"/>
  <c r="K46" i="7"/>
  <c r="K47" i="7"/>
  <c r="K48" i="7"/>
  <c r="K49" i="7"/>
  <c r="K50" i="7"/>
  <c r="H167" i="7"/>
  <c r="I21" i="7"/>
  <c r="I53" i="7"/>
  <c r="L53" i="7"/>
  <c r="I86" i="7"/>
  <c r="L86" i="7"/>
  <c r="J111" i="7"/>
  <c r="P102" i="7"/>
  <c r="N102" i="7"/>
  <c r="O102" i="7"/>
  <c r="L102" i="7"/>
  <c r="I111" i="7"/>
  <c r="I118" i="7"/>
  <c r="L118" i="7"/>
  <c r="I145" i="7"/>
  <c r="L145" i="7"/>
  <c r="I151" i="7"/>
  <c r="L151" i="7"/>
  <c r="I166" i="7"/>
  <c r="L166" i="7"/>
  <c r="K102" i="7" l="1"/>
  <c r="K103" i="7"/>
  <c r="K104" i="7"/>
  <c r="K105" i="7"/>
  <c r="K106" i="7"/>
  <c r="K107" i="7"/>
  <c r="K108" i="7"/>
  <c r="K109" i="7"/>
  <c r="K110" i="7"/>
  <c r="K91" i="7"/>
  <c r="K92" i="7"/>
  <c r="K93" i="7"/>
  <c r="K94" i="7"/>
  <c r="K95" i="7"/>
  <c r="K96" i="7"/>
  <c r="K97" i="7"/>
  <c r="K98" i="7"/>
  <c r="K99" i="7"/>
  <c r="L111" i="7"/>
  <c r="K90" i="7"/>
  <c r="J167" i="7"/>
  <c r="K21" i="7" l="1"/>
  <c r="K53" i="7"/>
  <c r="K86" i="7"/>
  <c r="K118" i="7"/>
  <c r="K145" i="7"/>
  <c r="K151" i="7"/>
  <c r="K166" i="7"/>
  <c r="K111" i="7"/>
</calcChain>
</file>

<file path=xl/sharedStrings.xml><?xml version="1.0" encoding="utf-8"?>
<sst xmlns="http://schemas.openxmlformats.org/spreadsheetml/2006/main" count="347" uniqueCount="229">
  <si>
    <t>EQUITY BASED FUNDS</t>
  </si>
  <si>
    <t>MONEY MARKET FUNDS</t>
  </si>
  <si>
    <t>DOLLAR FUNDS</t>
  </si>
  <si>
    <t>BALANCED FUNDS</t>
  </si>
  <si>
    <t>ETHICAL FUNDS</t>
  </si>
  <si>
    <t>FUNDS</t>
  </si>
  <si>
    <t>BONDS/FIXED INCOME FUNDS</t>
  </si>
  <si>
    <t>REAL ESTATE INVESTMENT TRUST</t>
  </si>
  <si>
    <t>SHARI'AH COMPLAINT FUNDS</t>
  </si>
  <si>
    <t>UNIT HOLDERS</t>
  </si>
  <si>
    <t>FUND</t>
  </si>
  <si>
    <t>FUND MANAGER</t>
  </si>
  <si>
    <t>TOTAL INCOME (N)</t>
  </si>
  <si>
    <t>TOTAL EXPENSES (N)</t>
  </si>
  <si>
    <t>% ON TOTAL</t>
  </si>
  <si>
    <t>% CHANGE IN NAV</t>
  </si>
  <si>
    <t>BID PRICE (N)</t>
  </si>
  <si>
    <t>OFFER PRICE (N)</t>
  </si>
  <si>
    <t>NUMBER OF UNIT HOLDERS</t>
  </si>
  <si>
    <t>OPENING NUMBER OF UNITS</t>
  </si>
  <si>
    <t>CLOSING NUMBER OF UNITS</t>
  </si>
  <si>
    <t>Afrinvest Equity Fund</t>
  </si>
  <si>
    <t>Afrinvest Asset Management Ltd.</t>
  </si>
  <si>
    <t>Anchoria Equity Fund</t>
  </si>
  <si>
    <t>Anchoria Asset Management Limited</t>
  </si>
  <si>
    <t>ARM Aggressive Growth Fund</t>
  </si>
  <si>
    <t xml:space="preserve">ARM Investment Managers Limited </t>
  </si>
  <si>
    <t>AXA Mansard Equity Income Fund</t>
  </si>
  <si>
    <t>AXA Mansard Investments Limited</t>
  </si>
  <si>
    <t>FBN Nigeria Smart Beta Equity Fund</t>
  </si>
  <si>
    <t>FBN Capital Asset Mgt</t>
  </si>
  <si>
    <t>Frontier Fund</t>
  </si>
  <si>
    <t>SCM Capital Limited</t>
  </si>
  <si>
    <t>Futureview Equity Fund</t>
  </si>
  <si>
    <t xml:space="preserve">Futureview Asset Management Limited </t>
  </si>
  <si>
    <t>Legacy Equity Fund</t>
  </si>
  <si>
    <t>First City Asset Management Plc</t>
  </si>
  <si>
    <t>Meristem Equity Market Fund</t>
  </si>
  <si>
    <t>Meristem Wealth Management Limited</t>
  </si>
  <si>
    <t>Pacam Equity Fund</t>
  </si>
  <si>
    <t>PAC Asset Management Ltd.</t>
  </si>
  <si>
    <t>Paramount Equity Fund</t>
  </si>
  <si>
    <t>Chapel Hill Denham Mgt. Limited</t>
  </si>
  <si>
    <t>Stanbic IBTC Aggressive Fund (Sub Fund)</t>
  </si>
  <si>
    <t>Stanbic IBTC Asset Mgt. Limited</t>
  </si>
  <si>
    <t>Stanbic IBTC Nigerian Equity Fund</t>
  </si>
  <si>
    <t>UBA Nom-Cowry Equity Fund</t>
  </si>
  <si>
    <t>Cowry Treasurers Limited</t>
  </si>
  <si>
    <t>United Capital Equity Fund</t>
  </si>
  <si>
    <t>United Capital Asset Mgt. Ltd</t>
  </si>
  <si>
    <t>Sub Total</t>
  </si>
  <si>
    <t>Afrinvest Plutus Fund</t>
  </si>
  <si>
    <t>AIICO Money Market Fund</t>
  </si>
  <si>
    <t>AIICO Capital Ltd</t>
  </si>
  <si>
    <t>Anchoria Money Market Fund</t>
  </si>
  <si>
    <t>ARM Money Market Fund</t>
  </si>
  <si>
    <t>AXA Mansard Money Market Fund</t>
  </si>
  <si>
    <t xml:space="preserve">AXA Mansard Investments Limited </t>
  </si>
  <si>
    <t>Chapel Hill Denham Money Market Fund(Frml NGIF)</t>
  </si>
  <si>
    <t>Coral Money Market Fund (FSDH Treasury Bill Fund)</t>
  </si>
  <si>
    <t>FSDH Asset Management Ltd</t>
  </si>
  <si>
    <t>Cordros Money Market Fund</t>
  </si>
  <si>
    <t>Cordros Asset Management Limited</t>
  </si>
  <si>
    <t>Core Investment Money Market Fund</t>
  </si>
  <si>
    <t>Core Asset Management Limited</t>
  </si>
  <si>
    <t>Coronation Money Market Fund</t>
  </si>
  <si>
    <t>Coronation Asset Management Limited</t>
  </si>
  <si>
    <t>EDC Money Market Class A</t>
  </si>
  <si>
    <t>EDC Fund Management</t>
  </si>
  <si>
    <t>EDC Money Market Class B</t>
  </si>
  <si>
    <t>Emerging Africa Money Market Fund</t>
  </si>
  <si>
    <t>Emerging Africa Asset Management Limited</t>
  </si>
  <si>
    <t>FAAM Money Market Fund</t>
  </si>
  <si>
    <t>First Ally Asset Management Limited</t>
  </si>
  <si>
    <t>FBN Money Market Fund</t>
  </si>
  <si>
    <t>FBN Capital Asset Mgt. Limited</t>
  </si>
  <si>
    <t>GDL Money Market Fund</t>
  </si>
  <si>
    <t xml:space="preserve">Growth and Development Asset Management Limited </t>
  </si>
  <si>
    <t>Greenwich Plus Money Market</t>
  </si>
  <si>
    <t xml:space="preserve">Greenwich Asst Management Ltd </t>
  </si>
  <si>
    <t>Legacy Money Market Fund</t>
  </si>
  <si>
    <t>Meristem Money Market Fund</t>
  </si>
  <si>
    <t>Norrenberger Money Market Fund</t>
  </si>
  <si>
    <t>Norrenberger Investment and Capital Management Limited</t>
  </si>
  <si>
    <t>NOVA Prime Money Market Fund</t>
  </si>
  <si>
    <t>NOVAMBL Asset Management Limited</t>
  </si>
  <si>
    <t>PACAM Money Market Fund</t>
  </si>
  <si>
    <t>Stanbic IBTC Money Market Fund</t>
  </si>
  <si>
    <t>Trustbanc Money Market Fund</t>
  </si>
  <si>
    <t>Trustbanc Asset Management Limited</t>
  </si>
  <si>
    <t>United Capital Money Market Fund</t>
  </si>
  <si>
    <t>ValuAlliance Money Market Fund</t>
  </si>
  <si>
    <t>ValuAlliance Asset Management Limited</t>
  </si>
  <si>
    <t>Vetiva Money Market Fund</t>
  </si>
  <si>
    <t>Vetiva Fund Managers Limited</t>
  </si>
  <si>
    <t>Zenith Money Market Fund</t>
  </si>
  <si>
    <t>Zenith Asset Management Ltd</t>
  </si>
  <si>
    <t>BOND/FIXED INCOME FUNDS</t>
  </si>
  <si>
    <t>Anchoria Fixed Income Fund</t>
  </si>
  <si>
    <t>ARM Fixed Income Fund</t>
  </si>
  <si>
    <t>ARM Short Term-Bond Fund</t>
  </si>
  <si>
    <t>ARM Investment Managers</t>
  </si>
  <si>
    <t>AVA GAM Fixed Income Naira Fund</t>
  </si>
  <si>
    <t>AVA Global Asset Managers Limited</t>
  </si>
  <si>
    <t>CardinalStone Fixed Income Alpha Fund</t>
  </si>
  <si>
    <t>CardinalStone Asset Mgt. Limited</t>
  </si>
  <si>
    <t>Capital Express Assset &amp; Trust Limited</t>
  </si>
  <si>
    <t>Chapel Hill Denham Nigeria Bond Fund</t>
  </si>
  <si>
    <t>Coral Income Fund</t>
  </si>
  <si>
    <t>Cordros Fixed Income Fund</t>
  </si>
  <si>
    <t>Coronation Fixed Income Fund</t>
  </si>
  <si>
    <t>DLM Fixed Income Fund</t>
  </si>
  <si>
    <t>DLM Asset Management Limited</t>
  </si>
  <si>
    <t>EDC Nigeria Fixed Income Fund</t>
  </si>
  <si>
    <t>Emerging Africa Bond Fund</t>
  </si>
  <si>
    <t>FBN Bond Fund (FBN Fixed Income Fund)</t>
  </si>
  <si>
    <t>GDL Income Fund</t>
  </si>
  <si>
    <t xml:space="preserve">Lead Fixed Income Fund </t>
  </si>
  <si>
    <t>Lead Asset Mgt Ltd</t>
  </si>
  <si>
    <t>Legacy Debt Fund</t>
  </si>
  <si>
    <t>Lotus Halal Fixed Income Fund</t>
  </si>
  <si>
    <t>Lotus Capital Limited</t>
  </si>
  <si>
    <t>Nigeria International Debt Fund</t>
  </si>
  <si>
    <t>PACAM Fixed Income Fund</t>
  </si>
  <si>
    <t>SFS Fixed Income Fund</t>
  </si>
  <si>
    <t>SFS Capital Nigeria Ltd</t>
  </si>
  <si>
    <t>Stanbic IBTC Absolute Fund (Sub Fund)</t>
  </si>
  <si>
    <t>Stanbic IBTC Bond Fund</t>
  </si>
  <si>
    <t>Stanbic IBTC Conservative Fund (Sub Fund)</t>
  </si>
  <si>
    <t>Stanbic IBTC Enhanced Short-Term Fixed Income Fund</t>
  </si>
  <si>
    <t>Stanbic IBTC Guaranteed Investment Fund</t>
  </si>
  <si>
    <t>UBA Nom-Cowry Fixed Income Fund</t>
  </si>
  <si>
    <t>United Capital Fixed Income Fund</t>
  </si>
  <si>
    <t>Vantage Guaranteed Income Fund</t>
  </si>
  <si>
    <t>Zenith Income Fund</t>
  </si>
  <si>
    <t>DOLLAR FUND</t>
  </si>
  <si>
    <t>EUROBONDS</t>
  </si>
  <si>
    <t>Afrinvest Dollar Fund</t>
  </si>
  <si>
    <t>ARM Eurobond Fund</t>
  </si>
  <si>
    <t>Emerging Africa Eurobond Fund</t>
  </si>
  <si>
    <t>FBN Dollar Fund (Retail)</t>
  </si>
  <si>
    <t>FBNQuest Asset Management Limited</t>
  </si>
  <si>
    <t>FBN Specialized Dollar Fund</t>
  </si>
  <si>
    <t>Futureview Dollar Fund</t>
  </si>
  <si>
    <t>Futureview Asset Management Limited</t>
  </si>
  <si>
    <t>Legacy USD Bond Fund</t>
  </si>
  <si>
    <t>First City Asset Management Ltd.</t>
  </si>
  <si>
    <t xml:space="preserve">Nigerian Eurobond Fund </t>
  </si>
  <si>
    <t>Pacam Eurobond Fund</t>
  </si>
  <si>
    <t>FIXED INCOME</t>
  </si>
  <si>
    <t>AVA GAM Fixed Income Dollar Fund</t>
  </si>
  <si>
    <t>AXA Mansard Dollar Bond Fund</t>
  </si>
  <si>
    <t>Cordros Dollar Fund</t>
  </si>
  <si>
    <t>FSDH Dollar Fund</t>
  </si>
  <si>
    <t>Nigeria Dollar Income Fund</t>
  </si>
  <si>
    <t>NOVA Dollar Fixed Income Fund</t>
  </si>
  <si>
    <t>Stanbic IBTC Dollar Fund</t>
  </si>
  <si>
    <t>Vantage Dollar Fund</t>
  </si>
  <si>
    <t>REAL ESTATE FUNDS</t>
  </si>
  <si>
    <t>Nigeria Real Estate Investment Trust</t>
  </si>
  <si>
    <t>SFS Real Estate Investment Trust Fund</t>
  </si>
  <si>
    <t>Union Homes REITS</t>
  </si>
  <si>
    <t>UPDC Real Estate Investment Fund</t>
  </si>
  <si>
    <t>Stanbic IBTC Asset Management Limited</t>
  </si>
  <si>
    <t>AIICO Balanced Fund</t>
  </si>
  <si>
    <t>ARM Discovery Balanced Fund</t>
  </si>
  <si>
    <t>Capital Express Balanced Fund</t>
  </si>
  <si>
    <t>Coral Balanced Fund</t>
  </si>
  <si>
    <t>Cordros Milestone Fund</t>
  </si>
  <si>
    <t>Core Value Mixed Fund</t>
  </si>
  <si>
    <t>Coronation Balanced Fund</t>
  </si>
  <si>
    <t>EDC Balanced Fund</t>
  </si>
  <si>
    <t>EDC Fund Management Limited</t>
  </si>
  <si>
    <t>FBN Balanced Fund</t>
  </si>
  <si>
    <t>GDL Canary Balanced Fund</t>
  </si>
  <si>
    <t xml:space="preserve">Lead Balanced Fund </t>
  </si>
  <si>
    <t>Nigeria Energy Sector Fund</t>
  </si>
  <si>
    <t>NOVA Hybrid Balanced Fund</t>
  </si>
  <si>
    <t>PACAM Balanced Fund</t>
  </si>
  <si>
    <t>Stanbic IBTC Balanced Fund</t>
  </si>
  <si>
    <t>UBA Nom-Cowry Balanced Fund</t>
  </si>
  <si>
    <t>United Capital Balanced Fund</t>
  </si>
  <si>
    <t>ValuAlliance Value Fund</t>
  </si>
  <si>
    <t>Wealth For Women Fund</t>
  </si>
  <si>
    <t>Women's Balanced Fund</t>
  </si>
  <si>
    <t>Zenith Balanced Strategy Fund</t>
  </si>
  <si>
    <t>ARM Ethical Fund</t>
  </si>
  <si>
    <t>Stanbic IBTC Ethical Fund</t>
  </si>
  <si>
    <t>Zenith ESG Impact Fund</t>
  </si>
  <si>
    <t>SHARI'AH COMPLIANT FUNDS</t>
  </si>
  <si>
    <t>EQUITIES</t>
  </si>
  <si>
    <t>Lotus Halal Investment  Fund</t>
  </si>
  <si>
    <t>Stanbic IBTC Imaan Fund</t>
  </si>
  <si>
    <t>Capital Trust Halal Fixed Income Fund</t>
  </si>
  <si>
    <t xml:space="preserve">Capital Trust Investments &amp; Asset Mgt. Ltd </t>
  </si>
  <si>
    <t>Cordros Halal Fixed Income Fund</t>
  </si>
  <si>
    <t>EDC Halal Fund</t>
  </si>
  <si>
    <t>FBN Halal Fund</t>
  </si>
  <si>
    <t>Norrenberger Islamic Fund</t>
  </si>
  <si>
    <t>Norrenberger Investment &amp; Capital Management Limited</t>
  </si>
  <si>
    <t>Stanbic IBTC Shariah Fixed Income Fund</t>
  </si>
  <si>
    <t>United Capital Sukuk Fund</t>
  </si>
  <si>
    <t>Grand Total</t>
  </si>
  <si>
    <t>S/N</t>
  </si>
  <si>
    <t>Note:</t>
  </si>
  <si>
    <t>The chart above shows that the Money Market Fund has the highest share of the Aggregate Net Asset Value (NAV) at 47.00%, followed by Bond/Fixed Income Fund with 23.13%, Dollar Fund (Eurobonds and Fixed Income) at 21.77%, Real Estate Investment Trust at 3.13%.  Next is Balanced Fund at 2.07%, Shari'ah Compliant Fund at 1.55%, Equity Fund at 1.44% and Ethical Fund at 0.21%.</t>
  </si>
  <si>
    <t>Guaranty Trust Equity Income Fund</t>
  </si>
  <si>
    <t>Guaranty Trust Fund Managers Limited</t>
  </si>
  <si>
    <t>Guaranty Trust Money Market Fund</t>
  </si>
  <si>
    <t>18,013,097.24</t>
  </si>
  <si>
    <t>1,551, 454</t>
  </si>
  <si>
    <t>Guaranty Trust Balanced Fund</t>
  </si>
  <si>
    <r>
      <t>US$/NG</t>
    </r>
    <r>
      <rPr>
        <strike/>
        <sz val="6"/>
        <color theme="0"/>
        <rFont val="Times New Roman"/>
        <family val="1"/>
      </rPr>
      <t>N</t>
    </r>
    <r>
      <rPr>
        <sz val="6"/>
        <color theme="0"/>
        <rFont val="Times New Roman"/>
        <family val="1"/>
      </rPr>
      <t xml:space="preserve"> I&amp;E as at 31st May, 2023 = </t>
    </r>
    <r>
      <rPr>
        <strike/>
        <sz val="6"/>
        <color theme="0"/>
        <rFont val="Times New Roman"/>
        <family val="1"/>
      </rPr>
      <t>N461.76</t>
    </r>
  </si>
  <si>
    <t>Norrenberger Dollar Fund</t>
  </si>
  <si>
    <t xml:space="preserve">United Capital Global Fixed Income Fund </t>
  </si>
  <si>
    <t>Greenwich Balanced Fund</t>
  </si>
  <si>
    <t>Emerging Africa Balanced-Diversity Fund</t>
  </si>
  <si>
    <t>CEAT Fixed Income Fund</t>
  </si>
  <si>
    <t>April 2023</t>
  </si>
  <si>
    <t>May 2023</t>
  </si>
  <si>
    <t>TOTAL VALUE OF INVESTMENT (N)</t>
  </si>
  <si>
    <t>NET INCOME/LOSS (N)</t>
  </si>
  <si>
    <t xml:space="preserve">NET ASSET VALUE (N) </t>
  </si>
  <si>
    <t>EXPENSE RATIO</t>
  </si>
  <si>
    <t>RETURN ON EQUITY (ROE)</t>
  </si>
  <si>
    <t>NET ASSET PER UNIT</t>
  </si>
  <si>
    <t>EARNINGS PER UNIT (EPU)</t>
  </si>
  <si>
    <t>MONTHLY UPDATE ON REGISTERED MUTUAL FUNDS AS AT 31ST MAY, 2023</t>
  </si>
  <si>
    <t>NET ASSET VALUE (N) PREVIOUS - APRIL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</si>
</sst>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&quot; &quot;* #,##0&quot; &quot;;&quot;-&quot;* #,##0&quot; &quot;;&quot; &quot;* &quot;-&quot;??&quot; &quot;"/>
    <numFmt numFmtId="167" formatCode="&quot; &quot;* #,##0.00&quot; &quot;;&quot;-&quot;* #,##0.00&quot; &quot;;&quot; &quot;* &quot;-&quot;??&quot; &quot;"/>
    <numFmt numFmtId="168" formatCode="&quot; &quot;* #,##0.00&quot; &quot;;&quot; &quot;* \(#,##0.00\);&quot; &quot;* &quot;-&quot;??&quot; &quot;"/>
  </numFmts>
  <fonts count="3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Futura Bk BT"/>
      <family val="2"/>
    </font>
    <font>
      <sz val="10"/>
      <color rgb="FFFF0000"/>
      <name val="Arial Narrow"/>
      <family val="2"/>
    </font>
    <font>
      <sz val="10"/>
      <name val="Arial"/>
      <family val="2"/>
    </font>
    <font>
      <sz val="8"/>
      <name val="Century Gothic"/>
      <family val="2"/>
    </font>
    <font>
      <sz val="8"/>
      <color indexed="8"/>
      <name val="Century Gothic"/>
      <family val="2"/>
    </font>
    <font>
      <b/>
      <sz val="8"/>
      <name val="Century Gothic"/>
      <family val="2"/>
    </font>
    <font>
      <b/>
      <sz val="8"/>
      <color indexed="8"/>
      <name val="Century Gothic"/>
      <family val="2"/>
    </font>
    <font>
      <b/>
      <sz val="8"/>
      <color rgb="FF00B050"/>
      <name val="Century Gothic"/>
      <family val="2"/>
    </font>
    <font>
      <sz val="8"/>
      <color rgb="FFFF0000"/>
      <name val="Century Gothic"/>
      <family val="2"/>
    </font>
    <font>
      <b/>
      <sz val="12"/>
      <color indexed="8"/>
      <name val="Calibri"/>
      <family val="2"/>
    </font>
    <font>
      <sz val="10"/>
      <color indexed="8"/>
      <name val="Arial Narrow"/>
      <family val="2"/>
    </font>
    <font>
      <sz val="12"/>
      <color indexed="8"/>
      <name val="Calibri"/>
      <family val="2"/>
    </font>
    <font>
      <sz val="6"/>
      <color theme="0"/>
      <name val="Times New Roman"/>
      <family val="1"/>
    </font>
    <font>
      <strike/>
      <sz val="6"/>
      <color theme="0"/>
      <name val="Times New Roman"/>
      <family val="1"/>
    </font>
    <font>
      <b/>
      <sz val="8"/>
      <color rgb="FFFF0000"/>
      <name val="Century Gothic"/>
      <family val="2"/>
    </font>
    <font>
      <sz val="8"/>
      <color theme="1"/>
      <name val="Century Gothic"/>
      <family val="2"/>
    </font>
    <font>
      <b/>
      <sz val="11"/>
      <color theme="0"/>
      <name val="Calibri"/>
      <family val="2"/>
      <scheme val="minor"/>
    </font>
    <font>
      <b/>
      <sz val="11"/>
      <color indexed="8"/>
      <name val="Century Gothic"/>
      <family val="2"/>
    </font>
    <font>
      <b/>
      <sz val="10"/>
      <color indexed="8"/>
      <name val="Century Gothic"/>
      <family val="2"/>
    </font>
    <font>
      <b/>
      <sz val="8"/>
      <color theme="1"/>
      <name val="Century Gothic"/>
      <family val="2"/>
    </font>
    <font>
      <b/>
      <sz val="10"/>
      <color theme="1"/>
      <name val="Century Gothic"/>
      <family val="2"/>
    </font>
    <font>
      <b/>
      <sz val="10"/>
      <name val="Century Gothic"/>
      <family val="2"/>
    </font>
    <font>
      <b/>
      <sz val="9"/>
      <name val="Century Gothic"/>
      <family val="2"/>
    </font>
    <font>
      <b/>
      <sz val="12"/>
      <color theme="0"/>
      <name val="Arial Narrow"/>
      <family val="2"/>
    </font>
    <font>
      <sz val="12"/>
      <color theme="0"/>
      <name val="Calibri"/>
      <family val="2"/>
      <scheme val="minor"/>
    </font>
    <font>
      <b/>
      <sz val="11"/>
      <color theme="0"/>
      <name val="Arial Narrow"/>
      <family val="2"/>
    </font>
    <font>
      <sz val="8"/>
      <color theme="0"/>
      <name val="Arial Narrow"/>
      <family val="2"/>
    </font>
    <font>
      <sz val="11"/>
      <color theme="0"/>
      <name val="Arial Narrow"/>
      <family val="2"/>
    </font>
    <font>
      <sz val="8"/>
      <color theme="0"/>
      <name val="Century Gothic"/>
      <family val="2"/>
    </font>
    <font>
      <b/>
      <sz val="10"/>
      <color theme="0"/>
      <name val="Arial Narrow"/>
      <family val="2"/>
    </font>
    <font>
      <sz val="10"/>
      <color theme="0"/>
      <name val="Arial Narrow"/>
      <family val="2"/>
    </font>
    <font>
      <sz val="10"/>
      <color theme="0"/>
      <name val="Century Gothic"/>
      <family val="2"/>
    </font>
    <font>
      <b/>
      <sz val="10"/>
      <color rgb="FFFF0000"/>
      <name val="Century Gothic"/>
      <family val="2"/>
    </font>
    <font>
      <b/>
      <sz val="32"/>
      <color indexed="9"/>
      <name val="Segoe UI Black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8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 tint="0.59999389629810485"/>
      </left>
      <right style="thin">
        <color theme="4" tint="0.59999389629810485"/>
      </right>
      <top style="thin">
        <color theme="4" tint="0.59999389629810485"/>
      </top>
      <bottom style="thin">
        <color theme="4" tint="0.59999389629810485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4" tint="0.59999389629810485"/>
      </left>
      <right/>
      <top style="thin">
        <color theme="4" tint="0.59999389629810485"/>
      </top>
      <bottom style="thin">
        <color theme="4" tint="0.59999389629810485"/>
      </bottom>
      <diagonal/>
    </border>
    <border>
      <left/>
      <right/>
      <top style="thin">
        <color theme="4" tint="0.59999389629810485"/>
      </top>
      <bottom style="thin">
        <color theme="4" tint="0.59999389629810485"/>
      </bottom>
      <diagonal/>
    </border>
    <border>
      <left/>
      <right style="thin">
        <color theme="4" tint="0.59999389629810485"/>
      </right>
      <top style="thin">
        <color theme="4" tint="0.59999389629810485"/>
      </top>
      <bottom style="thin">
        <color theme="4" tint="0.59999389629810485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7" fillId="0" borderId="0"/>
  </cellStyleXfs>
  <cellXfs count="135">
    <xf numFmtId="0" fontId="0" fillId="0" borderId="0" xfId="0"/>
    <xf numFmtId="0" fontId="3" fillId="0" borderId="0" xfId="0" applyFont="1"/>
    <xf numFmtId="0" fontId="4" fillId="0" borderId="0" xfId="0" applyFont="1"/>
    <xf numFmtId="0" fontId="2" fillId="2" borderId="0" xfId="0" applyFont="1" applyFill="1" applyAlignment="1">
      <alignment wrapText="1"/>
    </xf>
    <xf numFmtId="4" fontId="2" fillId="2" borderId="0" xfId="0" applyNumberFormat="1" applyFont="1" applyFill="1" applyAlignment="1">
      <alignment horizontal="right"/>
    </xf>
    <xf numFmtId="0" fontId="14" fillId="2" borderId="0" xfId="0" applyFont="1" applyFill="1"/>
    <xf numFmtId="0" fontId="0" fillId="2" borderId="0" xfId="0" applyFill="1"/>
    <xf numFmtId="164" fontId="0" fillId="2" borderId="0" xfId="1" applyFont="1" applyFill="1" applyBorder="1" applyAlignment="1"/>
    <xf numFmtId="0" fontId="15" fillId="2" borderId="0" xfId="0" applyFont="1" applyFill="1"/>
    <xf numFmtId="167" fontId="16" fillId="2" borderId="0" xfId="0" applyNumberFormat="1" applyFont="1" applyFill="1"/>
    <xf numFmtId="168" fontId="16" fillId="2" borderId="0" xfId="0" applyNumberFormat="1" applyFont="1" applyFill="1"/>
    <xf numFmtId="0" fontId="17" fillId="6" borderId="0" xfId="0" applyFont="1" applyFill="1" applyAlignment="1">
      <alignment horizontal="right" vertical="center"/>
    </xf>
    <xf numFmtId="0" fontId="17" fillId="6" borderId="0" xfId="0" applyFont="1" applyFill="1" applyAlignment="1">
      <alignment horizontal="left"/>
    </xf>
    <xf numFmtId="166" fontId="8" fillId="2" borderId="2" xfId="0" applyNumberFormat="1" applyFont="1" applyFill="1" applyBorder="1" applyAlignment="1">
      <alignment horizontal="center" wrapText="1"/>
    </xf>
    <xf numFmtId="49" fontId="8" fillId="2" borderId="2" xfId="0" applyNumberFormat="1" applyFont="1" applyFill="1" applyBorder="1" applyAlignment="1">
      <alignment wrapText="1"/>
    </xf>
    <xf numFmtId="4" fontId="9" fillId="2" borderId="2" xfId="0" applyNumberFormat="1" applyFont="1" applyFill="1" applyBorder="1"/>
    <xf numFmtId="164" fontId="9" fillId="2" borderId="2" xfId="1" applyFont="1" applyFill="1" applyBorder="1" applyAlignment="1"/>
    <xf numFmtId="167" fontId="9" fillId="2" borderId="2" xfId="0" applyNumberFormat="1" applyFont="1" applyFill="1" applyBorder="1" applyAlignment="1">
      <alignment horizontal="left"/>
    </xf>
    <xf numFmtId="10" fontId="9" fillId="2" borderId="2" xfId="0" applyNumberFormat="1" applyFont="1" applyFill="1" applyBorder="1"/>
    <xf numFmtId="167" fontId="9" fillId="2" borderId="2" xfId="0" applyNumberFormat="1" applyFont="1" applyFill="1" applyBorder="1"/>
    <xf numFmtId="49" fontId="8" fillId="2" borderId="2" xfId="0" applyNumberFormat="1" applyFont="1" applyFill="1" applyBorder="1"/>
    <xf numFmtId="49" fontId="8" fillId="2" borderId="2" xfId="0" applyNumberFormat="1" applyFont="1" applyFill="1" applyBorder="1" applyAlignment="1">
      <alignment vertical="center" wrapText="1"/>
    </xf>
    <xf numFmtId="167" fontId="8" fillId="2" borderId="2" xfId="0" applyNumberFormat="1" applyFont="1" applyFill="1" applyBorder="1"/>
    <xf numFmtId="4" fontId="8" fillId="2" borderId="2" xfId="0" applyNumberFormat="1" applyFont="1" applyFill="1" applyBorder="1" applyAlignment="1">
      <alignment wrapText="1"/>
    </xf>
    <xf numFmtId="0" fontId="8" fillId="2" borderId="2" xfId="0" applyFont="1" applyFill="1" applyBorder="1" applyAlignment="1">
      <alignment wrapText="1"/>
    </xf>
    <xf numFmtId="0" fontId="8" fillId="2" borderId="2" xfId="0" applyFont="1" applyFill="1" applyBorder="1"/>
    <xf numFmtId="167" fontId="12" fillId="2" borderId="2" xfId="0" applyNumberFormat="1" applyFont="1" applyFill="1" applyBorder="1"/>
    <xf numFmtId="167" fontId="24" fillId="2" borderId="2" xfId="0" applyNumberFormat="1" applyFont="1" applyFill="1" applyBorder="1" applyAlignment="1">
      <alignment horizontal="left"/>
    </xf>
    <xf numFmtId="0" fontId="20" fillId="2" borderId="2" xfId="0" applyFont="1" applyFill="1" applyBorder="1"/>
    <xf numFmtId="167" fontId="9" fillId="2" borderId="2" xfId="0" applyNumberFormat="1" applyFont="1" applyFill="1" applyBorder="1" applyAlignment="1">
      <alignment horizontal="right"/>
    </xf>
    <xf numFmtId="164" fontId="9" fillId="2" borderId="2" xfId="1" applyFont="1" applyFill="1" applyBorder="1"/>
    <xf numFmtId="49" fontId="8" fillId="2" borderId="2" xfId="0" applyNumberFormat="1" applyFont="1" applyFill="1" applyBorder="1" applyAlignment="1">
      <alignment vertical="top" wrapText="1"/>
    </xf>
    <xf numFmtId="167" fontId="11" fillId="2" borderId="2" xfId="0" applyNumberFormat="1" applyFont="1" applyFill="1" applyBorder="1"/>
    <xf numFmtId="2" fontId="9" fillId="2" borderId="2" xfId="0" applyNumberFormat="1" applyFont="1" applyFill="1" applyBorder="1"/>
    <xf numFmtId="164" fontId="9" fillId="2" borderId="2" xfId="1" applyFont="1" applyFill="1" applyBorder="1" applyAlignment="1">
      <alignment wrapText="1"/>
    </xf>
    <xf numFmtId="166" fontId="8" fillId="2" borderId="2" xfId="0" applyNumberFormat="1" applyFont="1" applyFill="1" applyBorder="1" applyAlignment="1">
      <alignment horizontal="right" wrapText="1"/>
    </xf>
    <xf numFmtId="4" fontId="20" fillId="2" borderId="2" xfId="0" applyNumberFormat="1" applyFont="1" applyFill="1" applyBorder="1"/>
    <xf numFmtId="164" fontId="8" fillId="2" borderId="2" xfId="1" applyFont="1" applyFill="1" applyBorder="1" applyAlignment="1"/>
    <xf numFmtId="164" fontId="9" fillId="2" borderId="2" xfId="1" applyFont="1" applyFill="1" applyBorder="1" applyAlignment="1">
      <alignment horizontal="left"/>
    </xf>
    <xf numFmtId="164" fontId="11" fillId="2" borderId="2" xfId="1" applyFont="1" applyFill="1" applyBorder="1" applyAlignment="1"/>
    <xf numFmtId="164" fontId="9" fillId="2" borderId="2" xfId="1" applyFont="1" applyFill="1" applyBorder="1" applyAlignment="1">
      <alignment horizontal="right"/>
    </xf>
    <xf numFmtId="49" fontId="9" fillId="2" borderId="2" xfId="0" applyNumberFormat="1" applyFont="1" applyFill="1" applyBorder="1" applyAlignment="1">
      <alignment horizontal="right"/>
    </xf>
    <xf numFmtId="4" fontId="9" fillId="2" borderId="2" xfId="0" applyNumberFormat="1" applyFont="1" applyFill="1" applyBorder="1" applyAlignment="1">
      <alignment horizontal="right"/>
    </xf>
    <xf numFmtId="3" fontId="20" fillId="2" borderId="2" xfId="0" applyNumberFormat="1" applyFont="1" applyFill="1" applyBorder="1"/>
    <xf numFmtId="167" fontId="9" fillId="2" borderId="2" xfId="0" applyNumberFormat="1" applyFont="1" applyFill="1" applyBorder="1" applyAlignment="1">
      <alignment horizontal="left" wrapText="1"/>
    </xf>
    <xf numFmtId="10" fontId="9" fillId="2" borderId="2" xfId="0" applyNumberFormat="1" applyFont="1" applyFill="1" applyBorder="1" applyAlignment="1">
      <alignment horizontal="center"/>
    </xf>
    <xf numFmtId="10" fontId="24" fillId="5" borderId="2" xfId="0" applyNumberFormat="1" applyFont="1" applyFill="1" applyBorder="1" applyAlignment="1">
      <alignment horizontal="center" vertical="center"/>
    </xf>
    <xf numFmtId="10" fontId="9" fillId="5" borderId="2" xfId="0" applyNumberFormat="1" applyFont="1" applyFill="1" applyBorder="1" applyAlignment="1">
      <alignment horizontal="center" vertical="center"/>
    </xf>
    <xf numFmtId="167" fontId="9" fillId="5" borderId="2" xfId="0" applyNumberFormat="1" applyFont="1" applyFill="1" applyBorder="1" applyAlignment="1">
      <alignment horizontal="right" vertical="center"/>
    </xf>
    <xf numFmtId="164" fontId="11" fillId="2" borderId="2" xfId="1" applyFont="1" applyFill="1" applyBorder="1"/>
    <xf numFmtId="164" fontId="8" fillId="2" borderId="2" xfId="1" applyFont="1" applyFill="1" applyBorder="1"/>
    <xf numFmtId="164" fontId="12" fillId="2" borderId="2" xfId="1" applyFont="1" applyFill="1" applyBorder="1"/>
    <xf numFmtId="164" fontId="24" fillId="2" borderId="2" xfId="1" applyFont="1" applyFill="1" applyBorder="1"/>
    <xf numFmtId="10" fontId="12" fillId="2" borderId="2" xfId="0" applyNumberFormat="1" applyFont="1" applyFill="1" applyBorder="1" applyAlignment="1">
      <alignment horizontal="center"/>
    </xf>
    <xf numFmtId="10" fontId="11" fillId="2" borderId="2" xfId="0" applyNumberFormat="1" applyFont="1" applyFill="1" applyBorder="1" applyAlignment="1">
      <alignment horizontal="center"/>
    </xf>
    <xf numFmtId="167" fontId="9" fillId="5" borderId="2" xfId="0" applyNumberFormat="1" applyFont="1" applyFill="1" applyBorder="1" applyAlignment="1">
      <alignment horizontal="center" vertical="center"/>
    </xf>
    <xf numFmtId="10" fontId="10" fillId="5" borderId="2" xfId="0" applyNumberFormat="1" applyFont="1" applyFill="1" applyBorder="1" applyAlignment="1">
      <alignment horizontal="center" vertical="center"/>
    </xf>
    <xf numFmtId="10" fontId="19" fillId="5" borderId="2" xfId="0" applyNumberFormat="1" applyFont="1" applyFill="1" applyBorder="1" applyAlignment="1">
      <alignment horizontal="center" vertical="center"/>
    </xf>
    <xf numFmtId="10" fontId="11" fillId="5" borderId="2" xfId="0" applyNumberFormat="1" applyFont="1" applyFill="1" applyBorder="1" applyAlignment="1">
      <alignment horizontal="center" vertical="center"/>
    </xf>
    <xf numFmtId="167" fontId="11" fillId="5" borderId="2" xfId="0" applyNumberFormat="1" applyFont="1" applyFill="1" applyBorder="1" applyAlignment="1">
      <alignment horizontal="center" vertical="center"/>
    </xf>
    <xf numFmtId="164" fontId="20" fillId="2" borderId="2" xfId="1" applyFont="1" applyFill="1" applyBorder="1"/>
    <xf numFmtId="10" fontId="12" fillId="5" borderId="2" xfId="0" applyNumberFormat="1" applyFont="1" applyFill="1" applyBorder="1" applyAlignment="1">
      <alignment horizontal="center" vertical="center"/>
    </xf>
    <xf numFmtId="167" fontId="12" fillId="5" borderId="2" xfId="0" applyNumberFormat="1" applyFont="1" applyFill="1" applyBorder="1" applyAlignment="1">
      <alignment horizontal="right" vertical="center"/>
    </xf>
    <xf numFmtId="167" fontId="11" fillId="5" borderId="2" xfId="0" applyNumberFormat="1" applyFont="1" applyFill="1" applyBorder="1" applyAlignment="1">
      <alignment horizontal="right" vertical="center"/>
    </xf>
    <xf numFmtId="10" fontId="11" fillId="5" borderId="2" xfId="0" applyNumberFormat="1" applyFont="1" applyFill="1" applyBorder="1" applyAlignment="1">
      <alignment horizontal="right" vertical="center"/>
    </xf>
    <xf numFmtId="164" fontId="11" fillId="2" borderId="2" xfId="1" applyFont="1" applyFill="1" applyBorder="1" applyAlignment="1">
      <alignment wrapText="1"/>
    </xf>
    <xf numFmtId="0" fontId="28" fillId="0" borderId="1" xfId="0" applyFont="1" applyBorder="1" applyAlignment="1">
      <alignment horizontal="right"/>
    </xf>
    <xf numFmtId="43" fontId="3" fillId="0" borderId="0" xfId="6" applyFont="1" applyBorder="1"/>
    <xf numFmtId="167" fontId="33" fillId="2" borderId="2" xfId="0" applyNumberFormat="1" applyFont="1" applyFill="1" applyBorder="1"/>
    <xf numFmtId="0" fontId="30" fillId="0" borderId="0" xfId="0" applyFont="1" applyAlignment="1">
      <alignment horizontal="right"/>
    </xf>
    <xf numFmtId="164" fontId="32" fillId="2" borderId="0" xfId="1" applyFont="1" applyFill="1" applyBorder="1" applyAlignment="1">
      <alignment horizontal="right" vertical="top" wrapText="1"/>
    </xf>
    <xf numFmtId="164" fontId="31" fillId="2" borderId="0" xfId="1" applyFont="1" applyFill="1" applyBorder="1" applyAlignment="1">
      <alignment horizontal="right" vertical="top" wrapText="1"/>
    </xf>
    <xf numFmtId="0" fontId="34" fillId="0" borderId="2" xfId="0" applyFont="1" applyBorder="1" applyAlignment="1">
      <alignment horizontal="right"/>
    </xf>
    <xf numFmtId="16" fontId="34" fillId="2" borderId="2" xfId="0" quotePrefix="1" applyNumberFormat="1" applyFont="1" applyFill="1" applyBorder="1" applyAlignment="1">
      <alignment horizontal="right"/>
    </xf>
    <xf numFmtId="164" fontId="35" fillId="2" borderId="2" xfId="1" applyFont="1" applyFill="1" applyBorder="1" applyAlignment="1">
      <alignment horizontal="right" vertical="top" wrapText="1"/>
    </xf>
    <xf numFmtId="164" fontId="35" fillId="2" borderId="2" xfId="1" applyFont="1" applyFill="1" applyBorder="1"/>
    <xf numFmtId="4" fontId="35" fillId="2" borderId="2" xfId="0" applyNumberFormat="1" applyFont="1" applyFill="1" applyBorder="1"/>
    <xf numFmtId="4" fontId="35" fillId="2" borderId="2" xfId="0" applyNumberFormat="1" applyFont="1" applyFill="1" applyBorder="1" applyAlignment="1">
      <alignment horizontal="right"/>
    </xf>
    <xf numFmtId="167" fontId="36" fillId="2" borderId="2" xfId="0" applyNumberFormat="1" applyFont="1" applyFill="1" applyBorder="1"/>
    <xf numFmtId="0" fontId="30" fillId="0" borderId="1" xfId="0" applyFont="1" applyBorder="1" applyAlignment="1">
      <alignment horizontal="right"/>
    </xf>
    <xf numFmtId="164" fontId="31" fillId="2" borderId="2" xfId="1" applyFont="1" applyFill="1" applyBorder="1"/>
    <xf numFmtId="164" fontId="31" fillId="2" borderId="2" xfId="1" applyFont="1" applyFill="1" applyBorder="1" applyAlignment="1">
      <alignment horizontal="right" vertical="top" wrapText="1"/>
    </xf>
    <xf numFmtId="43" fontId="3" fillId="0" borderId="0" xfId="6" applyFont="1"/>
    <xf numFmtId="4" fontId="31" fillId="2" borderId="2" xfId="0" applyNumberFormat="1" applyFont="1" applyFill="1" applyBorder="1"/>
    <xf numFmtId="4" fontId="31" fillId="2" borderId="2" xfId="0" applyNumberFormat="1" applyFont="1" applyFill="1" applyBorder="1" applyAlignment="1">
      <alignment horizontal="right"/>
    </xf>
    <xf numFmtId="0" fontId="32" fillId="0" borderId="0" xfId="0" applyFont="1" applyAlignment="1">
      <alignment horizontal="right"/>
    </xf>
    <xf numFmtId="4" fontId="32" fillId="2" borderId="1" xfId="0" applyNumberFormat="1" applyFont="1" applyFill="1" applyBorder="1" applyAlignment="1">
      <alignment horizontal="right"/>
    </xf>
    <xf numFmtId="0" fontId="21" fillId="0" borderId="0" xfId="0" applyFont="1" applyAlignment="1">
      <alignment horizontal="right"/>
    </xf>
    <xf numFmtId="165" fontId="3" fillId="0" borderId="0" xfId="6" applyNumberFormat="1" applyFont="1"/>
    <xf numFmtId="0" fontId="28" fillId="0" borderId="0" xfId="0" applyFont="1" applyAlignment="1">
      <alignment horizontal="right"/>
    </xf>
    <xf numFmtId="16" fontId="28" fillId="2" borderId="0" xfId="0" quotePrefix="1" applyNumberFormat="1" applyFont="1" applyFill="1" applyAlignment="1">
      <alignment horizontal="right" wrapText="1"/>
    </xf>
    <xf numFmtId="0" fontId="28" fillId="0" borderId="0" xfId="0" applyFont="1" applyAlignment="1">
      <alignment horizontal="right" wrapText="1"/>
    </xf>
    <xf numFmtId="43" fontId="29" fillId="0" borderId="0" xfId="6" applyFont="1" applyBorder="1"/>
    <xf numFmtId="16" fontId="30" fillId="2" borderId="0" xfId="0" applyNumberFormat="1" applyFont="1" applyFill="1"/>
    <xf numFmtId="164" fontId="31" fillId="2" borderId="0" xfId="1" applyFont="1" applyFill="1" applyBorder="1"/>
    <xf numFmtId="164" fontId="3" fillId="0" borderId="0" xfId="1" applyFont="1" applyBorder="1"/>
    <xf numFmtId="4" fontId="32" fillId="2" borderId="0" xfId="0" applyNumberFormat="1" applyFont="1" applyFill="1"/>
    <xf numFmtId="167" fontId="33" fillId="2" borderId="0" xfId="0" applyNumberFormat="1" applyFont="1" applyFill="1"/>
    <xf numFmtId="4" fontId="32" fillId="2" borderId="0" xfId="0" applyNumberFormat="1" applyFont="1" applyFill="1" applyAlignment="1">
      <alignment horizontal="right"/>
    </xf>
    <xf numFmtId="4" fontId="31" fillId="2" borderId="0" xfId="0" applyNumberFormat="1" applyFont="1" applyFill="1" applyAlignment="1">
      <alignment horizontal="right"/>
    </xf>
    <xf numFmtId="4" fontId="31" fillId="2" borderId="0" xfId="0" applyNumberFormat="1" applyFont="1" applyFill="1"/>
    <xf numFmtId="167" fontId="9" fillId="2" borderId="3" xfId="0" applyNumberFormat="1" applyFont="1" applyFill="1" applyBorder="1"/>
    <xf numFmtId="167" fontId="23" fillId="4" borderId="2" xfId="0" applyNumberFormat="1" applyFont="1" applyFill="1" applyBorder="1"/>
    <xf numFmtId="10" fontId="23" fillId="4" borderId="2" xfId="0" applyNumberFormat="1" applyFont="1" applyFill="1" applyBorder="1"/>
    <xf numFmtId="10" fontId="37" fillId="4" borderId="2" xfId="0" applyNumberFormat="1" applyFont="1" applyFill="1" applyBorder="1" applyAlignment="1">
      <alignment horizontal="right" vertical="center"/>
    </xf>
    <xf numFmtId="10" fontId="23" fillId="4" borderId="2" xfId="0" applyNumberFormat="1" applyFont="1" applyFill="1" applyBorder="1" applyAlignment="1">
      <alignment horizontal="right" vertical="center"/>
    </xf>
    <xf numFmtId="167" fontId="23" fillId="4" borderId="2" xfId="0" applyNumberFormat="1" applyFont="1" applyFill="1" applyBorder="1" applyAlignment="1">
      <alignment horizontal="right" vertical="center"/>
    </xf>
    <xf numFmtId="164" fontId="23" fillId="4" borderId="2" xfId="1" applyFont="1" applyFill="1" applyBorder="1"/>
    <xf numFmtId="49" fontId="22" fillId="4" borderId="7" xfId="0" applyNumberFormat="1" applyFont="1" applyFill="1" applyBorder="1" applyAlignment="1">
      <alignment horizontal="center" vertical="top" wrapText="1"/>
    </xf>
    <xf numFmtId="164" fontId="22" fillId="4" borderId="7" xfId="1" applyFont="1" applyFill="1" applyBorder="1" applyAlignment="1">
      <alignment horizontal="center" vertical="top" wrapText="1"/>
    </xf>
    <xf numFmtId="49" fontId="10" fillId="2" borderId="4" xfId="0" applyNumberFormat="1" applyFont="1" applyFill="1" applyBorder="1" applyAlignment="1">
      <alignment horizontal="right"/>
    </xf>
    <xf numFmtId="49" fontId="10" fillId="2" borderId="5" xfId="0" applyNumberFormat="1" applyFont="1" applyFill="1" applyBorder="1" applyAlignment="1">
      <alignment horizontal="right"/>
    </xf>
    <xf numFmtId="49" fontId="10" fillId="2" borderId="6" xfId="0" applyNumberFormat="1" applyFont="1" applyFill="1" applyBorder="1" applyAlignment="1">
      <alignment horizontal="right"/>
    </xf>
    <xf numFmtId="49" fontId="11" fillId="2" borderId="4" xfId="0" applyNumberFormat="1" applyFont="1" applyFill="1" applyBorder="1" applyAlignment="1">
      <alignment horizontal="right"/>
    </xf>
    <xf numFmtId="49" fontId="11" fillId="2" borderId="5" xfId="0" applyNumberFormat="1" applyFont="1" applyFill="1" applyBorder="1" applyAlignment="1">
      <alignment horizontal="right"/>
    </xf>
    <xf numFmtId="49" fontId="11" fillId="2" borderId="6" xfId="0" applyNumberFormat="1" applyFont="1" applyFill="1" applyBorder="1" applyAlignment="1">
      <alignment horizontal="right"/>
    </xf>
    <xf numFmtId="49" fontId="23" fillId="4" borderId="4" xfId="0" applyNumberFormat="1" applyFont="1" applyFill="1" applyBorder="1" applyAlignment="1">
      <alignment horizontal="right"/>
    </xf>
    <xf numFmtId="49" fontId="23" fillId="4" borderId="5" xfId="0" applyNumberFormat="1" applyFont="1" applyFill="1" applyBorder="1" applyAlignment="1">
      <alignment horizontal="right"/>
    </xf>
    <xf numFmtId="49" fontId="23" fillId="4" borderId="6" xfId="0" applyNumberFormat="1" applyFont="1" applyFill="1" applyBorder="1" applyAlignment="1">
      <alignment horizontal="right"/>
    </xf>
    <xf numFmtId="166" fontId="13" fillId="2" borderId="2" xfId="0" applyNumberFormat="1" applyFont="1" applyFill="1" applyBorder="1" applyAlignment="1">
      <alignment horizontal="center" wrapText="1"/>
    </xf>
    <xf numFmtId="0" fontId="27" fillId="2" borderId="2" xfId="0" applyFont="1" applyFill="1" applyBorder="1" applyAlignment="1">
      <alignment horizontal="center" wrapText="1"/>
    </xf>
    <xf numFmtId="49" fontId="26" fillId="2" borderId="2" xfId="0" applyNumberFormat="1" applyFont="1" applyFill="1" applyBorder="1" applyAlignment="1">
      <alignment horizontal="center" vertical="top" wrapText="1"/>
    </xf>
    <xf numFmtId="166" fontId="19" fillId="2" borderId="2" xfId="0" applyNumberFormat="1" applyFont="1" applyFill="1" applyBorder="1" applyAlignment="1">
      <alignment horizontal="center" wrapText="1"/>
    </xf>
    <xf numFmtId="167" fontId="27" fillId="2" borderId="2" xfId="0" applyNumberFormat="1" applyFont="1" applyFill="1" applyBorder="1" applyAlignment="1">
      <alignment horizontal="center" wrapText="1"/>
    </xf>
    <xf numFmtId="49" fontId="19" fillId="2" borderId="2" xfId="0" applyNumberFormat="1" applyFont="1" applyFill="1" applyBorder="1" applyAlignment="1">
      <alignment horizontal="center" wrapText="1"/>
    </xf>
    <xf numFmtId="166" fontId="13" fillId="2" borderId="4" xfId="0" applyNumberFormat="1" applyFont="1" applyFill="1" applyBorder="1" applyAlignment="1">
      <alignment horizontal="center" wrapText="1"/>
    </xf>
    <xf numFmtId="166" fontId="13" fillId="2" borderId="5" xfId="0" applyNumberFormat="1" applyFont="1" applyFill="1" applyBorder="1" applyAlignment="1">
      <alignment horizontal="center" wrapText="1"/>
    </xf>
    <xf numFmtId="166" fontId="13" fillId="2" borderId="6" xfId="0" applyNumberFormat="1" applyFont="1" applyFill="1" applyBorder="1" applyAlignment="1">
      <alignment horizontal="center" wrapText="1"/>
    </xf>
    <xf numFmtId="49" fontId="38" fillId="7" borderId="3" xfId="0" applyNumberFormat="1" applyFont="1" applyFill="1" applyBorder="1" applyAlignment="1">
      <alignment horizontal="center"/>
    </xf>
    <xf numFmtId="0" fontId="38" fillId="7" borderId="3" xfId="0" applyFont="1" applyFill="1" applyBorder="1" applyAlignment="1">
      <alignment horizontal="center"/>
    </xf>
    <xf numFmtId="49" fontId="11" fillId="2" borderId="2" xfId="0" applyNumberFormat="1" applyFont="1" applyFill="1" applyBorder="1" applyAlignment="1">
      <alignment horizontal="center" vertical="top" wrapText="1"/>
    </xf>
    <xf numFmtId="49" fontId="23" fillId="2" borderId="2" xfId="0" applyNumberFormat="1" applyFont="1" applyFill="1" applyBorder="1" applyAlignment="1">
      <alignment horizontal="center" vertical="top" wrapText="1"/>
    </xf>
    <xf numFmtId="166" fontId="10" fillId="2" borderId="2" xfId="0" applyNumberFormat="1" applyFont="1" applyFill="1" applyBorder="1" applyAlignment="1">
      <alignment horizontal="center"/>
    </xf>
    <xf numFmtId="49" fontId="25" fillId="2" borderId="2" xfId="0" applyNumberFormat="1" applyFont="1" applyFill="1" applyBorder="1" applyAlignment="1">
      <alignment horizontal="center" vertical="top" wrapText="1"/>
    </xf>
    <xf numFmtId="0" fontId="6" fillId="3" borderId="0" xfId="0" applyFont="1" applyFill="1" applyAlignment="1">
      <alignment horizontal="center" wrapText="1"/>
    </xf>
  </cellXfs>
  <cellStyles count="8">
    <cellStyle name="Comma" xfId="1" builtinId="3"/>
    <cellStyle name="Comma 10 13" xfId="2" xr:uid="{00000000-0005-0000-0000-000001000000}"/>
    <cellStyle name="Comma 2" xfId="6" xr:uid="{00000000-0005-0000-0000-000002000000}"/>
    <cellStyle name="Comma 3 2" xfId="3" xr:uid="{00000000-0005-0000-0000-000003000000}"/>
    <cellStyle name="Normal" xfId="0" builtinId="0"/>
    <cellStyle name="Normal 2" xfId="7" xr:uid="{6E835889-8A32-48B2-8C41-226AFE52856D}"/>
    <cellStyle name="Normal 27 2" xfId="5" xr:uid="{00000000-0005-0000-0000-000005000000}"/>
    <cellStyle name="Percent 2 2" xfId="4" xr:uid="{00000000-0005-0000-0000-000007000000}"/>
  </cellStyles>
  <dxfs count="0"/>
  <tableStyles count="0" defaultTableStyle="TableStyleMedium2" defaultPivotStyle="PivotStyleLight16"/>
  <colors>
    <mruColors>
      <color rgb="FF0C6856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100" baseline="0">
                <a:solidFill>
                  <a:schemeClr val="dk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GB" sz="1800">
                <a:solidFill>
                  <a:schemeClr val="dk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NAV BY CLASS OF FUNDS (N'Bn)</a:t>
            </a:r>
            <a:endParaRPr lang="en-GB" sz="1800">
              <a:solidFill>
                <a:sysClr val="windowText" lastClr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overlay val="0"/>
      <c:spPr>
        <a:solidFill>
          <a:schemeClr val="lt1"/>
        </a:solidFill>
        <a:ln w="12700" cap="flat" cmpd="sng" algn="ctr">
          <a:solidFill>
            <a:schemeClr val="accent3"/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100" baseline="0">
              <a:solidFill>
                <a:schemeClr val="dk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4365911696382779E-2"/>
          <c:y val="0.12704992830139486"/>
          <c:w val="0.94540908679518509"/>
          <c:h val="0.7332719507050277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'NAV Comparison'!$B$4</c:f>
              <c:strCache>
                <c:ptCount val="1"/>
                <c:pt idx="0">
                  <c:v>April 2023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solidFill>
                <a:schemeClr val="lt1"/>
              </a:solidFill>
              <a:ln w="12700" cap="flat" cmpd="sng" algn="ctr">
                <a:solidFill>
                  <a:schemeClr val="accent6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'NAV Comparison'!$A$5:$A$12</c:f>
              <c:strCache>
                <c:ptCount val="8"/>
                <c:pt idx="0">
                  <c:v>EQUITY BASED FUNDS</c:v>
                </c:pt>
                <c:pt idx="1">
                  <c:v>MONEY MARKET FUNDS</c:v>
                </c:pt>
                <c:pt idx="2">
                  <c:v>BONDS/FIXED INCOME FUNDS</c:v>
                </c:pt>
                <c:pt idx="3">
                  <c:v>DOLLAR FUNDS</c:v>
                </c:pt>
                <c:pt idx="4">
                  <c:v>REAL ESTATE INVESTMENT TRUST</c:v>
                </c:pt>
                <c:pt idx="5">
                  <c:v>BALANCED FUNDS</c:v>
                </c:pt>
                <c:pt idx="6">
                  <c:v>ETHICAL FUNDS</c:v>
                </c:pt>
                <c:pt idx="7">
                  <c:v>SHARI'AH COMPLAINT FUNDS</c:v>
                </c:pt>
              </c:strCache>
            </c:strRef>
          </c:cat>
          <c:val>
            <c:numRef>
              <c:f>'NAV Comparison'!$B$5:$B$12</c:f>
              <c:numCache>
                <c:formatCode>_(* #,##0.00_);_(* \(#,##0.00\);_(* "-"??_);_(@_)</c:formatCode>
                <c:ptCount val="8"/>
                <c:pt idx="0">
                  <c:v>17.025818154790002</c:v>
                </c:pt>
                <c:pt idx="1">
                  <c:v>793.02213220629005</c:v>
                </c:pt>
                <c:pt idx="2">
                  <c:v>324.97606562525999</c:v>
                </c:pt>
                <c:pt idx="3">
                  <c:v>331.27678452063503</c:v>
                </c:pt>
                <c:pt idx="4">
                  <c:v>93.61998441546001</c:v>
                </c:pt>
                <c:pt idx="5">
                  <c:v>31.120467757330001</c:v>
                </c:pt>
                <c:pt idx="6">
                  <c:v>3.01916895959</c:v>
                </c:pt>
                <c:pt idx="7">
                  <c:v>25.071429293579602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60-45B9-A30A-C545D9245C39}"/>
            </c:ext>
          </c:extLst>
        </c:ser>
        <c:ser>
          <c:idx val="1"/>
          <c:order val="1"/>
          <c:tx>
            <c:strRef>
              <c:f>'NAV Comparison'!$C$4</c:f>
              <c:strCache>
                <c:ptCount val="1"/>
                <c:pt idx="0">
                  <c:v>May 2023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solidFill>
                <a:schemeClr val="lt1"/>
              </a:solidFill>
              <a:ln w="12700" cap="flat" cmpd="sng" algn="ctr">
                <a:solidFill>
                  <a:schemeClr val="accent6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'NAV Comparison'!$A$5:$A$12</c:f>
              <c:strCache>
                <c:ptCount val="8"/>
                <c:pt idx="0">
                  <c:v>EQUITY BASED FUNDS</c:v>
                </c:pt>
                <c:pt idx="1">
                  <c:v>MONEY MARKET FUNDS</c:v>
                </c:pt>
                <c:pt idx="2">
                  <c:v>BONDS/FIXED INCOME FUNDS</c:v>
                </c:pt>
                <c:pt idx="3">
                  <c:v>DOLLAR FUNDS</c:v>
                </c:pt>
                <c:pt idx="4">
                  <c:v>REAL ESTATE INVESTMENT TRUST</c:v>
                </c:pt>
                <c:pt idx="5">
                  <c:v>BALANCED FUNDS</c:v>
                </c:pt>
                <c:pt idx="6">
                  <c:v>ETHICAL FUNDS</c:v>
                </c:pt>
                <c:pt idx="7">
                  <c:v>SHARI'AH COMPLAINT FUNDS</c:v>
                </c:pt>
              </c:strCache>
            </c:strRef>
          </c:cat>
          <c:val>
            <c:numRef>
              <c:f>'NAV Comparison'!$C$5:$C$12</c:f>
              <c:numCache>
                <c:formatCode>_(* #,##0.00_);_(* \(#,##0.00\);_(* "-"??_);_(@_)</c:formatCode>
                <c:ptCount val="8"/>
                <c:pt idx="0">
                  <c:v>18.395824731344003</c:v>
                </c:pt>
                <c:pt idx="1">
                  <c:v>749.90059886271001</c:v>
                </c:pt>
                <c:pt idx="2">
                  <c:v>324.25729366239</c:v>
                </c:pt>
                <c:pt idx="3">
                  <c:v>329.52342707508802</c:v>
                </c:pt>
                <c:pt idx="4">
                  <c:v>92.979365311570007</c:v>
                </c:pt>
                <c:pt idx="5">
                  <c:v>33.483827699670002</c:v>
                </c:pt>
                <c:pt idx="6">
                  <c:v>3.2110145877699998</c:v>
                </c:pt>
                <c:pt idx="7">
                  <c:v>25.485626359523202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60-45B9-A30A-C545D9245C3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0944175"/>
        <c:axId val="10939183"/>
      </c:barChart>
      <c:catAx>
        <c:axId val="109441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0939183"/>
        <c:crosses val="autoZero"/>
        <c:auto val="1"/>
        <c:lblAlgn val="ctr"/>
        <c:lblOffset val="100"/>
        <c:noMultiLvlLbl val="0"/>
      </c:catAx>
      <c:valAx>
        <c:axId val="109391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09441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pattFill prst="pct40">
      <a:fgClr>
        <a:schemeClr val="accent1"/>
      </a:fgClr>
      <a:bgClr>
        <a:schemeClr val="bg1"/>
      </a:bgClr>
    </a:pattFill>
    <a:ln>
      <a:noFill/>
    </a:ln>
    <a:effectLst/>
  </c:spPr>
  <c:txPr>
    <a:bodyPr/>
    <a:lstStyle/>
    <a:p>
      <a:pPr>
        <a:defRPr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US" sz="200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PERCENTAGE MARKET</a:t>
            </a:r>
            <a:r>
              <a:rPr lang="en-US" sz="200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SHARE OF FUNDS BY CLASS</a:t>
            </a:r>
          </a:p>
        </c:rich>
      </c:tx>
      <c:layout>
        <c:manualLayout>
          <c:xMode val="edge"/>
          <c:yMode val="edge"/>
          <c:x val="0.23184380970869278"/>
          <c:y val="9.337714848108929E-3"/>
        </c:manualLayout>
      </c:layout>
      <c:overlay val="0"/>
      <c:spPr>
        <a:solidFill>
          <a:schemeClr val="dk1"/>
        </a:solidFill>
        <a:ln w="12700" cap="flat" cmpd="sng" algn="ctr">
          <a:solidFill>
            <a:schemeClr val="dk1">
              <a:shade val="15000"/>
            </a:schemeClr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lt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title>
    <c:autoTitleDeleted val="0"/>
    <c:view3D>
      <c:rotX val="30"/>
      <c:rotY val="235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5217560112984174"/>
          <c:y val="0.16745090014142081"/>
          <c:w val="0.84316500743410161"/>
          <c:h val="0.81423920364184155"/>
        </c:manualLayout>
      </c:layout>
      <c:pie3DChart>
        <c:varyColors val="1"/>
        <c:ser>
          <c:idx val="0"/>
          <c:order val="0"/>
          <c:tx>
            <c:strRef>
              <c:f>'Market Share'!$B$1</c:f>
              <c:strCache>
                <c:ptCount val="1"/>
                <c:pt idx="0">
                  <c:v>May 2023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34ED-4F83-A203-9FCC25B0DFA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34ED-4F83-A203-9FCC25B0DFAD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34ED-4F83-A203-9FCC25B0DFAD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34ED-4F83-A203-9FCC25B0DFAD}"/>
              </c:ext>
            </c:extLst>
          </c:dPt>
          <c:dPt>
            <c:idx val="4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34ED-4F83-A203-9FCC25B0DFAD}"/>
              </c:ext>
            </c:extLst>
          </c:dPt>
          <c:dPt>
            <c:idx val="5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34ED-4F83-A203-9FCC25B0DFAD}"/>
              </c:ext>
            </c:extLst>
          </c:dPt>
          <c:dPt>
            <c:idx val="6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34ED-4F83-A203-9FCC25B0DFAD}"/>
              </c:ext>
            </c:extLst>
          </c:dPt>
          <c:dPt>
            <c:idx val="7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34ED-4F83-A203-9FCC25B0DFAD}"/>
              </c:ext>
            </c:extLst>
          </c:dPt>
          <c:dLbls>
            <c:dLbl>
              <c:idx val="0"/>
              <c:layout>
                <c:manualLayout>
                  <c:x val="-4.3124205825803251E-2"/>
                  <c:y val="0.1159985586080866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4ED-4F83-A203-9FCC25B0DFAD}"/>
                </c:ext>
              </c:extLst>
            </c:dLbl>
            <c:dLbl>
              <c:idx val="1"/>
              <c:layout>
                <c:manualLayout>
                  <c:x val="-8.3929154372232542E-2"/>
                  <c:y val="5.523740886099375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4ED-4F83-A203-9FCC25B0DFAD}"/>
                </c:ext>
              </c:extLst>
            </c:dLbl>
            <c:dLbl>
              <c:idx val="2"/>
              <c:layout>
                <c:manualLayout>
                  <c:x val="-6.3908902826365646E-2"/>
                  <c:y val="-8.285611329149063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4ED-4F83-A203-9FCC25B0DFAD}"/>
                </c:ext>
              </c:extLst>
            </c:dLbl>
            <c:dLbl>
              <c:idx val="3"/>
              <c:layout>
                <c:manualLayout>
                  <c:x val="-2.652695514873012E-2"/>
                  <c:y val="-6.352302019014281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4ED-4F83-A203-9FCC25B0DFAD}"/>
                </c:ext>
              </c:extLst>
            </c:dLbl>
            <c:dLbl>
              <c:idx val="4"/>
              <c:layout>
                <c:manualLayout>
                  <c:x val="-2.2105334402515702E-2"/>
                  <c:y val="-0.1021892063928384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4ED-4F83-A203-9FCC25B0DFAD}"/>
                </c:ext>
              </c:extLst>
            </c:dLbl>
            <c:dLbl>
              <c:idx val="5"/>
              <c:layout>
                <c:manualLayout>
                  <c:x val="0.17345977414073466"/>
                  <c:y val="7.180870146235146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4ED-4F83-A203-9FCC25B0DFAD}"/>
                </c:ext>
              </c:extLst>
            </c:dLbl>
            <c:dLbl>
              <c:idx val="6"/>
              <c:layout>
                <c:manualLayout>
                  <c:x val="-0.11676596925004035"/>
                  <c:y val="0.1159985586080868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4ED-4F83-A203-9FCC25B0DFAD}"/>
                </c:ext>
              </c:extLst>
            </c:dLbl>
            <c:dLbl>
              <c:idx val="7"/>
              <c:layout>
                <c:manualLayout>
                  <c:x val="-0.23297582723395927"/>
                  <c:y val="-0.3286625827229128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4ED-4F83-A203-9FCC25B0DFAD}"/>
                </c:ext>
              </c:extLst>
            </c:dLbl>
            <c:spPr>
              <a:gradFill rotWithShape="1">
                <a:gsLst>
                  <a:gs pos="0">
                    <a:schemeClr val="dk1">
                      <a:satMod val="103000"/>
                      <a:lumMod val="102000"/>
                      <a:tint val="94000"/>
                    </a:schemeClr>
                  </a:gs>
                  <a:gs pos="50000">
                    <a:schemeClr val="dk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dk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6350" cap="flat" cmpd="sng" algn="ctr">
                <a:solidFill>
                  <a:schemeClr val="dk1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lt1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254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'Market Share'!$A$2:$A$9</c:f>
              <c:strCache>
                <c:ptCount val="8"/>
                <c:pt idx="0">
                  <c:v>ETHICAL FUNDS</c:v>
                </c:pt>
                <c:pt idx="1">
                  <c:v>EQUITY BASED FUNDS</c:v>
                </c:pt>
                <c:pt idx="2">
                  <c:v>SHARI'AH COMPLAINT FUNDS</c:v>
                </c:pt>
                <c:pt idx="3">
                  <c:v>BALANCED FUNDS</c:v>
                </c:pt>
                <c:pt idx="4">
                  <c:v>REAL ESTATE INVESTMENT TRUST</c:v>
                </c:pt>
                <c:pt idx="5">
                  <c:v>BONDS/FIXED INCOME FUNDS</c:v>
                </c:pt>
                <c:pt idx="6">
                  <c:v>DOLLAR FUNDS</c:v>
                </c:pt>
                <c:pt idx="7">
                  <c:v>MONEY MARKET FUNDS</c:v>
                </c:pt>
              </c:strCache>
            </c:strRef>
          </c:cat>
          <c:val>
            <c:numRef>
              <c:f>'Market Share'!$B$2:$B$9</c:f>
              <c:numCache>
                <c:formatCode>_-* #,##0.00_-;\-* #,##0.00_-;_-* "-"??_-;_-@_-</c:formatCode>
                <c:ptCount val="8"/>
                <c:pt idx="0">
                  <c:v>3211014587.77</c:v>
                </c:pt>
                <c:pt idx="1">
                  <c:v>18395824731.344002</c:v>
                </c:pt>
                <c:pt idx="2" formatCode="#,##0.00">
                  <c:v>25485626359.523201</c:v>
                </c:pt>
                <c:pt idx="3" formatCode="#,##0.00">
                  <c:v>33483827699.669998</c:v>
                </c:pt>
                <c:pt idx="4" formatCode="#,##0.00">
                  <c:v>92979365311.570007</c:v>
                </c:pt>
                <c:pt idx="5" formatCode="#,##0.00">
                  <c:v>324257293662.39001</c:v>
                </c:pt>
                <c:pt idx="6" formatCode="#,##0.00">
                  <c:v>329523427075.08801</c:v>
                </c:pt>
                <c:pt idx="7" formatCode="&quot; &quot;* #,##0.00&quot; &quot;;&quot;-&quot;* #,##0.00&quot; &quot;;&quot; &quot;* &quot;-&quot;??&quot; &quot;">
                  <c:v>749900598862.70996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23-4F76-8609-5E1FC182E85C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pattFill prst="pct40">
      <a:fgClr>
        <a:schemeClr val="accent1"/>
      </a:fgClr>
      <a:bgClr>
        <a:schemeClr val="bg1"/>
      </a:bgClr>
    </a:patt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50800" dist="50800" dir="5400000" algn="ctr" rotWithShape="0">
        <a:schemeClr val="accent3">
          <a:lumMod val="20000"/>
          <a:lumOff val="80000"/>
        </a:schemeClr>
      </a:outerShdw>
    </a:effec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UNITHOLDERS</a:t>
            </a:r>
            <a:endParaRPr lang="en-US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Unitholders!$B$5</c:f>
              <c:strCache>
                <c:ptCount val="1"/>
                <c:pt idx="0">
                  <c:v>UNIT HOLDERS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Unitholders!$A$6:$A$13</c:f>
              <c:strCache>
                <c:ptCount val="8"/>
                <c:pt idx="0">
                  <c:v>EQUITY BASED FUNDS</c:v>
                </c:pt>
                <c:pt idx="1">
                  <c:v>MONEY MARKET FUNDS</c:v>
                </c:pt>
                <c:pt idx="2">
                  <c:v>BONDS/FIXED INCOME FUNDS</c:v>
                </c:pt>
                <c:pt idx="3">
                  <c:v>DOLLAR FUNDS</c:v>
                </c:pt>
                <c:pt idx="4">
                  <c:v>REAL ESTATE INVESTMENT TRUST</c:v>
                </c:pt>
                <c:pt idx="5">
                  <c:v>BALANCED FUNDS</c:v>
                </c:pt>
                <c:pt idx="6">
                  <c:v>ETHICAL FUNDS</c:v>
                </c:pt>
                <c:pt idx="7">
                  <c:v>SHARI'AH COMPLAINT FUNDS</c:v>
                </c:pt>
              </c:strCache>
            </c:strRef>
          </c:cat>
          <c:val>
            <c:numRef>
              <c:f>Unitholders!$B$6:$B$13</c:f>
              <c:numCache>
                <c:formatCode>_(* #,##0_);_(* \(#,##0\);_(* "-"??_);_(@_)</c:formatCode>
                <c:ptCount val="8"/>
                <c:pt idx="0">
                  <c:v>40812</c:v>
                </c:pt>
                <c:pt idx="1">
                  <c:v>271559</c:v>
                </c:pt>
                <c:pt idx="2">
                  <c:v>50142</c:v>
                </c:pt>
                <c:pt idx="3">
                  <c:v>11055</c:v>
                </c:pt>
                <c:pt idx="4">
                  <c:v>37324</c:v>
                </c:pt>
                <c:pt idx="5">
                  <c:v>47945</c:v>
                </c:pt>
                <c:pt idx="6">
                  <c:v>11067</c:v>
                </c:pt>
                <c:pt idx="7">
                  <c:v>33383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46-4A8D-BA1E-5052EB45CBA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0"/>
        <c:axId val="1627446192"/>
        <c:axId val="1627445712"/>
      </c:barChart>
      <c:catAx>
        <c:axId val="16274461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CLASSES OF FUNDS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5444441097145832"/>
              <c:y val="0.9362383228544793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7445712"/>
        <c:crosses val="autoZero"/>
        <c:auto val="1"/>
        <c:lblAlgn val="ctr"/>
        <c:lblOffset val="100"/>
        <c:noMultiLvlLbl val="0"/>
      </c:catAx>
      <c:valAx>
        <c:axId val="1627445712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crossAx val="16274461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6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/>
  </cs:chartArea>
  <cs:dataLabel>
    <cs:lnRef idx="0"/>
    <cs:fillRef idx="0"/>
    <cs:effectRef idx="0"/>
    <cs:fontRef idx="minor">
      <a:schemeClr val="dk1"/>
    </cs:fontRef>
    <cs:defRPr sz="9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75000"/>
            <a:lumOff val="2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  <a:lumOff val="10000"/>
              </a:schemeClr>
            </a:gs>
            <a:gs pos="0">
              <a:schemeClr val="lt1">
                <a:lumMod val="75000"/>
                <a:alpha val="36000"/>
                <a:lumOff val="10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dk1"/>
    </cs:fontRef>
    <cs:spPr>
      <a:ln w="9525" cap="flat">
        <a:solidFill>
          <a:schemeClr val="bg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/>
  </cs:title>
  <cs:trendline>
    <cs:lnRef idx="0"/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defRPr sz="9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272415</xdr:colOff>
      <xdr:row>22</xdr:row>
      <xdr:rowOff>127635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593912</xdr:colOff>
      <xdr:row>30</xdr:row>
      <xdr:rowOff>179293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28574</xdr:colOff>
      <xdr:row>19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E947CFF-A8A0-93E9-35CE-6704322BB77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FE9361-D689-40A0-9638-323CAB7B0054}">
  <dimension ref="A1:U169"/>
  <sheetViews>
    <sheetView tabSelected="1" zoomScaleNormal="100" workbookViewId="0">
      <pane ySplit="2" topLeftCell="A3" activePane="bottomLeft" state="frozen"/>
      <selection activeCell="M3" sqref="M3"/>
      <selection pane="bottomLeft" activeCell="A3" sqref="A3:U3"/>
    </sheetView>
  </sheetViews>
  <sheetFormatPr defaultRowHeight="15"/>
  <cols>
    <col min="1" max="1" width="6.7109375" customWidth="1"/>
    <col min="2" max="2" width="53.7109375" customWidth="1"/>
    <col min="3" max="3" width="47.7109375" customWidth="1"/>
    <col min="4" max="4" width="21.5703125" customWidth="1"/>
    <col min="5" max="5" width="19.28515625" customWidth="1"/>
    <col min="6" max="6" width="19.7109375" customWidth="1"/>
    <col min="7" max="7" width="20" customWidth="1"/>
    <col min="8" max="8" width="22" customWidth="1"/>
    <col min="10" max="10" width="23" customWidth="1"/>
    <col min="12" max="12" width="11.5703125" customWidth="1"/>
    <col min="13" max="13" width="12.140625" customWidth="1"/>
    <col min="14" max="14" width="12.5703125" customWidth="1"/>
    <col min="15" max="15" width="12.28515625" customWidth="1"/>
    <col min="16" max="16" width="12.7109375" customWidth="1"/>
    <col min="17" max="18" width="14.42578125" customWidth="1"/>
    <col min="19" max="19" width="13.7109375" customWidth="1"/>
    <col min="20" max="21" width="20.140625" customWidth="1"/>
  </cols>
  <sheetData>
    <row r="1" spans="1:21" ht="40.5" customHeight="1">
      <c r="A1" s="128" t="s">
        <v>227</v>
      </c>
      <c r="B1" s="128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</row>
    <row r="2" spans="1:21" ht="48" customHeight="1">
      <c r="A2" s="108" t="s">
        <v>203</v>
      </c>
      <c r="B2" s="108" t="s">
        <v>10</v>
      </c>
      <c r="C2" s="108" t="s">
        <v>11</v>
      </c>
      <c r="D2" s="108" t="s">
        <v>220</v>
      </c>
      <c r="E2" s="108" t="s">
        <v>12</v>
      </c>
      <c r="F2" s="108" t="s">
        <v>13</v>
      </c>
      <c r="G2" s="109" t="s">
        <v>221</v>
      </c>
      <c r="H2" s="108" t="s">
        <v>228</v>
      </c>
      <c r="I2" s="108" t="s">
        <v>14</v>
      </c>
      <c r="J2" s="108" t="s">
        <v>222</v>
      </c>
      <c r="K2" s="108" t="s">
        <v>14</v>
      </c>
      <c r="L2" s="108" t="s">
        <v>15</v>
      </c>
      <c r="M2" s="108" t="s">
        <v>223</v>
      </c>
      <c r="N2" s="108" t="s">
        <v>224</v>
      </c>
      <c r="O2" s="108" t="s">
        <v>225</v>
      </c>
      <c r="P2" s="108" t="s">
        <v>226</v>
      </c>
      <c r="Q2" s="108" t="s">
        <v>16</v>
      </c>
      <c r="R2" s="108" t="s">
        <v>17</v>
      </c>
      <c r="S2" s="108" t="s">
        <v>18</v>
      </c>
      <c r="T2" s="108" t="s">
        <v>19</v>
      </c>
      <c r="U2" s="108" t="s">
        <v>20</v>
      </c>
    </row>
    <row r="3" spans="1:21" ht="6" customHeight="1">
      <c r="A3" s="130"/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</row>
    <row r="4" spans="1:21" ht="17.25" customHeight="1">
      <c r="A4" s="131" t="s">
        <v>0</v>
      </c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1"/>
      <c r="T4" s="131"/>
      <c r="U4" s="131"/>
    </row>
    <row r="5" spans="1:21" ht="15" customHeight="1">
      <c r="A5" s="13">
        <v>1</v>
      </c>
      <c r="B5" s="14" t="s">
        <v>21</v>
      </c>
      <c r="C5" s="14" t="s">
        <v>22</v>
      </c>
      <c r="D5" s="15">
        <v>461477949.81999999</v>
      </c>
      <c r="E5" s="15">
        <v>6943728.7999999998</v>
      </c>
      <c r="F5" s="15">
        <v>912584.63</v>
      </c>
      <c r="G5" s="16">
        <v>6031144.1699999999</v>
      </c>
      <c r="H5" s="17">
        <v>426683527.77999997</v>
      </c>
      <c r="I5" s="45">
        <f t="shared" ref="I5:I20" si="0">(H5/$H$21)</f>
        <v>2.5060970574266234E-2</v>
      </c>
      <c r="J5" s="17">
        <v>469893594.55000001</v>
      </c>
      <c r="K5" s="45">
        <f t="shared" ref="K5:K20" si="1">(J5/$J$21)</f>
        <v>2.5543491602709432E-2</v>
      </c>
      <c r="L5" s="45">
        <f t="shared" ref="L5:L21" si="2">((J5-H5)/H5)</f>
        <v>0.10126959199671602</v>
      </c>
      <c r="M5" s="46">
        <f t="shared" ref="M5" si="3">(F5/J5)</f>
        <v>1.9421091084971037E-3</v>
      </c>
      <c r="N5" s="47">
        <f t="shared" ref="N5" si="4">G5/J5</f>
        <v>1.2835127441513237E-2</v>
      </c>
      <c r="O5" s="48">
        <f t="shared" ref="O5" si="5">J5/U5</f>
        <v>219.92910752412442</v>
      </c>
      <c r="P5" s="48">
        <f t="shared" ref="P5" si="6">G5/U5</f>
        <v>2.8228181231704044</v>
      </c>
      <c r="Q5" s="19">
        <v>219.92910000000001</v>
      </c>
      <c r="R5" s="19">
        <v>223.18379999999999</v>
      </c>
      <c r="S5" s="30">
        <v>1718</v>
      </c>
      <c r="T5" s="30">
        <v>2134475.2899000002</v>
      </c>
      <c r="U5" s="30">
        <v>2136568.4599000001</v>
      </c>
    </row>
    <row r="6" spans="1:21" ht="15.75">
      <c r="A6" s="13">
        <v>2</v>
      </c>
      <c r="B6" s="14" t="s">
        <v>23</v>
      </c>
      <c r="C6" s="14" t="s">
        <v>24</v>
      </c>
      <c r="D6" s="15">
        <v>511629828.32999998</v>
      </c>
      <c r="E6" s="15">
        <v>874112.08</v>
      </c>
      <c r="F6" s="15">
        <v>4476165.1900000004</v>
      </c>
      <c r="G6" s="16">
        <v>-3602053.11</v>
      </c>
      <c r="H6" s="17">
        <v>510237098</v>
      </c>
      <c r="I6" s="45">
        <f t="shared" si="0"/>
        <v>2.9968433432166739E-2</v>
      </c>
      <c r="J6" s="17">
        <v>508627794.54000002</v>
      </c>
      <c r="K6" s="45">
        <f t="shared" si="1"/>
        <v>2.7649088962745275E-2</v>
      </c>
      <c r="L6" s="45">
        <f t="shared" si="2"/>
        <v>-3.1540306777144192E-3</v>
      </c>
      <c r="M6" s="46">
        <f t="shared" ref="M6:M20" si="7">(F6/J6)</f>
        <v>8.8004730336221949E-3</v>
      </c>
      <c r="N6" s="47">
        <f t="shared" ref="N6:N20" si="8">G6/J6</f>
        <v>-7.0819037981549463E-3</v>
      </c>
      <c r="O6" s="48">
        <f t="shared" ref="O6:O20" si="9">J6/U6</f>
        <v>171.0921881120328</v>
      </c>
      <c r="P6" s="48">
        <f t="shared" ref="P6:P20" si="10">G6/U6</f>
        <v>-1.2116584168252458</v>
      </c>
      <c r="Q6" s="19">
        <v>171.37</v>
      </c>
      <c r="R6" s="19">
        <v>172.97</v>
      </c>
      <c r="S6" s="30">
        <v>323</v>
      </c>
      <c r="T6" s="30">
        <v>2972455.15</v>
      </c>
      <c r="U6" s="30">
        <v>2972828.86</v>
      </c>
    </row>
    <row r="7" spans="1:21" ht="15.75">
      <c r="A7" s="13">
        <v>3</v>
      </c>
      <c r="B7" s="14" t="s">
        <v>25</v>
      </c>
      <c r="C7" s="20" t="s">
        <v>26</v>
      </c>
      <c r="D7" s="19">
        <v>2206446765.1100001</v>
      </c>
      <c r="E7" s="15">
        <v>34603578.350000001</v>
      </c>
      <c r="F7" s="15">
        <v>8526546.3000000007</v>
      </c>
      <c r="G7" s="16">
        <v>160331431.19999999</v>
      </c>
      <c r="H7" s="17">
        <v>2403155270</v>
      </c>
      <c r="I7" s="45">
        <f t="shared" si="0"/>
        <v>0.14114771156086278</v>
      </c>
      <c r="J7" s="17">
        <v>2562878317</v>
      </c>
      <c r="K7" s="45">
        <f t="shared" si="1"/>
        <v>0.13931847875421433</v>
      </c>
      <c r="L7" s="45">
        <f t="shared" si="2"/>
        <v>6.6463889784366695E-2</v>
      </c>
      <c r="M7" s="46">
        <f t="shared" si="7"/>
        <v>3.3269415264244092E-3</v>
      </c>
      <c r="N7" s="47">
        <f t="shared" si="8"/>
        <v>6.2559127421889224E-2</v>
      </c>
      <c r="O7" s="48">
        <f t="shared" si="9"/>
        <v>24.755324470635184</v>
      </c>
      <c r="P7" s="48">
        <f t="shared" si="10"/>
        <v>1.5486714979286786</v>
      </c>
      <c r="Q7" s="19">
        <v>24.63</v>
      </c>
      <c r="R7" s="19">
        <v>25.37</v>
      </c>
      <c r="S7" s="30">
        <v>754</v>
      </c>
      <c r="T7" s="30">
        <v>104063868</v>
      </c>
      <c r="U7" s="30">
        <v>103528367</v>
      </c>
    </row>
    <row r="8" spans="1:21" ht="15.75">
      <c r="A8" s="13">
        <v>4</v>
      </c>
      <c r="B8" s="21" t="s">
        <v>27</v>
      </c>
      <c r="C8" s="21" t="s">
        <v>28</v>
      </c>
      <c r="D8" s="15">
        <v>217007810.18000001</v>
      </c>
      <c r="E8" s="15">
        <v>854204.05</v>
      </c>
      <c r="F8" s="15">
        <v>497741.28</v>
      </c>
      <c r="G8" s="16">
        <v>356462.77</v>
      </c>
      <c r="H8" s="17">
        <v>250737916.84</v>
      </c>
      <c r="I8" s="45">
        <f t="shared" si="0"/>
        <v>1.4726923226855801E-2</v>
      </c>
      <c r="J8" s="17">
        <v>277144564.86000001</v>
      </c>
      <c r="K8" s="45">
        <f t="shared" si="1"/>
        <v>1.5065623254595545E-2</v>
      </c>
      <c r="L8" s="45">
        <f t="shared" si="2"/>
        <v>0.10531573506232218</v>
      </c>
      <c r="M8" s="46">
        <f t="shared" si="7"/>
        <v>1.7959626242406549E-3</v>
      </c>
      <c r="N8" s="47">
        <f t="shared" si="8"/>
        <v>1.286197945754656E-3</v>
      </c>
      <c r="O8" s="48">
        <f t="shared" si="9"/>
        <v>152.65376905856891</v>
      </c>
      <c r="P8" s="48">
        <f t="shared" si="10"/>
        <v>0.19634296417483699</v>
      </c>
      <c r="Q8" s="19">
        <v>151.13</v>
      </c>
      <c r="R8" s="19">
        <v>154.18</v>
      </c>
      <c r="S8" s="30">
        <v>1411</v>
      </c>
      <c r="T8" s="30">
        <v>1821918.36</v>
      </c>
      <c r="U8" s="30">
        <v>1815510.79</v>
      </c>
    </row>
    <row r="9" spans="1:21" ht="15.75">
      <c r="A9" s="13">
        <v>5</v>
      </c>
      <c r="B9" s="14" t="s">
        <v>29</v>
      </c>
      <c r="C9" s="14" t="s">
        <v>30</v>
      </c>
      <c r="D9" s="15">
        <v>440208573.58999997</v>
      </c>
      <c r="E9" s="15">
        <v>1002267.66</v>
      </c>
      <c r="F9" s="15">
        <v>1011779.35</v>
      </c>
      <c r="G9" s="16">
        <v>38865878.229999997</v>
      </c>
      <c r="H9" s="17">
        <v>388207019.61000001</v>
      </c>
      <c r="I9" s="45">
        <f t="shared" si="0"/>
        <v>2.2801078695932321E-2</v>
      </c>
      <c r="J9" s="17">
        <v>440208573.58999997</v>
      </c>
      <c r="K9" s="45">
        <f t="shared" si="1"/>
        <v>2.3929809074552878E-2</v>
      </c>
      <c r="L9" s="45">
        <f t="shared" si="2"/>
        <v>0.13395315219246084</v>
      </c>
      <c r="M9" s="46">
        <f t="shared" si="7"/>
        <v>2.2984090058689945E-3</v>
      </c>
      <c r="N9" s="47">
        <f t="shared" si="8"/>
        <v>8.8289689392098872E-2</v>
      </c>
      <c r="O9" s="48">
        <f t="shared" si="9"/>
        <v>201.40091675527461</v>
      </c>
      <c r="P9" s="48">
        <f t="shared" si="10"/>
        <v>17.781624383607156</v>
      </c>
      <c r="Q9" s="19">
        <v>201.4</v>
      </c>
      <c r="R9" s="19">
        <v>204.02</v>
      </c>
      <c r="S9" s="30">
        <v>1450</v>
      </c>
      <c r="T9" s="30">
        <v>2156021.19</v>
      </c>
      <c r="U9" s="30">
        <v>2185732.7200000002</v>
      </c>
    </row>
    <row r="10" spans="1:21" ht="15.75">
      <c r="A10" s="13">
        <v>6</v>
      </c>
      <c r="B10" s="14" t="s">
        <v>31</v>
      </c>
      <c r="C10" s="20" t="s">
        <v>32</v>
      </c>
      <c r="D10" s="15">
        <v>269301670.07999998</v>
      </c>
      <c r="E10" s="15">
        <v>14584212.609999999</v>
      </c>
      <c r="F10" s="15">
        <v>754946.44</v>
      </c>
      <c r="G10" s="16">
        <v>13829266.17</v>
      </c>
      <c r="H10" s="17">
        <v>264093913.03</v>
      </c>
      <c r="I10" s="45">
        <f t="shared" si="0"/>
        <v>1.5511378697281605E-2</v>
      </c>
      <c r="J10" s="17">
        <v>283421441.63</v>
      </c>
      <c r="K10" s="45">
        <f t="shared" si="1"/>
        <v>1.5406835288394987E-2</v>
      </c>
      <c r="L10" s="45">
        <f t="shared" si="2"/>
        <v>7.3184301668491936E-2</v>
      </c>
      <c r="M10" s="46">
        <f t="shared" si="7"/>
        <v>2.6636885186180257E-3</v>
      </c>
      <c r="N10" s="47">
        <f t="shared" si="8"/>
        <v>4.8794001224698381E-2</v>
      </c>
      <c r="O10" s="48">
        <f t="shared" si="9"/>
        <v>142.43500280425965</v>
      </c>
      <c r="P10" s="48">
        <f t="shared" si="10"/>
        <v>6.949973701270963</v>
      </c>
      <c r="Q10" s="19">
        <v>142.44</v>
      </c>
      <c r="R10" s="19">
        <v>145.36000000000001</v>
      </c>
      <c r="S10" s="30">
        <v>2470</v>
      </c>
      <c r="T10" s="30">
        <v>1989830</v>
      </c>
      <c r="U10" s="30">
        <v>1989830</v>
      </c>
    </row>
    <row r="11" spans="1:21" ht="15.75">
      <c r="A11" s="13">
        <v>7</v>
      </c>
      <c r="B11" s="14" t="s">
        <v>33</v>
      </c>
      <c r="C11" s="14" t="s">
        <v>34</v>
      </c>
      <c r="D11" s="15">
        <v>29880751.049452055</v>
      </c>
      <c r="E11" s="15">
        <v>70663.009999999995</v>
      </c>
      <c r="F11" s="15">
        <v>33780.289425290262</v>
      </c>
      <c r="G11" s="16">
        <v>36882.720574709732</v>
      </c>
      <c r="H11" s="17">
        <v>25669724.27</v>
      </c>
      <c r="I11" s="45">
        <f t="shared" si="0"/>
        <v>1.5076940230786E-3</v>
      </c>
      <c r="J11" s="17">
        <v>32114613.764001053</v>
      </c>
      <c r="K11" s="45">
        <f t="shared" si="1"/>
        <v>1.7457555849225985E-3</v>
      </c>
      <c r="L11" s="45">
        <f t="shared" si="2"/>
        <v>0.25106968139635</v>
      </c>
      <c r="M11" s="46">
        <f t="shared" si="7"/>
        <v>1.0518665948633127E-3</v>
      </c>
      <c r="N11" s="47">
        <f t="shared" si="8"/>
        <v>1.1484715601983511E-3</v>
      </c>
      <c r="O11" s="48">
        <f t="shared" si="9"/>
        <v>127.43894350794069</v>
      </c>
      <c r="P11" s="48">
        <f t="shared" si="10"/>
        <v>0.14636000228059418</v>
      </c>
      <c r="Q11" s="19">
        <v>125.3875441673008</v>
      </c>
      <c r="R11" s="19">
        <v>129.18634455456271</v>
      </c>
      <c r="S11" s="30">
        <v>2</v>
      </c>
      <c r="T11" s="30">
        <v>252000</v>
      </c>
      <c r="U11" s="30">
        <v>252000</v>
      </c>
    </row>
    <row r="12" spans="1:21" ht="15.75">
      <c r="A12" s="13">
        <v>8</v>
      </c>
      <c r="B12" s="20" t="s">
        <v>206</v>
      </c>
      <c r="C12" s="20" t="s">
        <v>207</v>
      </c>
      <c r="D12" s="15">
        <v>403923301.22000003</v>
      </c>
      <c r="E12" s="15">
        <v>10358913.630000001</v>
      </c>
      <c r="F12" s="15">
        <v>766623.06</v>
      </c>
      <c r="G12" s="16">
        <v>50370086.469999999</v>
      </c>
      <c r="H12" s="17">
        <v>355119227.72000003</v>
      </c>
      <c r="I12" s="45">
        <f t="shared" si="0"/>
        <v>2.0857689450893831E-2</v>
      </c>
      <c r="J12" s="17">
        <v>406650314.75999999</v>
      </c>
      <c r="K12" s="45">
        <f t="shared" si="1"/>
        <v>2.2105576710954564E-2</v>
      </c>
      <c r="L12" s="45">
        <f t="shared" si="2"/>
        <v>0.14510925632174035</v>
      </c>
      <c r="M12" s="46">
        <f t="shared" si="7"/>
        <v>1.8852144758634984E-3</v>
      </c>
      <c r="N12" s="47">
        <f t="shared" si="8"/>
        <v>0.12386584896590527</v>
      </c>
      <c r="O12" s="48">
        <f t="shared" si="9"/>
        <v>1.5152190998678214</v>
      </c>
      <c r="P12" s="48">
        <f t="shared" si="10"/>
        <v>0.1876839001744825</v>
      </c>
      <c r="Q12" s="19">
        <v>1.45</v>
      </c>
      <c r="R12" s="19">
        <v>1.49</v>
      </c>
      <c r="S12" s="30">
        <v>204</v>
      </c>
      <c r="T12" s="30">
        <v>268770963.82999998</v>
      </c>
      <c r="U12" s="30">
        <v>268377236.53</v>
      </c>
    </row>
    <row r="13" spans="1:21" ht="15.75">
      <c r="A13" s="13">
        <v>9</v>
      </c>
      <c r="B13" s="14" t="s">
        <v>35</v>
      </c>
      <c r="C13" s="20" t="s">
        <v>36</v>
      </c>
      <c r="D13" s="15">
        <v>1146031587.6099999</v>
      </c>
      <c r="E13" s="16">
        <v>24361521.57</v>
      </c>
      <c r="F13" s="15">
        <v>1659532.46</v>
      </c>
      <c r="G13" s="16">
        <v>22701989.109999999</v>
      </c>
      <c r="H13" s="17">
        <v>1024544948.01</v>
      </c>
      <c r="I13" s="45">
        <f t="shared" si="0"/>
        <v>6.0175959750971335E-2</v>
      </c>
      <c r="J13" s="17">
        <v>1141455216.98</v>
      </c>
      <c r="K13" s="45">
        <f t="shared" si="1"/>
        <v>6.2049689733948948E-2</v>
      </c>
      <c r="L13" s="45">
        <f t="shared" si="2"/>
        <v>0.1141094582498092</v>
      </c>
      <c r="M13" s="46">
        <f t="shared" si="7"/>
        <v>1.4538743485624434E-3</v>
      </c>
      <c r="N13" s="47">
        <f t="shared" si="8"/>
        <v>1.9888637567458567E-2</v>
      </c>
      <c r="O13" s="48">
        <f t="shared" si="9"/>
        <v>2.3232999960796463</v>
      </c>
      <c r="P13" s="48">
        <f t="shared" si="10"/>
        <v>4.6207271582505996E-2</v>
      </c>
      <c r="Q13" s="19">
        <v>2.2999999999999998</v>
      </c>
      <c r="R13" s="19">
        <v>2.34</v>
      </c>
      <c r="S13" s="30">
        <v>3678</v>
      </c>
      <c r="T13" s="30">
        <v>491295857</v>
      </c>
      <c r="U13" s="30">
        <v>491307717</v>
      </c>
    </row>
    <row r="14" spans="1:21" ht="15.75">
      <c r="A14" s="13">
        <v>10</v>
      </c>
      <c r="B14" s="14" t="s">
        <v>37</v>
      </c>
      <c r="C14" s="14" t="s">
        <v>38</v>
      </c>
      <c r="D14" s="15">
        <v>328298523.86000001</v>
      </c>
      <c r="E14" s="15">
        <v>11341768.880000001</v>
      </c>
      <c r="F14" s="15">
        <v>612480.06999999995</v>
      </c>
      <c r="G14" s="16">
        <v>38386831.57</v>
      </c>
      <c r="H14" s="17">
        <v>314349054.19</v>
      </c>
      <c r="I14" s="45">
        <f t="shared" si="0"/>
        <v>1.8463080677363037E-2</v>
      </c>
      <c r="J14" s="17">
        <v>355032053.18000001</v>
      </c>
      <c r="K14" s="45">
        <f t="shared" si="1"/>
        <v>1.9299599684436727E-2</v>
      </c>
      <c r="L14" s="45">
        <f t="shared" si="2"/>
        <v>0.12941982311615369</v>
      </c>
      <c r="M14" s="46">
        <f t="shared" si="7"/>
        <v>1.7251402078039266E-3</v>
      </c>
      <c r="N14" s="47">
        <f t="shared" si="8"/>
        <v>0.10812215749584168</v>
      </c>
      <c r="O14" s="48">
        <f t="shared" si="9"/>
        <v>14.545710423228078</v>
      </c>
      <c r="P14" s="48">
        <f t="shared" si="10"/>
        <v>1.5727135932691723</v>
      </c>
      <c r="Q14" s="19">
        <v>13.69</v>
      </c>
      <c r="R14" s="19">
        <v>13.75</v>
      </c>
      <c r="S14" s="30">
        <v>213</v>
      </c>
      <c r="T14" s="30">
        <v>24107118.870000001</v>
      </c>
      <c r="U14" s="30">
        <v>24408024.280000001</v>
      </c>
    </row>
    <row r="15" spans="1:21" ht="15.75">
      <c r="A15" s="13">
        <v>11</v>
      </c>
      <c r="B15" s="21" t="s">
        <v>39</v>
      </c>
      <c r="C15" s="21" t="s">
        <v>40</v>
      </c>
      <c r="D15" s="15">
        <v>343849277.17000002</v>
      </c>
      <c r="E15" s="15">
        <v>553205.49</v>
      </c>
      <c r="F15" s="15">
        <v>464548.27</v>
      </c>
      <c r="G15" s="16">
        <v>88657.22</v>
      </c>
      <c r="H15" s="17">
        <v>301376092.56</v>
      </c>
      <c r="I15" s="45">
        <f t="shared" si="0"/>
        <v>1.7701122484690208E-2</v>
      </c>
      <c r="J15" s="17">
        <v>344566786.22000003</v>
      </c>
      <c r="K15" s="45">
        <f t="shared" si="1"/>
        <v>1.8730706084240125E-2</v>
      </c>
      <c r="L15" s="45">
        <f t="shared" si="2"/>
        <v>0.14331161205629253</v>
      </c>
      <c r="M15" s="46">
        <f t="shared" si="7"/>
        <v>1.3482096608794843E-3</v>
      </c>
      <c r="N15" s="47">
        <f t="shared" si="8"/>
        <v>2.5730053953428316E-4</v>
      </c>
      <c r="O15" s="48">
        <f t="shared" si="9"/>
        <v>1.7527097539749286</v>
      </c>
      <c r="P15" s="48">
        <f t="shared" si="10"/>
        <v>4.5097316534474974E-4</v>
      </c>
      <c r="Q15" s="19">
        <v>1.73</v>
      </c>
      <c r="R15" s="19">
        <v>1.76</v>
      </c>
      <c r="S15" s="30">
        <v>16</v>
      </c>
      <c r="T15" s="30">
        <v>196590899</v>
      </c>
      <c r="U15" s="30">
        <v>196590899</v>
      </c>
    </row>
    <row r="16" spans="1:21" ht="15.75">
      <c r="A16" s="13">
        <v>12</v>
      </c>
      <c r="B16" s="14" t="s">
        <v>41</v>
      </c>
      <c r="C16" s="14" t="s">
        <v>42</v>
      </c>
      <c r="D16" s="15">
        <v>855305817.32000005</v>
      </c>
      <c r="E16" s="15">
        <v>31298527.989999998</v>
      </c>
      <c r="F16" s="15">
        <v>1364183.87</v>
      </c>
      <c r="G16" s="16">
        <v>29934344.120000001</v>
      </c>
      <c r="H16" s="17">
        <v>725740146.12</v>
      </c>
      <c r="I16" s="45">
        <f t="shared" si="0"/>
        <v>4.2625860297692782E-2</v>
      </c>
      <c r="J16" s="17">
        <v>852144461.77999997</v>
      </c>
      <c r="K16" s="45">
        <f t="shared" si="1"/>
        <v>4.6322710409827987E-2</v>
      </c>
      <c r="L16" s="45">
        <f t="shared" si="2"/>
        <v>0.17417296856979883</v>
      </c>
      <c r="M16" s="46">
        <f t="shared" si="7"/>
        <v>1.6008833374923635E-3</v>
      </c>
      <c r="N16" s="47">
        <f t="shared" si="8"/>
        <v>3.5128250505168705E-2</v>
      </c>
      <c r="O16" s="48">
        <f t="shared" si="9"/>
        <v>21.668785290324831</v>
      </c>
      <c r="P16" s="48">
        <f t="shared" si="10"/>
        <v>0.76118651782124547</v>
      </c>
      <c r="Q16" s="19">
        <v>21.39</v>
      </c>
      <c r="R16" s="19">
        <v>21.83</v>
      </c>
      <c r="S16" s="30">
        <v>8852</v>
      </c>
      <c r="T16" s="30">
        <v>39321075.920000002</v>
      </c>
      <c r="U16" s="30">
        <v>39325899</v>
      </c>
    </row>
    <row r="17" spans="1:21" ht="15.75">
      <c r="A17" s="13">
        <v>13</v>
      </c>
      <c r="B17" s="20" t="s">
        <v>43</v>
      </c>
      <c r="C17" s="14" t="s">
        <v>44</v>
      </c>
      <c r="D17" s="22">
        <v>365863942.88999999</v>
      </c>
      <c r="E17" s="22">
        <v>8328549.9100000001</v>
      </c>
      <c r="F17" s="22">
        <v>457145.3</v>
      </c>
      <c r="G17" s="22">
        <v>35261696.789999999</v>
      </c>
      <c r="H17" s="19">
        <v>352642162.57999998</v>
      </c>
      <c r="I17" s="45">
        <f t="shared" si="0"/>
        <v>2.0712200692733732E-2</v>
      </c>
      <c r="J17" s="19">
        <v>370323567.38999999</v>
      </c>
      <c r="K17" s="45">
        <f t="shared" si="1"/>
        <v>2.0130848863710832E-2</v>
      </c>
      <c r="L17" s="45">
        <f t="shared" si="2"/>
        <v>5.0139792362431476E-2</v>
      </c>
      <c r="M17" s="46">
        <f t="shared" si="7"/>
        <v>1.2344483048214027E-3</v>
      </c>
      <c r="N17" s="47">
        <f t="shared" si="8"/>
        <v>9.521861392327953E-2</v>
      </c>
      <c r="O17" s="48">
        <f t="shared" si="9"/>
        <v>3884.0592159146722</v>
      </c>
      <c r="P17" s="48">
        <f t="shared" si="10"/>
        <v>369.83473493533501</v>
      </c>
      <c r="Q17" s="22">
        <v>3856.47</v>
      </c>
      <c r="R17" s="22">
        <v>3902.97</v>
      </c>
      <c r="S17" s="50">
        <v>19</v>
      </c>
      <c r="T17" s="50">
        <v>100650</v>
      </c>
      <c r="U17" s="50">
        <v>95344.47</v>
      </c>
    </row>
    <row r="18" spans="1:21" ht="15.75">
      <c r="A18" s="13">
        <v>14</v>
      </c>
      <c r="B18" s="14" t="s">
        <v>45</v>
      </c>
      <c r="C18" s="14" t="s">
        <v>44</v>
      </c>
      <c r="D18" s="22">
        <v>8142575077.4399996</v>
      </c>
      <c r="E18" s="22">
        <v>112626995.98999999</v>
      </c>
      <c r="F18" s="22">
        <v>23396628.07</v>
      </c>
      <c r="G18" s="22">
        <v>633718366.95000005</v>
      </c>
      <c r="H18" s="19">
        <v>7449677740.5699997</v>
      </c>
      <c r="I18" s="45">
        <f t="shared" si="0"/>
        <v>0.43755182117190222</v>
      </c>
      <c r="J18" s="19">
        <v>8094694060.2299995</v>
      </c>
      <c r="K18" s="45">
        <f t="shared" si="1"/>
        <v>0.44002887494561382</v>
      </c>
      <c r="L18" s="45">
        <f t="shared" si="2"/>
        <v>8.6583117031670084E-2</v>
      </c>
      <c r="M18" s="46">
        <f t="shared" si="7"/>
        <v>2.8903659478558747E-3</v>
      </c>
      <c r="N18" s="47">
        <f t="shared" si="8"/>
        <v>7.8288118393938885E-2</v>
      </c>
      <c r="O18" s="48">
        <f t="shared" si="9"/>
        <v>14084.751334939499</v>
      </c>
      <c r="P18" s="48">
        <f t="shared" si="10"/>
        <v>1102.6686800589323</v>
      </c>
      <c r="Q18" s="22">
        <v>13981.74</v>
      </c>
      <c r="R18" s="22">
        <v>14155.36</v>
      </c>
      <c r="S18" s="50">
        <v>16927</v>
      </c>
      <c r="T18" s="50">
        <v>575757.62</v>
      </c>
      <c r="U18" s="50">
        <v>574713.31000000006</v>
      </c>
    </row>
    <row r="19" spans="1:21" ht="15.75">
      <c r="A19" s="13">
        <v>15</v>
      </c>
      <c r="B19" s="23" t="s">
        <v>46</v>
      </c>
      <c r="C19" s="24" t="s">
        <v>47</v>
      </c>
      <c r="D19" s="19">
        <v>51362635.869999997</v>
      </c>
      <c r="E19" s="22">
        <v>389855.92</v>
      </c>
      <c r="F19" s="22">
        <v>87307.199999999997</v>
      </c>
      <c r="G19" s="22">
        <v>302548.71999999997</v>
      </c>
      <c r="H19" s="19">
        <v>58214860.509999998</v>
      </c>
      <c r="I19" s="45">
        <f t="shared" si="0"/>
        <v>3.41921075279557E-3</v>
      </c>
      <c r="J19" s="19">
        <v>53362635.869999997</v>
      </c>
      <c r="K19" s="45">
        <f t="shared" si="1"/>
        <v>2.900801494323724E-3</v>
      </c>
      <c r="L19" s="45">
        <f t="shared" si="2"/>
        <v>-8.3350275127198808E-2</v>
      </c>
      <c r="M19" s="46">
        <f t="shared" si="7"/>
        <v>1.6361110836558832E-3</v>
      </c>
      <c r="N19" s="47">
        <f t="shared" si="8"/>
        <v>5.6696734534826491E-3</v>
      </c>
      <c r="O19" s="48">
        <f t="shared" si="9"/>
        <v>101.29359131197518</v>
      </c>
      <c r="P19" s="48">
        <f t="shared" si="10"/>
        <v>0.57430158566942635</v>
      </c>
      <c r="Q19" s="22">
        <v>101.76</v>
      </c>
      <c r="R19" s="22">
        <v>102.1895</v>
      </c>
      <c r="S19" s="50">
        <v>11</v>
      </c>
      <c r="T19" s="50">
        <v>523750.12</v>
      </c>
      <c r="U19" s="50">
        <v>526811.56999999995</v>
      </c>
    </row>
    <row r="20" spans="1:21" ht="15.75">
      <c r="A20" s="13">
        <v>16</v>
      </c>
      <c r="B20" s="14" t="s">
        <v>48</v>
      </c>
      <c r="C20" s="14" t="s">
        <v>49</v>
      </c>
      <c r="D20" s="15">
        <v>50700929820</v>
      </c>
      <c r="E20" s="15">
        <v>64747340</v>
      </c>
      <c r="F20" s="15">
        <v>3582451</v>
      </c>
      <c r="G20" s="16">
        <v>102428579</v>
      </c>
      <c r="H20" s="17">
        <v>2175369453</v>
      </c>
      <c r="I20" s="45">
        <f t="shared" si="0"/>
        <v>0.12776886451051325</v>
      </c>
      <c r="J20" s="17">
        <v>2203306735</v>
      </c>
      <c r="K20" s="45">
        <f t="shared" si="1"/>
        <v>0.11977210955080816</v>
      </c>
      <c r="L20" s="45">
        <f t="shared" si="2"/>
        <v>1.2842545877194498E-2</v>
      </c>
      <c r="M20" s="46">
        <f t="shared" si="7"/>
        <v>1.6259429261899841E-3</v>
      </c>
      <c r="N20" s="47">
        <f t="shared" si="8"/>
        <v>4.648856982684256E-2</v>
      </c>
      <c r="O20" s="48">
        <f t="shared" si="9"/>
        <v>1.1288160835941348</v>
      </c>
      <c r="P20" s="48">
        <f t="shared" si="10"/>
        <v>5.247704532382888E-2</v>
      </c>
      <c r="Q20" s="19">
        <v>1.1299999999999999</v>
      </c>
      <c r="R20" s="19">
        <v>1.1499999999999999</v>
      </c>
      <c r="S20" s="30">
        <v>2764</v>
      </c>
      <c r="T20" s="30">
        <v>1941620272</v>
      </c>
      <c r="U20" s="30">
        <v>1951873974</v>
      </c>
    </row>
    <row r="21" spans="1:21" ht="15.75">
      <c r="A21" s="110" t="s">
        <v>50</v>
      </c>
      <c r="B21" s="111"/>
      <c r="C21" s="111"/>
      <c r="D21" s="111"/>
      <c r="E21" s="111"/>
      <c r="F21" s="111"/>
      <c r="G21" s="112"/>
      <c r="H21" s="27">
        <f>SUM(H5:H20)</f>
        <v>17025818154.789999</v>
      </c>
      <c r="I21" s="53">
        <f>(H21/$H$167)</f>
        <v>1.0515399437655318E-2</v>
      </c>
      <c r="J21" s="27">
        <f>SUM(J5:J20)</f>
        <v>18395824731.344002</v>
      </c>
      <c r="K21" s="53">
        <f>(J21/$J$167)</f>
        <v>1.1287784576448308E-2</v>
      </c>
      <c r="L21" s="45">
        <f t="shared" si="2"/>
        <v>8.0466416597346824E-2</v>
      </c>
      <c r="M21" s="61"/>
      <c r="N21" s="61"/>
      <c r="O21" s="62"/>
      <c r="P21" s="62"/>
      <c r="Q21" s="26"/>
      <c r="R21" s="26"/>
      <c r="S21" s="52">
        <f>SUM(S5:S20)</f>
        <v>40812</v>
      </c>
      <c r="T21" s="51"/>
      <c r="U21" s="51"/>
    </row>
    <row r="22" spans="1:21" ht="6.75" customHeight="1">
      <c r="A22" s="132"/>
      <c r="B22" s="132"/>
      <c r="C22" s="132"/>
      <c r="D22" s="132"/>
      <c r="E22" s="132"/>
      <c r="F22" s="132"/>
      <c r="G22" s="132"/>
      <c r="H22" s="132"/>
      <c r="I22" s="132"/>
      <c r="J22" s="132"/>
      <c r="K22" s="132"/>
      <c r="L22" s="132"/>
      <c r="M22" s="132"/>
      <c r="N22" s="132"/>
      <c r="O22" s="132"/>
      <c r="P22" s="132"/>
      <c r="Q22" s="132"/>
      <c r="R22" s="132"/>
      <c r="S22" s="132"/>
      <c r="T22" s="132"/>
      <c r="U22" s="132"/>
    </row>
    <row r="23" spans="1:21">
      <c r="A23" s="133" t="s">
        <v>1</v>
      </c>
      <c r="B23" s="133"/>
      <c r="C23" s="133"/>
      <c r="D23" s="133"/>
      <c r="E23" s="133"/>
      <c r="F23" s="133"/>
      <c r="G23" s="133"/>
      <c r="H23" s="133"/>
      <c r="I23" s="133"/>
      <c r="J23" s="133"/>
      <c r="K23" s="133"/>
      <c r="L23" s="133"/>
      <c r="M23" s="133"/>
      <c r="N23" s="133"/>
      <c r="O23" s="133"/>
      <c r="P23" s="133"/>
      <c r="Q23" s="133"/>
      <c r="R23" s="133"/>
      <c r="S23" s="133"/>
      <c r="T23" s="133"/>
      <c r="U23" s="133"/>
    </row>
    <row r="24" spans="1:21" ht="13.5" customHeight="1">
      <c r="A24" s="13">
        <v>17</v>
      </c>
      <c r="B24" s="14" t="s">
        <v>51</v>
      </c>
      <c r="C24" s="14" t="s">
        <v>22</v>
      </c>
      <c r="D24" s="19">
        <v>801344968.41999996</v>
      </c>
      <c r="E24" s="19">
        <v>9258064.3800000008</v>
      </c>
      <c r="F24" s="19">
        <v>1677851.2</v>
      </c>
      <c r="G24" s="16">
        <v>7580213.1799999997</v>
      </c>
      <c r="H24" s="19">
        <v>757615511.02999997</v>
      </c>
      <c r="I24" s="45">
        <f t="shared" ref="I24:I52" si="11">(H24/$H$53)</f>
        <v>9.5535229126861299E-4</v>
      </c>
      <c r="J24" s="19">
        <v>792435714.33000004</v>
      </c>
      <c r="K24" s="45">
        <f t="shared" ref="K24:K52" si="12">(J24/$J$53)</f>
        <v>9.8761334839273288E-4</v>
      </c>
      <c r="L24" s="45">
        <f t="shared" ref="L24:L53" si="13">((J24-H24)/H24)</f>
        <v>4.5960256611775288E-2</v>
      </c>
      <c r="M24" s="46">
        <f t="shared" ref="M24" si="14">(F24/J24)</f>
        <v>2.1173341504662165E-3</v>
      </c>
      <c r="N24" s="47">
        <f t="shared" ref="N24" si="15">G24/J24</f>
        <v>9.5657137139623094E-3</v>
      </c>
      <c r="O24" s="55">
        <f t="shared" ref="O24" si="16">J24/U24</f>
        <v>101.52962975258073</v>
      </c>
      <c r="P24" s="55">
        <f t="shared" ref="P24" si="17">G24/U24</f>
        <v>0.97120337169777715</v>
      </c>
      <c r="Q24" s="19">
        <v>100</v>
      </c>
      <c r="R24" s="19">
        <v>100</v>
      </c>
      <c r="S24" s="30">
        <v>700</v>
      </c>
      <c r="T24" s="30">
        <v>7456770</v>
      </c>
      <c r="U24" s="30">
        <v>7804970</v>
      </c>
    </row>
    <row r="25" spans="1:21" ht="15" customHeight="1">
      <c r="A25" s="13">
        <v>18</v>
      </c>
      <c r="B25" s="14" t="s">
        <v>52</v>
      </c>
      <c r="C25" s="14" t="s">
        <v>53</v>
      </c>
      <c r="D25" s="19">
        <v>3187151509.77</v>
      </c>
      <c r="E25" s="19">
        <v>39569650.659999996</v>
      </c>
      <c r="F25" s="19">
        <v>5377669.6500000004</v>
      </c>
      <c r="G25" s="16">
        <v>34191981.009999998</v>
      </c>
      <c r="H25" s="19">
        <v>2917954564</v>
      </c>
      <c r="I25" s="45">
        <f t="shared" si="11"/>
        <v>3.6795373615637608E-3</v>
      </c>
      <c r="J25" s="19">
        <v>3167310872.9400001</v>
      </c>
      <c r="K25" s="45">
        <f t="shared" si="12"/>
        <v>3.947422409235752E-3</v>
      </c>
      <c r="L25" s="45">
        <f t="shared" ref="L25:L52" si="18">((J25-H25)/H25)</f>
        <v>8.5455857338017152E-2</v>
      </c>
      <c r="M25" s="46">
        <f t="shared" ref="M25:M52" si="19">(F25/J25)</f>
        <v>1.6978660654829484E-3</v>
      </c>
      <c r="N25" s="47">
        <f t="shared" ref="N25:N52" si="20">G25/J25</f>
        <v>1.079527156684241E-2</v>
      </c>
      <c r="O25" s="55">
        <f t="shared" ref="O25:O52" si="21">J25/U25</f>
        <v>102.04144460789547</v>
      </c>
      <c r="P25" s="55">
        <f t="shared" ref="P25:P52" si="22">G25/U25</f>
        <v>1.1015651056151388</v>
      </c>
      <c r="Q25" s="19">
        <v>100</v>
      </c>
      <c r="R25" s="19">
        <v>100</v>
      </c>
      <c r="S25" s="60">
        <v>1009</v>
      </c>
      <c r="T25" s="30">
        <v>28678673.059999999</v>
      </c>
      <c r="U25" s="30">
        <v>31039455.440000001</v>
      </c>
    </row>
    <row r="26" spans="1:21" ht="15.75">
      <c r="A26" s="13">
        <v>19</v>
      </c>
      <c r="B26" s="14" t="s">
        <v>54</v>
      </c>
      <c r="C26" s="14" t="s">
        <v>24</v>
      </c>
      <c r="D26" s="19">
        <v>456141049.60000002</v>
      </c>
      <c r="E26" s="19">
        <v>3142817.35</v>
      </c>
      <c r="F26" s="19">
        <v>670210.84</v>
      </c>
      <c r="G26" s="16">
        <v>2472606.5099999998</v>
      </c>
      <c r="H26" s="19">
        <v>440393880.81999999</v>
      </c>
      <c r="I26" s="45">
        <f t="shared" si="11"/>
        <v>5.5533617907329691E-4</v>
      </c>
      <c r="J26" s="19">
        <v>464925332.55000001</v>
      </c>
      <c r="K26" s="45">
        <f t="shared" si="12"/>
        <v>5.7943686298961555E-4</v>
      </c>
      <c r="L26" s="45">
        <f t="shared" si="18"/>
        <v>5.5703434580705806E-2</v>
      </c>
      <c r="M26" s="46">
        <f t="shared" si="19"/>
        <v>1.4415451107472675E-3</v>
      </c>
      <c r="N26" s="47">
        <f t="shared" si="20"/>
        <v>5.3182873396860671E-3</v>
      </c>
      <c r="O26" s="55">
        <f t="shared" si="21"/>
        <v>100.3232205132264</v>
      </c>
      <c r="P26" s="55">
        <f t="shared" si="22"/>
        <v>0.53354771353202557</v>
      </c>
      <c r="Q26" s="19">
        <v>100</v>
      </c>
      <c r="R26" s="19">
        <v>100</v>
      </c>
      <c r="S26" s="30">
        <v>1191</v>
      </c>
      <c r="T26" s="30">
        <v>4358088.96</v>
      </c>
      <c r="U26" s="30">
        <v>4634274.4000000004</v>
      </c>
    </row>
    <row r="27" spans="1:21" ht="15.75">
      <c r="A27" s="13">
        <v>20</v>
      </c>
      <c r="B27" s="14" t="s">
        <v>55</v>
      </c>
      <c r="C27" s="20" t="s">
        <v>26</v>
      </c>
      <c r="D27" s="19">
        <v>23292067339.459999</v>
      </c>
      <c r="E27" s="19">
        <v>880032397.07000005</v>
      </c>
      <c r="F27" s="19">
        <v>165068258.69</v>
      </c>
      <c r="G27" s="16">
        <v>714964138.38</v>
      </c>
      <c r="H27" s="19">
        <v>77717376423</v>
      </c>
      <c r="I27" s="45">
        <f t="shared" si="11"/>
        <v>9.8001522614230493E-2</v>
      </c>
      <c r="J27" s="19">
        <v>79180911546</v>
      </c>
      <c r="K27" s="45">
        <f t="shared" si="12"/>
        <v>9.8683241765360905E-2</v>
      </c>
      <c r="L27" s="45">
        <f t="shared" si="18"/>
        <v>1.883150448921839E-2</v>
      </c>
      <c r="M27" s="46">
        <f t="shared" si="19"/>
        <v>2.0846976306164891E-3</v>
      </c>
      <c r="N27" s="47">
        <f t="shared" si="20"/>
        <v>9.0295012323095437E-3</v>
      </c>
      <c r="O27" s="55">
        <f t="shared" si="21"/>
        <v>1</v>
      </c>
      <c r="P27" s="55">
        <f t="shared" si="22"/>
        <v>9.0295012323095437E-3</v>
      </c>
      <c r="Q27" s="19">
        <v>1</v>
      </c>
      <c r="R27" s="19">
        <v>1</v>
      </c>
      <c r="S27" s="30">
        <v>31479</v>
      </c>
      <c r="T27" s="30">
        <v>77717376423</v>
      </c>
      <c r="U27" s="30">
        <v>79180911546</v>
      </c>
    </row>
    <row r="28" spans="1:21" ht="15.75">
      <c r="A28" s="13">
        <v>21</v>
      </c>
      <c r="B28" s="14" t="s">
        <v>56</v>
      </c>
      <c r="C28" s="14" t="s">
        <v>57</v>
      </c>
      <c r="D28" s="19">
        <v>16522531185.83</v>
      </c>
      <c r="E28" s="19">
        <v>372921212.13999999</v>
      </c>
      <c r="F28" s="19">
        <v>54762947.520000003</v>
      </c>
      <c r="G28" s="16">
        <v>318158264.62</v>
      </c>
      <c r="H28" s="19">
        <v>38363014708.010002</v>
      </c>
      <c r="I28" s="45">
        <f t="shared" si="11"/>
        <v>4.837571758719917E-2</v>
      </c>
      <c r="J28" s="19">
        <v>39442794027.019997</v>
      </c>
      <c r="K28" s="45">
        <f t="shared" si="12"/>
        <v>4.9157589914944316E-2</v>
      </c>
      <c r="L28" s="45">
        <f t="shared" si="18"/>
        <v>2.8146362511613093E-2</v>
      </c>
      <c r="M28" s="46">
        <f t="shared" si="19"/>
        <v>1.3884145094408132E-3</v>
      </c>
      <c r="N28" s="47">
        <f t="shared" si="20"/>
        <v>8.0663216810160053E-3</v>
      </c>
      <c r="O28" s="55">
        <f t="shared" si="21"/>
        <v>1.0155298295970503</v>
      </c>
      <c r="P28" s="55">
        <f t="shared" si="22"/>
        <v>8.1915902821971757E-3</v>
      </c>
      <c r="Q28" s="19">
        <v>1</v>
      </c>
      <c r="R28" s="19">
        <v>1</v>
      </c>
      <c r="S28" s="30">
        <v>25492</v>
      </c>
      <c r="T28" s="30">
        <v>38067753680.029999</v>
      </c>
      <c r="U28" s="30">
        <v>38839621326.209999</v>
      </c>
    </row>
    <row r="29" spans="1:21" ht="15.75">
      <c r="A29" s="13">
        <v>22</v>
      </c>
      <c r="B29" s="20" t="s">
        <v>58</v>
      </c>
      <c r="C29" s="20" t="s">
        <v>42</v>
      </c>
      <c r="D29" s="19">
        <v>6305745876.0900002</v>
      </c>
      <c r="E29" s="19">
        <v>60979760.719999999</v>
      </c>
      <c r="F29" s="19">
        <v>10163390.560000001</v>
      </c>
      <c r="G29" s="16">
        <v>50816370.170000002</v>
      </c>
      <c r="H29" s="19">
        <v>5946457491.2600002</v>
      </c>
      <c r="I29" s="45">
        <f t="shared" si="11"/>
        <v>7.4984760825226758E-3</v>
      </c>
      <c r="J29" s="19">
        <v>6193676864.3699999</v>
      </c>
      <c r="K29" s="45">
        <f t="shared" si="12"/>
        <v>7.7191850850070682E-3</v>
      </c>
      <c r="L29" s="45">
        <f t="shared" si="18"/>
        <v>4.1574226919701078E-2</v>
      </c>
      <c r="M29" s="46">
        <f t="shared" si="19"/>
        <v>1.640930061829079E-3</v>
      </c>
      <c r="N29" s="47">
        <f t="shared" si="20"/>
        <v>8.2045562406279776E-3</v>
      </c>
      <c r="O29" s="55">
        <f t="shared" si="21"/>
        <v>100.00000000597383</v>
      </c>
      <c r="P29" s="55">
        <f t="shared" si="22"/>
        <v>0.82045562411181028</v>
      </c>
      <c r="Q29" s="19">
        <v>100</v>
      </c>
      <c r="R29" s="19">
        <v>100</v>
      </c>
      <c r="S29" s="30">
        <v>2373</v>
      </c>
      <c r="T29" s="30">
        <v>59464574.909999996</v>
      </c>
      <c r="U29" s="30">
        <v>61936768.640000001</v>
      </c>
    </row>
    <row r="30" spans="1:21" ht="15.75">
      <c r="A30" s="13">
        <v>23</v>
      </c>
      <c r="B30" s="14" t="s">
        <v>59</v>
      </c>
      <c r="C30" s="14" t="s">
        <v>60</v>
      </c>
      <c r="D30" s="29">
        <v>12752491164.09</v>
      </c>
      <c r="E30" s="19">
        <v>140787452.72</v>
      </c>
      <c r="F30" s="19">
        <v>20983005.120000001</v>
      </c>
      <c r="G30" s="16">
        <v>121884982.54000001</v>
      </c>
      <c r="H30" s="19">
        <v>11817360863.360001</v>
      </c>
      <c r="I30" s="45">
        <f t="shared" si="11"/>
        <v>1.490167850736092E-2</v>
      </c>
      <c r="J30" s="19">
        <v>12467446475.639999</v>
      </c>
      <c r="K30" s="45">
        <f t="shared" si="12"/>
        <v>1.5538189833006937E-2</v>
      </c>
      <c r="L30" s="45">
        <f t="shared" si="18"/>
        <v>5.5011065482108122E-2</v>
      </c>
      <c r="M30" s="46">
        <f t="shared" si="19"/>
        <v>1.6830234772612382E-3</v>
      </c>
      <c r="N30" s="47">
        <f t="shared" si="20"/>
        <v>9.7762587373564965E-3</v>
      </c>
      <c r="O30" s="55">
        <f t="shared" si="21"/>
        <v>99.999999997112468</v>
      </c>
      <c r="P30" s="55">
        <f t="shared" si="22"/>
        <v>0.97762587370742049</v>
      </c>
      <c r="Q30" s="19">
        <v>100</v>
      </c>
      <c r="R30" s="19">
        <v>100</v>
      </c>
      <c r="S30" s="30">
        <v>45077</v>
      </c>
      <c r="T30" s="30">
        <v>118173608.63</v>
      </c>
      <c r="U30" s="30">
        <v>124674464.76000001</v>
      </c>
    </row>
    <row r="31" spans="1:21" ht="15.75">
      <c r="A31" s="13">
        <v>24</v>
      </c>
      <c r="B31" s="14" t="s">
        <v>61</v>
      </c>
      <c r="C31" s="14" t="s">
        <v>62</v>
      </c>
      <c r="D31" s="19">
        <v>2468232052.98</v>
      </c>
      <c r="E31" s="19">
        <v>53761249.280000001</v>
      </c>
      <c r="F31" s="19">
        <v>6944093.29</v>
      </c>
      <c r="G31" s="16">
        <v>46817155.990000002</v>
      </c>
      <c r="H31" s="19">
        <v>5628176262.6000004</v>
      </c>
      <c r="I31" s="45">
        <f t="shared" si="11"/>
        <v>7.097123817896088E-3</v>
      </c>
      <c r="J31" s="19">
        <v>5427563100</v>
      </c>
      <c r="K31" s="45">
        <f t="shared" si="12"/>
        <v>6.7643768066864242E-3</v>
      </c>
      <c r="L31" s="45">
        <f t="shared" si="18"/>
        <v>-3.5644434935896065E-2</v>
      </c>
      <c r="M31" s="46">
        <f t="shared" si="19"/>
        <v>1.2794127239165584E-3</v>
      </c>
      <c r="N31" s="47">
        <f t="shared" si="20"/>
        <v>8.6258151452905264E-3</v>
      </c>
      <c r="O31" s="55">
        <f t="shared" si="21"/>
        <v>100</v>
      </c>
      <c r="P31" s="55">
        <f t="shared" si="22"/>
        <v>0.86258151452905263</v>
      </c>
      <c r="Q31" s="19">
        <v>100</v>
      </c>
      <c r="R31" s="19">
        <v>100</v>
      </c>
      <c r="S31" s="30">
        <v>5455</v>
      </c>
      <c r="T31" s="30">
        <v>56280548</v>
      </c>
      <c r="U31" s="30">
        <v>54275631</v>
      </c>
    </row>
    <row r="32" spans="1:21" ht="15.75">
      <c r="A32" s="13">
        <v>25</v>
      </c>
      <c r="B32" s="14" t="s">
        <v>63</v>
      </c>
      <c r="C32" s="20" t="s">
        <v>64</v>
      </c>
      <c r="D32" s="19">
        <v>39263942.280000001</v>
      </c>
      <c r="E32" s="15">
        <v>275433.01</v>
      </c>
      <c r="F32" s="15">
        <v>41437.480000000003</v>
      </c>
      <c r="G32" s="16">
        <v>233995.53</v>
      </c>
      <c r="H32" s="19">
        <v>39203248.560000002</v>
      </c>
      <c r="I32" s="45">
        <f t="shared" si="11"/>
        <v>4.9435251511747224E-5</v>
      </c>
      <c r="J32" s="19">
        <v>39203248.560000002</v>
      </c>
      <c r="K32" s="45">
        <f t="shared" si="12"/>
        <v>4.8859044182466897E-5</v>
      </c>
      <c r="L32" s="45">
        <f t="shared" si="18"/>
        <v>0</v>
      </c>
      <c r="M32" s="46">
        <f t="shared" si="19"/>
        <v>1.056990977076314E-3</v>
      </c>
      <c r="N32" s="47">
        <f t="shared" si="20"/>
        <v>5.9687790832403404E-3</v>
      </c>
      <c r="O32" s="55">
        <f t="shared" si="21"/>
        <v>101.87107246798604</v>
      </c>
      <c r="P32" s="55">
        <f t="shared" si="22"/>
        <v>0.608045926534176</v>
      </c>
      <c r="Q32" s="19">
        <v>10</v>
      </c>
      <c r="R32" s="19">
        <v>10</v>
      </c>
      <c r="S32" s="30">
        <v>86</v>
      </c>
      <c r="T32" s="30">
        <v>384832</v>
      </c>
      <c r="U32" s="30">
        <v>384832</v>
      </c>
    </row>
    <row r="33" spans="1:21" ht="15.75">
      <c r="A33" s="13">
        <v>26</v>
      </c>
      <c r="B33" s="14" t="s">
        <v>65</v>
      </c>
      <c r="C33" s="14" t="s">
        <v>66</v>
      </c>
      <c r="D33" s="19">
        <v>5849666974.3299999</v>
      </c>
      <c r="E33" s="19">
        <v>51960703.829999998</v>
      </c>
      <c r="F33" s="19">
        <v>10731980.300000001</v>
      </c>
      <c r="G33" s="16">
        <v>41228723.530000001</v>
      </c>
      <c r="H33" s="19">
        <v>5793157205.9799995</v>
      </c>
      <c r="I33" s="45">
        <f t="shared" si="11"/>
        <v>7.3051645984490857E-3</v>
      </c>
      <c r="J33" s="19">
        <v>5885401496.3500004</v>
      </c>
      <c r="K33" s="45">
        <f t="shared" si="12"/>
        <v>7.334981214672109E-3</v>
      </c>
      <c r="L33" s="45">
        <f t="shared" si="18"/>
        <v>1.5922973793078058E-2</v>
      </c>
      <c r="M33" s="46">
        <f t="shared" si="19"/>
        <v>1.8234916184827398E-3</v>
      </c>
      <c r="N33" s="47">
        <f t="shared" si="20"/>
        <v>7.005252497313764E-3</v>
      </c>
      <c r="O33" s="55">
        <f t="shared" si="21"/>
        <v>1.0098378766010876</v>
      </c>
      <c r="P33" s="55">
        <f t="shared" si="22"/>
        <v>7.0741693069417966E-3</v>
      </c>
      <c r="Q33" s="19">
        <v>1</v>
      </c>
      <c r="R33" s="19">
        <v>1</v>
      </c>
      <c r="S33" s="30">
        <v>1904</v>
      </c>
      <c r="T33" s="30">
        <v>5777298234.6899996</v>
      </c>
      <c r="U33" s="30">
        <v>5828065705.1199999</v>
      </c>
    </row>
    <row r="34" spans="1:21" ht="15.75">
      <c r="A34" s="13">
        <v>27</v>
      </c>
      <c r="B34" s="14" t="s">
        <v>67</v>
      </c>
      <c r="C34" s="14" t="s">
        <v>68</v>
      </c>
      <c r="D34" s="19">
        <v>6613336936.3800001</v>
      </c>
      <c r="E34" s="19">
        <v>125122348.22</v>
      </c>
      <c r="F34" s="19">
        <v>20224214.149999999</v>
      </c>
      <c r="G34" s="16">
        <v>104898134.06999999</v>
      </c>
      <c r="H34" s="19">
        <v>12310082217</v>
      </c>
      <c r="I34" s="45">
        <f t="shared" si="11"/>
        <v>1.5522999569698973E-2</v>
      </c>
      <c r="J34" s="19">
        <v>12478029970.139999</v>
      </c>
      <c r="K34" s="45">
        <f t="shared" si="12"/>
        <v>1.5551380051786613E-2</v>
      </c>
      <c r="L34" s="45">
        <f t="shared" si="18"/>
        <v>1.3643105722565085E-2</v>
      </c>
      <c r="M34" s="46">
        <f t="shared" si="19"/>
        <v>1.6207858290448623E-3</v>
      </c>
      <c r="N34" s="47">
        <f t="shared" si="20"/>
        <v>8.4066262319470193E-3</v>
      </c>
      <c r="O34" s="55">
        <f t="shared" si="21"/>
        <v>97.613791843931196</v>
      </c>
      <c r="P34" s="55">
        <f t="shared" si="22"/>
        <v>0.82060266311500796</v>
      </c>
      <c r="Q34" s="19">
        <v>100</v>
      </c>
      <c r="R34" s="19">
        <v>100</v>
      </c>
      <c r="S34" s="30">
        <v>4847</v>
      </c>
      <c r="T34" s="30">
        <v>124780300</v>
      </c>
      <c r="U34" s="30">
        <v>127830604</v>
      </c>
    </row>
    <row r="35" spans="1:21" ht="15.75">
      <c r="A35" s="13">
        <v>28</v>
      </c>
      <c r="B35" s="14" t="s">
        <v>69</v>
      </c>
      <c r="C35" s="14" t="s">
        <v>68</v>
      </c>
      <c r="D35" s="19">
        <v>211984864.68000001</v>
      </c>
      <c r="E35" s="19">
        <v>4985425.4000000004</v>
      </c>
      <c r="F35" s="19">
        <v>418237.13</v>
      </c>
      <c r="G35" s="16">
        <v>4567188.2699999996</v>
      </c>
      <c r="H35" s="19">
        <v>423107219.49000001</v>
      </c>
      <c r="I35" s="45">
        <f t="shared" si="11"/>
        <v>5.3353771894469213E-4</v>
      </c>
      <c r="J35" s="19">
        <v>460655106.39999998</v>
      </c>
      <c r="K35" s="45">
        <f t="shared" si="12"/>
        <v>5.7411487627178888E-4</v>
      </c>
      <c r="L35" s="45">
        <f t="shared" si="18"/>
        <v>8.8743196004216138E-2</v>
      </c>
      <c r="M35" s="46">
        <f t="shared" si="19"/>
        <v>9.0791814567845635E-4</v>
      </c>
      <c r="N35" s="47">
        <f t="shared" si="20"/>
        <v>9.9145504012587236E-3</v>
      </c>
      <c r="O35" s="55">
        <f t="shared" si="21"/>
        <v>999251.8577006507</v>
      </c>
      <c r="P35" s="55">
        <f t="shared" si="22"/>
        <v>9907.1329067245115</v>
      </c>
      <c r="Q35" s="19">
        <v>1000000</v>
      </c>
      <c r="R35" s="19">
        <v>1000000</v>
      </c>
      <c r="S35" s="30">
        <v>16</v>
      </c>
      <c r="T35" s="30">
        <v>423</v>
      </c>
      <c r="U35" s="30">
        <v>461</v>
      </c>
    </row>
    <row r="36" spans="1:21" ht="15.75">
      <c r="A36" s="13">
        <v>29</v>
      </c>
      <c r="B36" s="20" t="s">
        <v>70</v>
      </c>
      <c r="C36" s="20" t="s">
        <v>71</v>
      </c>
      <c r="D36" s="19">
        <v>2218154493.5700002</v>
      </c>
      <c r="E36" s="19">
        <v>26525695.609999999</v>
      </c>
      <c r="F36" s="19">
        <v>3453106.57</v>
      </c>
      <c r="G36" s="16">
        <v>23072589.039999999</v>
      </c>
      <c r="H36" s="19">
        <v>1684172182.9400001</v>
      </c>
      <c r="I36" s="45">
        <f t="shared" si="11"/>
        <v>2.1237391928197714E-3</v>
      </c>
      <c r="J36" s="19">
        <v>2094500110.8399999</v>
      </c>
      <c r="K36" s="45">
        <f t="shared" si="12"/>
        <v>2.6103773849019351E-3</v>
      </c>
      <c r="L36" s="45">
        <f t="shared" si="18"/>
        <v>0.24363775394016118</v>
      </c>
      <c r="M36" s="46">
        <f t="shared" si="19"/>
        <v>1.6486542789511385E-3</v>
      </c>
      <c r="N36" s="47">
        <f t="shared" si="20"/>
        <v>1.101579747863882E-2</v>
      </c>
      <c r="O36" s="55">
        <f t="shared" si="21"/>
        <v>1.0000540375267291</v>
      </c>
      <c r="P36" s="55">
        <f t="shared" si="22"/>
        <v>1.1016392745089514E-2</v>
      </c>
      <c r="Q36" s="19">
        <v>1</v>
      </c>
      <c r="R36" s="19">
        <v>1</v>
      </c>
      <c r="S36" s="30">
        <v>377</v>
      </c>
      <c r="T36" s="30">
        <v>1684131676.3199999</v>
      </c>
      <c r="U36" s="30">
        <v>2094386935.3499999</v>
      </c>
    </row>
    <row r="37" spans="1:21" ht="15.75">
      <c r="A37" s="13">
        <v>30</v>
      </c>
      <c r="B37" s="14" t="s">
        <v>72</v>
      </c>
      <c r="C37" s="14" t="s">
        <v>73</v>
      </c>
      <c r="D37" s="19">
        <v>164337160.94</v>
      </c>
      <c r="E37" s="19">
        <v>2113736.34</v>
      </c>
      <c r="F37" s="19">
        <v>642688.63</v>
      </c>
      <c r="G37" s="16">
        <v>1471047.71</v>
      </c>
      <c r="H37" s="19">
        <v>278881748.63</v>
      </c>
      <c r="I37" s="45">
        <f t="shared" si="11"/>
        <v>3.5166956545602953E-4</v>
      </c>
      <c r="J37" s="19">
        <v>313134023.83999997</v>
      </c>
      <c r="K37" s="45">
        <f t="shared" si="12"/>
        <v>3.9025921748338395E-4</v>
      </c>
      <c r="L37" s="45">
        <f t="shared" si="18"/>
        <v>0.12282006756721611</v>
      </c>
      <c r="M37" s="46">
        <f t="shared" si="19"/>
        <v>2.0524394702263029E-3</v>
      </c>
      <c r="N37" s="47">
        <f t="shared" si="20"/>
        <v>4.6978213736098241E-3</v>
      </c>
      <c r="O37" s="55">
        <f t="shared" si="21"/>
        <v>1.145028013644618</v>
      </c>
      <c r="P37" s="55">
        <f t="shared" si="22"/>
        <v>5.3791370758816872E-3</v>
      </c>
      <c r="Q37" s="19">
        <v>1</v>
      </c>
      <c r="R37" s="19">
        <v>1</v>
      </c>
      <c r="S37" s="30">
        <v>407</v>
      </c>
      <c r="T37" s="30">
        <v>276649306</v>
      </c>
      <c r="U37" s="30">
        <v>273472806</v>
      </c>
    </row>
    <row r="38" spans="1:21" ht="15.75">
      <c r="A38" s="13">
        <v>31</v>
      </c>
      <c r="B38" s="14" t="s">
        <v>74</v>
      </c>
      <c r="C38" s="14" t="s">
        <v>75</v>
      </c>
      <c r="D38" s="19">
        <v>188710727379.07001</v>
      </c>
      <c r="E38" s="15">
        <v>1706061916.8699999</v>
      </c>
      <c r="F38" s="15">
        <v>268156034.61000001</v>
      </c>
      <c r="G38" s="16">
        <v>1437905882.26</v>
      </c>
      <c r="H38" s="19">
        <v>187254264381.29999</v>
      </c>
      <c r="I38" s="45">
        <f t="shared" si="11"/>
        <v>0.23612741281297467</v>
      </c>
      <c r="J38" s="19">
        <v>188710727379.07001</v>
      </c>
      <c r="K38" s="45">
        <f t="shared" si="12"/>
        <v>0.23519035042741482</v>
      </c>
      <c r="L38" s="45">
        <f t="shared" si="18"/>
        <v>7.7779964188386631E-3</v>
      </c>
      <c r="M38" s="46">
        <f t="shared" si="19"/>
        <v>1.4209898840109145E-3</v>
      </c>
      <c r="N38" s="47">
        <f t="shared" si="20"/>
        <v>7.6196298018163366E-3</v>
      </c>
      <c r="O38" s="55">
        <f t="shared" si="21"/>
        <v>100.03032265142619</v>
      </c>
      <c r="P38" s="55">
        <f t="shared" si="22"/>
        <v>0.76219402756011079</v>
      </c>
      <c r="Q38" s="19">
        <v>100</v>
      </c>
      <c r="R38" s="19">
        <v>100</v>
      </c>
      <c r="S38" s="30">
        <v>24741</v>
      </c>
      <c r="T38" s="30">
        <v>1871992392.48</v>
      </c>
      <c r="U38" s="30">
        <v>1886535226.29</v>
      </c>
    </row>
    <row r="39" spans="1:21" ht="15.75">
      <c r="A39" s="13">
        <v>32</v>
      </c>
      <c r="B39" s="14" t="s">
        <v>76</v>
      </c>
      <c r="C39" s="14" t="s">
        <v>77</v>
      </c>
      <c r="D39" s="19">
        <v>581658737.25999999</v>
      </c>
      <c r="E39" s="19">
        <v>6085318.9199999999</v>
      </c>
      <c r="F39" s="19">
        <v>1617907.98</v>
      </c>
      <c r="G39" s="16">
        <v>4467410.9400000004</v>
      </c>
      <c r="H39" s="19">
        <v>590840460.50999999</v>
      </c>
      <c r="I39" s="45">
        <f t="shared" si="11"/>
        <v>7.4504914366791449E-4</v>
      </c>
      <c r="J39" s="19">
        <v>590840460.50999999</v>
      </c>
      <c r="K39" s="45">
        <f t="shared" si="12"/>
        <v>7.3636500099386591E-4</v>
      </c>
      <c r="L39" s="45">
        <f t="shared" si="18"/>
        <v>0</v>
      </c>
      <c r="M39" s="46">
        <f t="shared" si="19"/>
        <v>2.7383161583136315E-3</v>
      </c>
      <c r="N39" s="47">
        <f t="shared" si="20"/>
        <v>7.5611120743894781E-3</v>
      </c>
      <c r="O39" s="55">
        <f t="shared" si="21"/>
        <v>10.138441865431354</v>
      </c>
      <c r="P39" s="55">
        <f t="shared" si="22"/>
        <v>7.6657895204208779E-2</v>
      </c>
      <c r="Q39" s="19">
        <v>10</v>
      </c>
      <c r="R39" s="19">
        <v>10</v>
      </c>
      <c r="S39" s="30">
        <v>284</v>
      </c>
      <c r="T39" s="30">
        <v>59753325</v>
      </c>
      <c r="U39" s="30">
        <v>58277245</v>
      </c>
    </row>
    <row r="40" spans="1:21" ht="15.75">
      <c r="A40" s="13">
        <v>33</v>
      </c>
      <c r="B40" s="14" t="s">
        <v>78</v>
      </c>
      <c r="C40" s="14" t="s">
        <v>79</v>
      </c>
      <c r="D40" s="19">
        <v>1372327393.0599999</v>
      </c>
      <c r="E40" s="19">
        <v>14607032.51</v>
      </c>
      <c r="F40" s="19">
        <v>4150607.31</v>
      </c>
      <c r="G40" s="16">
        <v>10456425.199999999</v>
      </c>
      <c r="H40" s="19">
        <v>2064505744.4200001</v>
      </c>
      <c r="I40" s="45">
        <f t="shared" si="11"/>
        <v>2.6033393780275447E-3</v>
      </c>
      <c r="J40" s="19">
        <v>2217175145.8400002</v>
      </c>
      <c r="K40" s="45">
        <f t="shared" si="12"/>
        <v>2.7632673921159363E-3</v>
      </c>
      <c r="L40" s="45">
        <f t="shared" si="18"/>
        <v>7.394961328281062E-2</v>
      </c>
      <c r="M40" s="46">
        <f t="shared" si="19"/>
        <v>1.8720250034317874E-3</v>
      </c>
      <c r="N40" s="47">
        <f t="shared" si="20"/>
        <v>4.7161024782453407E-3</v>
      </c>
      <c r="O40" s="55">
        <f t="shared" si="21"/>
        <v>93.688665164526824</v>
      </c>
      <c r="P40" s="55">
        <f t="shared" si="22"/>
        <v>0.4418453459659229</v>
      </c>
      <c r="Q40" s="19">
        <v>100</v>
      </c>
      <c r="R40" s="19">
        <v>100</v>
      </c>
      <c r="S40" s="30">
        <v>571</v>
      </c>
      <c r="T40" s="30">
        <v>21551751</v>
      </c>
      <c r="U40" s="30">
        <v>23665351</v>
      </c>
    </row>
    <row r="41" spans="1:21" ht="15.75">
      <c r="A41" s="13">
        <v>34</v>
      </c>
      <c r="B41" s="20" t="s">
        <v>208</v>
      </c>
      <c r="C41" s="20" t="s">
        <v>207</v>
      </c>
      <c r="D41" s="19">
        <v>17765242117.59</v>
      </c>
      <c r="E41" s="19">
        <v>157730085.40000001</v>
      </c>
      <c r="F41" s="19">
        <v>21769470.75</v>
      </c>
      <c r="G41" s="16">
        <v>135960614.65000001</v>
      </c>
      <c r="H41" s="19">
        <v>17484566933.919998</v>
      </c>
      <c r="I41" s="45">
        <f t="shared" si="11"/>
        <v>2.2048018868370895E-2</v>
      </c>
      <c r="J41" s="19">
        <v>17970854603.400002</v>
      </c>
      <c r="K41" s="45">
        <f t="shared" si="12"/>
        <v>2.2397092366475285E-2</v>
      </c>
      <c r="L41" s="45">
        <f t="shared" si="18"/>
        <v>2.7812394285648964E-2</v>
      </c>
      <c r="M41" s="46">
        <f t="shared" si="19"/>
        <v>1.2113764887887589E-3</v>
      </c>
      <c r="N41" s="47">
        <f t="shared" si="20"/>
        <v>7.565617643151867E-3</v>
      </c>
      <c r="O41" s="55">
        <f t="shared" si="21"/>
        <v>102.90188539293727</v>
      </c>
      <c r="P41" s="55">
        <f t="shared" si="22"/>
        <v>0.77851631964239765</v>
      </c>
      <c r="Q41" s="19">
        <v>100</v>
      </c>
      <c r="R41" s="19">
        <v>100</v>
      </c>
      <c r="S41" s="30">
        <v>9846</v>
      </c>
      <c r="T41" s="30">
        <v>174845669.34</v>
      </c>
      <c r="U41" s="30">
        <v>174640673.83000001</v>
      </c>
    </row>
    <row r="42" spans="1:21" ht="15.75">
      <c r="A42" s="13">
        <v>35</v>
      </c>
      <c r="B42" s="14" t="s">
        <v>80</v>
      </c>
      <c r="C42" s="14" t="s">
        <v>36</v>
      </c>
      <c r="D42" s="19">
        <v>3405892928.4400001</v>
      </c>
      <c r="E42" s="19">
        <v>31059368.370000001</v>
      </c>
      <c r="F42" s="19">
        <v>4019601.45</v>
      </c>
      <c r="G42" s="16">
        <v>27039766.920000002</v>
      </c>
      <c r="H42" s="19">
        <v>3416346956.9899998</v>
      </c>
      <c r="I42" s="45">
        <f t="shared" si="11"/>
        <v>4.3080095980238048E-3</v>
      </c>
      <c r="J42" s="19">
        <v>3391668343.79</v>
      </c>
      <c r="K42" s="45">
        <f t="shared" si="12"/>
        <v>4.227039328332384E-3</v>
      </c>
      <c r="L42" s="45">
        <f t="shared" si="18"/>
        <v>-7.2236846873840656E-3</v>
      </c>
      <c r="M42" s="46">
        <f t="shared" si="19"/>
        <v>1.1851398906263105E-3</v>
      </c>
      <c r="N42" s="47">
        <f t="shared" si="20"/>
        <v>7.972408908880688E-3</v>
      </c>
      <c r="O42" s="55">
        <f t="shared" si="21"/>
        <v>0.99471850626977754</v>
      </c>
      <c r="P42" s="55">
        <f t="shared" si="22"/>
        <v>7.9303026812136655E-3</v>
      </c>
      <c r="Q42" s="19">
        <v>0.98</v>
      </c>
      <c r="R42" s="28">
        <v>0.98</v>
      </c>
      <c r="S42" s="30">
        <v>807</v>
      </c>
      <c r="T42" s="30">
        <v>3434003766</v>
      </c>
      <c r="U42" s="30">
        <v>3409676529</v>
      </c>
    </row>
    <row r="43" spans="1:21" ht="15.75">
      <c r="A43" s="13">
        <v>36</v>
      </c>
      <c r="B43" s="14" t="s">
        <v>81</v>
      </c>
      <c r="C43" s="14" t="s">
        <v>38</v>
      </c>
      <c r="D43" s="19">
        <v>2637891823.04</v>
      </c>
      <c r="E43" s="19">
        <v>27208623.309999999</v>
      </c>
      <c r="F43" s="19">
        <v>4113813.62</v>
      </c>
      <c r="G43" s="16">
        <v>23094809.690000001</v>
      </c>
      <c r="H43" s="19">
        <v>2553925844.8200002</v>
      </c>
      <c r="I43" s="45">
        <f t="shared" si="11"/>
        <v>3.2204975638128143E-3</v>
      </c>
      <c r="J43" s="19">
        <v>2745637917.1100001</v>
      </c>
      <c r="K43" s="45">
        <f t="shared" si="12"/>
        <v>3.421891022521269E-3</v>
      </c>
      <c r="L43" s="45">
        <f t="shared" si="18"/>
        <v>7.5065637743100475E-2</v>
      </c>
      <c r="M43" s="46">
        <f t="shared" si="19"/>
        <v>1.4983088608894622E-3</v>
      </c>
      <c r="N43" s="47">
        <f t="shared" si="20"/>
        <v>8.411454965011958E-3</v>
      </c>
      <c r="O43" s="55">
        <f t="shared" si="21"/>
        <v>10.116900294597167</v>
      </c>
      <c r="P43" s="55">
        <f t="shared" si="22"/>
        <v>8.5097851213520287E-2</v>
      </c>
      <c r="Q43" s="19">
        <v>10</v>
      </c>
      <c r="R43" s="19">
        <v>10</v>
      </c>
      <c r="S43" s="30">
        <v>1761</v>
      </c>
      <c r="T43" s="30">
        <v>255242257.99000001</v>
      </c>
      <c r="U43" s="30">
        <v>271391220.35000002</v>
      </c>
    </row>
    <row r="44" spans="1:21" ht="14.25" customHeight="1">
      <c r="A44" s="13">
        <v>37</v>
      </c>
      <c r="B44" s="14" t="s">
        <v>82</v>
      </c>
      <c r="C44" s="14" t="s">
        <v>83</v>
      </c>
      <c r="D44" s="19">
        <v>3089854564.9499998</v>
      </c>
      <c r="E44" s="19">
        <v>39199494.649999999</v>
      </c>
      <c r="F44" s="19">
        <v>6084907.71</v>
      </c>
      <c r="G44" s="16">
        <v>33114586.940000001</v>
      </c>
      <c r="H44" s="19">
        <v>3411180504.5799999</v>
      </c>
      <c r="I44" s="45">
        <f t="shared" si="11"/>
        <v>4.3014947074549552E-3</v>
      </c>
      <c r="J44" s="19">
        <v>3644069003.7399998</v>
      </c>
      <c r="K44" s="45">
        <f t="shared" si="12"/>
        <v>4.5416064994000275E-3</v>
      </c>
      <c r="L44" s="45">
        <f t="shared" si="18"/>
        <v>6.8272112498096643E-2</v>
      </c>
      <c r="M44" s="46">
        <f t="shared" si="19"/>
        <v>1.6698113300694652E-3</v>
      </c>
      <c r="N44" s="47">
        <f t="shared" si="20"/>
        <v>9.0872557314402302E-3</v>
      </c>
      <c r="O44" s="55">
        <f t="shared" si="21"/>
        <v>100.00000010263251</v>
      </c>
      <c r="P44" s="55">
        <f t="shared" si="22"/>
        <v>0.90872557407667087</v>
      </c>
      <c r="Q44" s="19">
        <v>100</v>
      </c>
      <c r="R44" s="19">
        <v>100</v>
      </c>
      <c r="S44" s="30">
        <v>1457</v>
      </c>
      <c r="T44" s="30">
        <v>34111805</v>
      </c>
      <c r="U44" s="30">
        <v>36440690</v>
      </c>
    </row>
    <row r="45" spans="1:21" ht="15.75">
      <c r="A45" s="13">
        <v>38</v>
      </c>
      <c r="B45" s="14" t="s">
        <v>84</v>
      </c>
      <c r="C45" s="20" t="s">
        <v>85</v>
      </c>
      <c r="D45" s="19">
        <v>146839629.69999999</v>
      </c>
      <c r="E45" s="19">
        <v>1228903.49</v>
      </c>
      <c r="F45" s="19">
        <v>119567.07</v>
      </c>
      <c r="G45" s="16">
        <v>1109336.42</v>
      </c>
      <c r="H45" s="19">
        <v>145259796.90000001</v>
      </c>
      <c r="I45" s="45">
        <f t="shared" si="11"/>
        <v>1.8317243743988393E-4</v>
      </c>
      <c r="J45" s="19">
        <v>141105257.58000001</v>
      </c>
      <c r="K45" s="45">
        <f t="shared" si="12"/>
        <v>1.7585961030571268E-4</v>
      </c>
      <c r="L45" s="45">
        <f t="shared" si="18"/>
        <v>-2.8600751265403929E-2</v>
      </c>
      <c r="M45" s="46">
        <f t="shared" si="19"/>
        <v>8.4736084289567407E-4</v>
      </c>
      <c r="N45" s="47">
        <f t="shared" si="20"/>
        <v>7.8617653163707141E-3</v>
      </c>
      <c r="O45" s="55">
        <f t="shared" si="21"/>
        <v>1.0008088772170505</v>
      </c>
      <c r="P45" s="55">
        <f t="shared" si="22"/>
        <v>7.8681245192209238E-3</v>
      </c>
      <c r="Q45" s="19">
        <v>1</v>
      </c>
      <c r="R45" s="19">
        <v>1</v>
      </c>
      <c r="S45" s="30">
        <v>46</v>
      </c>
      <c r="T45" s="30">
        <v>140679363</v>
      </c>
      <c r="U45" s="30">
        <v>140991213</v>
      </c>
    </row>
    <row r="46" spans="1:21" ht="15.75" customHeight="1">
      <c r="A46" s="13">
        <v>39</v>
      </c>
      <c r="B46" s="20" t="s">
        <v>86</v>
      </c>
      <c r="C46" s="20" t="s">
        <v>40</v>
      </c>
      <c r="D46" s="19">
        <v>628381715.65999997</v>
      </c>
      <c r="E46" s="19">
        <v>7354566.0300000003</v>
      </c>
      <c r="F46" s="19">
        <v>865409.97</v>
      </c>
      <c r="G46" s="16">
        <v>6489156.0599999996</v>
      </c>
      <c r="H46" s="19">
        <v>667140026.09000003</v>
      </c>
      <c r="I46" s="45">
        <f t="shared" si="11"/>
        <v>8.4126280843377019E-4</v>
      </c>
      <c r="J46" s="19">
        <v>646197268.03999996</v>
      </c>
      <c r="K46" s="45">
        <f t="shared" si="12"/>
        <v>8.0535624034917374E-4</v>
      </c>
      <c r="L46" s="45">
        <f t="shared" si="18"/>
        <v>-3.1391847634659541E-2</v>
      </c>
      <c r="M46" s="46">
        <f t="shared" si="19"/>
        <v>1.3392349562617318E-3</v>
      </c>
      <c r="N46" s="47">
        <f t="shared" si="20"/>
        <v>1.0042066689143472E-2</v>
      </c>
      <c r="O46" s="55">
        <f t="shared" si="21"/>
        <v>10.484256724222158</v>
      </c>
      <c r="P46" s="55">
        <f t="shared" si="22"/>
        <v>0.1052836052107398</v>
      </c>
      <c r="Q46" s="19">
        <v>10</v>
      </c>
      <c r="R46" s="19">
        <v>10</v>
      </c>
      <c r="S46" s="30">
        <v>520</v>
      </c>
      <c r="T46" s="30">
        <v>63884642</v>
      </c>
      <c r="U46" s="30">
        <v>61635010</v>
      </c>
    </row>
    <row r="47" spans="1:21" ht="15.75">
      <c r="A47" s="13">
        <v>40</v>
      </c>
      <c r="B47" s="14" t="s">
        <v>87</v>
      </c>
      <c r="C47" s="14" t="s">
        <v>44</v>
      </c>
      <c r="D47" s="19">
        <v>339608859612.46002</v>
      </c>
      <c r="E47" s="19">
        <v>3514432415.46</v>
      </c>
      <c r="F47" s="19">
        <v>565732997.77999997</v>
      </c>
      <c r="G47" s="16">
        <v>2948699417.6799998</v>
      </c>
      <c r="H47" s="19">
        <v>343861860721.5</v>
      </c>
      <c r="I47" s="45">
        <f t="shared" si="11"/>
        <v>0.43360941234367811</v>
      </c>
      <c r="J47" s="19">
        <v>339140611830.51001</v>
      </c>
      <c r="K47" s="45">
        <f t="shared" si="12"/>
        <v>0.42267125164730845</v>
      </c>
      <c r="L47" s="45">
        <f t="shared" si="18"/>
        <v>-1.3730074283561839E-2</v>
      </c>
      <c r="M47" s="46">
        <f t="shared" si="19"/>
        <v>1.6681369852063971E-3</v>
      </c>
      <c r="N47" s="47">
        <f t="shared" si="20"/>
        <v>8.6946219792563544E-3</v>
      </c>
      <c r="O47" s="55">
        <f t="shared" si="21"/>
        <v>1</v>
      </c>
      <c r="P47" s="55">
        <f t="shared" si="22"/>
        <v>8.6946219792563544E-3</v>
      </c>
      <c r="Q47" s="19">
        <v>100</v>
      </c>
      <c r="R47" s="19">
        <v>100</v>
      </c>
      <c r="S47" s="30">
        <v>102485</v>
      </c>
      <c r="T47" s="30">
        <v>343861860721.5</v>
      </c>
      <c r="U47" s="30">
        <v>339140611830.51001</v>
      </c>
    </row>
    <row r="48" spans="1:21" ht="15.75">
      <c r="A48" s="13">
        <v>41</v>
      </c>
      <c r="B48" s="14" t="s">
        <v>88</v>
      </c>
      <c r="C48" s="14" t="s">
        <v>89</v>
      </c>
      <c r="D48" s="19">
        <v>1549742540.79</v>
      </c>
      <c r="E48" s="19">
        <v>19384402.73</v>
      </c>
      <c r="F48" s="19">
        <v>2205958.65</v>
      </c>
      <c r="G48" s="16">
        <v>17203344.809999999</v>
      </c>
      <c r="H48" s="19">
        <v>1281098745.8699999</v>
      </c>
      <c r="I48" s="45">
        <f t="shared" si="11"/>
        <v>1.615464050550289E-3</v>
      </c>
      <c r="J48" s="19">
        <v>1579816495.26</v>
      </c>
      <c r="K48" s="45">
        <f t="shared" si="12"/>
        <v>1.9689267287113397E-3</v>
      </c>
      <c r="L48" s="45">
        <f t="shared" si="18"/>
        <v>0.23317308704969464</v>
      </c>
      <c r="M48" s="46">
        <f t="shared" si="19"/>
        <v>1.3963385346454126E-3</v>
      </c>
      <c r="N48" s="47">
        <f t="shared" si="20"/>
        <v>1.0889457643730159E-2</v>
      </c>
      <c r="O48" s="55">
        <f t="shared" si="21"/>
        <v>1.0140860889632564</v>
      </c>
      <c r="P48" s="55">
        <f t="shared" si="22"/>
        <v>1.1042847512861354E-2</v>
      </c>
      <c r="Q48" s="19">
        <v>1</v>
      </c>
      <c r="R48" s="19">
        <v>1</v>
      </c>
      <c r="S48" s="30">
        <v>252</v>
      </c>
      <c r="T48" s="30">
        <v>1273018897.29</v>
      </c>
      <c r="U48" s="30">
        <v>1557872169.29</v>
      </c>
    </row>
    <row r="49" spans="1:21" ht="15.75">
      <c r="A49" s="13">
        <v>42</v>
      </c>
      <c r="B49" s="14" t="s">
        <v>90</v>
      </c>
      <c r="C49" s="14" t="s">
        <v>49</v>
      </c>
      <c r="D49" s="19">
        <v>13183483471</v>
      </c>
      <c r="E49" s="19">
        <v>469911122</v>
      </c>
      <c r="F49" s="19">
        <v>57007379</v>
      </c>
      <c r="G49" s="16">
        <v>412903743</v>
      </c>
      <c r="H49" s="19">
        <v>42398791209</v>
      </c>
      <c r="I49" s="45">
        <f t="shared" si="11"/>
        <v>5.3464827130411972E-2</v>
      </c>
      <c r="J49" s="19">
        <v>47433121566</v>
      </c>
      <c r="K49" s="45">
        <f t="shared" si="12"/>
        <v>5.9115942362749876E-2</v>
      </c>
      <c r="L49" s="45">
        <f t="shared" si="18"/>
        <v>0.1187375916493431</v>
      </c>
      <c r="M49" s="46">
        <f t="shared" si="19"/>
        <v>1.201847509038132E-3</v>
      </c>
      <c r="N49" s="47">
        <f t="shared" si="20"/>
        <v>8.7049666850509133E-3</v>
      </c>
      <c r="O49" s="55">
        <f t="shared" si="21"/>
        <v>1.0128309491929495</v>
      </c>
      <c r="P49" s="55">
        <f t="shared" si="22"/>
        <v>8.8166596703131185E-3</v>
      </c>
      <c r="Q49" s="19">
        <v>1</v>
      </c>
      <c r="R49" s="19">
        <v>1</v>
      </c>
      <c r="S49" s="30">
        <v>5186</v>
      </c>
      <c r="T49" s="30">
        <v>41643192319</v>
      </c>
      <c r="U49" s="30">
        <v>46832219734</v>
      </c>
    </row>
    <row r="50" spans="1:21" ht="15.75">
      <c r="A50" s="13">
        <v>43</v>
      </c>
      <c r="B50" s="31" t="s">
        <v>91</v>
      </c>
      <c r="C50" s="14" t="s">
        <v>92</v>
      </c>
      <c r="D50" s="19">
        <v>584777643.13999999</v>
      </c>
      <c r="E50" s="19">
        <v>8797371.6999999993</v>
      </c>
      <c r="F50" s="19">
        <v>1654824.66</v>
      </c>
      <c r="G50" s="16">
        <v>7142547.04</v>
      </c>
      <c r="H50" s="19">
        <v>1192667330.9100001</v>
      </c>
      <c r="I50" s="45">
        <f t="shared" si="11"/>
        <v>1.5039521376179574E-3</v>
      </c>
      <c r="J50" s="19">
        <v>1250912398.1900001</v>
      </c>
      <c r="K50" s="45">
        <f t="shared" si="12"/>
        <v>1.5590132546801582E-3</v>
      </c>
      <c r="L50" s="45">
        <f t="shared" si="18"/>
        <v>4.883597107968006E-2</v>
      </c>
      <c r="M50" s="46">
        <f t="shared" si="19"/>
        <v>1.3228941230372631E-3</v>
      </c>
      <c r="N50" s="47">
        <f t="shared" si="20"/>
        <v>5.7098698920362966E-3</v>
      </c>
      <c r="O50" s="55">
        <f t="shared" si="21"/>
        <v>1.011028908498941</v>
      </c>
      <c r="P50" s="55">
        <f t="shared" si="22"/>
        <v>5.7728435246164229E-3</v>
      </c>
      <c r="Q50" s="19">
        <v>1</v>
      </c>
      <c r="R50" s="19">
        <v>1.01</v>
      </c>
      <c r="S50" s="30">
        <v>60</v>
      </c>
      <c r="T50" s="30">
        <v>1186161035</v>
      </c>
      <c r="U50" s="30">
        <v>1237266697</v>
      </c>
    </row>
    <row r="51" spans="1:21" ht="15.75">
      <c r="A51" s="13">
        <v>44</v>
      </c>
      <c r="B51" s="14" t="s">
        <v>93</v>
      </c>
      <c r="C51" s="14" t="s">
        <v>94</v>
      </c>
      <c r="D51" s="19">
        <v>1373973928.8599999</v>
      </c>
      <c r="E51" s="15">
        <v>12944925.300000001</v>
      </c>
      <c r="F51" s="15">
        <v>2133587.67</v>
      </c>
      <c r="G51" s="16">
        <v>10811337.630000001</v>
      </c>
      <c r="H51" s="19">
        <v>847953614.85000002</v>
      </c>
      <c r="I51" s="45">
        <f t="shared" si="11"/>
        <v>1.0692685366685589E-3</v>
      </c>
      <c r="J51" s="19">
        <v>1394518952.48</v>
      </c>
      <c r="K51" s="45">
        <f t="shared" si="12"/>
        <v>1.7379902333406977E-3</v>
      </c>
      <c r="L51" s="45">
        <f t="shared" si="18"/>
        <v>0.64456985389075261</v>
      </c>
      <c r="M51" s="46">
        <f t="shared" si="19"/>
        <v>1.5299811208773081E-3</v>
      </c>
      <c r="N51" s="47">
        <f t="shared" si="20"/>
        <v>7.7527362469855393E-3</v>
      </c>
      <c r="O51" s="55">
        <f t="shared" si="21"/>
        <v>1.0123749844318752</v>
      </c>
      <c r="P51" s="55">
        <f t="shared" si="22"/>
        <v>7.8486762373464209E-3</v>
      </c>
      <c r="Q51" s="19">
        <v>1</v>
      </c>
      <c r="R51" s="19">
        <v>1</v>
      </c>
      <c r="S51" s="30">
        <v>224</v>
      </c>
      <c r="T51" s="30">
        <v>841718748.65999997</v>
      </c>
      <c r="U51" s="30">
        <v>1377472748.6600001</v>
      </c>
    </row>
    <row r="52" spans="1:21" ht="15.75">
      <c r="A52" s="13">
        <v>45</v>
      </c>
      <c r="B52" s="14" t="s">
        <v>95</v>
      </c>
      <c r="C52" s="14" t="s">
        <v>96</v>
      </c>
      <c r="D52" s="19">
        <v>22585438627.59</v>
      </c>
      <c r="E52" s="19">
        <v>204443677.47999999</v>
      </c>
      <c r="F52" s="19">
        <v>26438075.16</v>
      </c>
      <c r="G52" s="16">
        <v>178005602.31999999</v>
      </c>
      <c r="H52" s="19">
        <v>21734776407.950001</v>
      </c>
      <c r="I52" s="45">
        <f t="shared" si="11"/>
        <v>2.7407528144871629E-2</v>
      </c>
      <c r="J52" s="19">
        <v>23109202553.860001</v>
      </c>
      <c r="K52" s="45">
        <f t="shared" si="12"/>
        <v>2.8801020070379151E-2</v>
      </c>
      <c r="L52" s="45">
        <f t="shared" si="18"/>
        <v>6.3236268002613158E-2</v>
      </c>
      <c r="M52" s="46">
        <f t="shared" si="19"/>
        <v>1.1440496528766619E-3</v>
      </c>
      <c r="N52" s="47">
        <f t="shared" si="20"/>
        <v>7.7028015962527091E-3</v>
      </c>
      <c r="O52" s="55">
        <f t="shared" si="21"/>
        <v>1.0145004388466419</v>
      </c>
      <c r="P52" s="55">
        <f t="shared" si="22"/>
        <v>7.8144955997469876E-3</v>
      </c>
      <c r="Q52" s="19">
        <v>1</v>
      </c>
      <c r="R52" s="19">
        <v>1</v>
      </c>
      <c r="S52" s="30">
        <v>2906</v>
      </c>
      <c r="T52" s="30">
        <v>21571313524.810001</v>
      </c>
      <c r="U52" s="30">
        <v>22778898528.75</v>
      </c>
    </row>
    <row r="53" spans="1:21" ht="15.75" customHeight="1">
      <c r="A53" s="110" t="s">
        <v>50</v>
      </c>
      <c r="B53" s="111"/>
      <c r="C53" s="111"/>
      <c r="D53" s="111"/>
      <c r="E53" s="111"/>
      <c r="F53" s="111"/>
      <c r="G53" s="112"/>
      <c r="H53" s="32">
        <f t="shared" ref="H53" si="23">SUM(H24:H52)</f>
        <v>793022132206.28992</v>
      </c>
      <c r="I53" s="53">
        <f>(H53/$H$167)</f>
        <v>0.4897823063324675</v>
      </c>
      <c r="J53" s="32">
        <f>SUM(J24:J52)</f>
        <v>802374447064.35986</v>
      </c>
      <c r="K53" s="53">
        <f>(J53/$J$167)</f>
        <v>0.49234160687981354</v>
      </c>
      <c r="L53" s="54">
        <f t="shared" si="13"/>
        <v>1.1793258319349296E-2</v>
      </c>
      <c r="M53" s="57"/>
      <c r="N53" s="58"/>
      <c r="O53" s="59"/>
      <c r="P53" s="59"/>
      <c r="Q53" s="32"/>
      <c r="R53" s="32"/>
      <c r="S53" s="49">
        <f>SUM(S24:S52)</f>
        <v>271559</v>
      </c>
      <c r="T53" s="49"/>
      <c r="U53" s="49"/>
    </row>
    <row r="54" spans="1:21" ht="7.5" customHeight="1">
      <c r="A54" s="124"/>
      <c r="B54" s="124"/>
      <c r="C54" s="124"/>
      <c r="D54" s="124"/>
      <c r="E54" s="124"/>
      <c r="F54" s="124"/>
      <c r="G54" s="124"/>
      <c r="H54" s="124"/>
      <c r="I54" s="124"/>
      <c r="J54" s="124"/>
      <c r="K54" s="124"/>
      <c r="L54" s="124"/>
      <c r="M54" s="124"/>
      <c r="N54" s="124"/>
      <c r="O54" s="124"/>
      <c r="P54" s="124"/>
      <c r="Q54" s="124"/>
      <c r="R54" s="124"/>
      <c r="S54" s="124"/>
      <c r="T54" s="124"/>
      <c r="U54" s="124"/>
    </row>
    <row r="55" spans="1:21">
      <c r="A55" s="121" t="s">
        <v>97</v>
      </c>
      <c r="B55" s="121"/>
      <c r="C55" s="121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</row>
    <row r="56" spans="1:21" ht="15.75">
      <c r="A56" s="13">
        <v>46</v>
      </c>
      <c r="B56" s="14" t="s">
        <v>98</v>
      </c>
      <c r="C56" s="14" t="s">
        <v>24</v>
      </c>
      <c r="D56" s="19">
        <v>433054223.81999999</v>
      </c>
      <c r="E56" s="19">
        <v>3322101.89</v>
      </c>
      <c r="F56" s="19">
        <v>640909.26</v>
      </c>
      <c r="G56" s="16">
        <v>2681192.63</v>
      </c>
      <c r="H56" s="19">
        <v>440123446.60000002</v>
      </c>
      <c r="I56" s="45">
        <f t="shared" ref="I56:I85" si="24">(H56/$H$86)</f>
        <v>1.3543257278138142E-3</v>
      </c>
      <c r="J56" s="19">
        <v>434472903.22000003</v>
      </c>
      <c r="K56" s="45">
        <f t="shared" ref="K56" si="25">(J56/$J$86)</f>
        <v>1.339901712966137E-3</v>
      </c>
      <c r="L56" s="45">
        <f t="shared" ref="L56:L86" si="26">((J56-H56)/H56)</f>
        <v>-1.2838542058258968E-2</v>
      </c>
      <c r="M56" s="56">
        <f t="shared" ref="M56" si="27">(F56/J56)</f>
        <v>1.4751420750294035E-3</v>
      </c>
      <c r="N56" s="47">
        <f t="shared" ref="N56" si="28">G56/J56</f>
        <v>6.1711388906625303E-3</v>
      </c>
      <c r="O56" s="55">
        <f t="shared" ref="O56" si="29">J56/U56</f>
        <v>1.2934933927157548</v>
      </c>
      <c r="P56" s="55">
        <f t="shared" ref="P56" si="30">G56/U56</f>
        <v>7.9823273806032147E-3</v>
      </c>
      <c r="Q56" s="33">
        <v>1.28</v>
      </c>
      <c r="R56" s="33">
        <v>1.28</v>
      </c>
      <c r="S56" s="30">
        <v>340</v>
      </c>
      <c r="T56" s="30">
        <v>345024452.68000001</v>
      </c>
      <c r="U56" s="30">
        <v>335891088.17000002</v>
      </c>
    </row>
    <row r="57" spans="1:21" ht="13.5" customHeight="1">
      <c r="A57" s="13">
        <v>47</v>
      </c>
      <c r="B57" s="14" t="s">
        <v>99</v>
      </c>
      <c r="C57" s="20" t="s">
        <v>26</v>
      </c>
      <c r="D57" s="19">
        <v>274735616.79000002</v>
      </c>
      <c r="E57" s="19">
        <v>11204404.34</v>
      </c>
      <c r="F57" s="19">
        <v>1930841.43</v>
      </c>
      <c r="G57" s="16">
        <v>9273562.9100000001</v>
      </c>
      <c r="H57" s="19">
        <v>1018620305</v>
      </c>
      <c r="I57" s="45">
        <f t="shared" si="24"/>
        <v>3.1344471570241817E-3</v>
      </c>
      <c r="J57" s="19">
        <v>1026873951</v>
      </c>
      <c r="K57" s="45">
        <f t="shared" ref="K57:K85" si="31">(J57/$J$86)</f>
        <v>3.1668491999108589E-3</v>
      </c>
      <c r="L57" s="45">
        <f t="shared" ref="L57:L85" si="32">((J57-H57)/H57)</f>
        <v>8.1027699521462031E-3</v>
      </c>
      <c r="M57" s="56">
        <f t="shared" ref="M57:M85" si="33">(F57/J57)</f>
        <v>1.880310069331966E-3</v>
      </c>
      <c r="N57" s="47">
        <f t="shared" ref="N57:N85" si="34">G57/J57</f>
        <v>9.0308678109607635E-3</v>
      </c>
      <c r="O57" s="55">
        <f t="shared" ref="O57:O85" si="35">J57/U57</f>
        <v>1.1381463443680757</v>
      </c>
      <c r="P57" s="55">
        <f t="shared" ref="P57:P85" si="36">G57/U57</f>
        <v>1.0278449185516318E-2</v>
      </c>
      <c r="Q57" s="33">
        <v>1.1380999999999999</v>
      </c>
      <c r="R57" s="33">
        <v>1.1380999999999999</v>
      </c>
      <c r="S57" s="30">
        <v>333</v>
      </c>
      <c r="T57" s="30">
        <v>900716407</v>
      </c>
      <c r="U57" s="30">
        <v>902233668</v>
      </c>
    </row>
    <row r="58" spans="1:21" ht="15" customHeight="1">
      <c r="A58" s="13">
        <v>48</v>
      </c>
      <c r="B58" s="14" t="s">
        <v>100</v>
      </c>
      <c r="C58" s="14" t="s">
        <v>101</v>
      </c>
      <c r="D58" s="19">
        <v>356064731.02999997</v>
      </c>
      <c r="E58" s="19">
        <v>6990821.21</v>
      </c>
      <c r="F58" s="19">
        <v>1774030.8</v>
      </c>
      <c r="G58" s="16">
        <v>5216790.41</v>
      </c>
      <c r="H58" s="19">
        <v>861121704</v>
      </c>
      <c r="I58" s="45">
        <f t="shared" si="24"/>
        <v>2.6498003855858921E-3</v>
      </c>
      <c r="J58" s="19">
        <v>862968612</v>
      </c>
      <c r="K58" s="45">
        <f t="shared" si="31"/>
        <v>2.6613699332805299E-3</v>
      </c>
      <c r="L58" s="45">
        <f t="shared" si="32"/>
        <v>2.1447700033815427E-3</v>
      </c>
      <c r="M58" s="56">
        <f t="shared" si="33"/>
        <v>2.0557303884883361E-3</v>
      </c>
      <c r="N58" s="47">
        <f t="shared" si="34"/>
        <v>6.045168199002816E-3</v>
      </c>
      <c r="O58" s="55">
        <f t="shared" si="35"/>
        <v>1.0618612750561094</v>
      </c>
      <c r="P58" s="55">
        <f t="shared" si="36"/>
        <v>6.4191300117217758E-3</v>
      </c>
      <c r="Q58" s="33">
        <v>1.0619000000000001</v>
      </c>
      <c r="R58" s="33">
        <v>1.0619000000000001</v>
      </c>
      <c r="S58" s="30">
        <v>45</v>
      </c>
      <c r="T58" s="30">
        <v>815877859</v>
      </c>
      <c r="U58" s="30">
        <v>812694306</v>
      </c>
    </row>
    <row r="59" spans="1:21" ht="15.75">
      <c r="A59" s="13">
        <v>49</v>
      </c>
      <c r="B59" s="14" t="s">
        <v>102</v>
      </c>
      <c r="C59" s="20" t="s">
        <v>103</v>
      </c>
      <c r="D59" s="17">
        <v>212654666.94999999</v>
      </c>
      <c r="E59" s="17">
        <v>2691622.78</v>
      </c>
      <c r="F59" s="19">
        <v>420012.27</v>
      </c>
      <c r="G59" s="16">
        <v>2271610.5099999998</v>
      </c>
      <c r="H59" s="19">
        <v>259233255.19999999</v>
      </c>
      <c r="I59" s="45">
        <f t="shared" si="24"/>
        <v>7.9769953119849125E-4</v>
      </c>
      <c r="J59" s="19">
        <v>247501012.78</v>
      </c>
      <c r="K59" s="45">
        <f t="shared" si="31"/>
        <v>7.6328587704088159E-4</v>
      </c>
      <c r="L59" s="45">
        <f t="shared" si="32"/>
        <v>-4.5257474435324636E-2</v>
      </c>
      <c r="M59" s="56">
        <f t="shared" si="33"/>
        <v>1.6970123284842586E-3</v>
      </c>
      <c r="N59" s="47">
        <f t="shared" si="34"/>
        <v>9.1781867253173666E-3</v>
      </c>
      <c r="O59" s="55">
        <f t="shared" si="35"/>
        <v>227930.86841765975</v>
      </c>
      <c r="P59" s="55">
        <f t="shared" si="36"/>
        <v>2091.9920708010241</v>
      </c>
      <c r="Q59" s="33">
        <v>1085.8599999999999</v>
      </c>
      <c r="R59" s="33">
        <v>1085.8599999999999</v>
      </c>
      <c r="S59" s="30">
        <v>115</v>
      </c>
      <c r="T59" s="30">
        <v>229170</v>
      </c>
      <c r="U59" s="30">
        <v>1085.8599999999999</v>
      </c>
    </row>
    <row r="60" spans="1:21" ht="15.75">
      <c r="A60" s="13">
        <v>50</v>
      </c>
      <c r="B60" s="14" t="s">
        <v>104</v>
      </c>
      <c r="C60" s="20" t="s">
        <v>105</v>
      </c>
      <c r="D60" s="19">
        <v>1371284149.97</v>
      </c>
      <c r="E60" s="19">
        <v>12946802.390000001</v>
      </c>
      <c r="F60" s="19">
        <v>1966254.47</v>
      </c>
      <c r="G60" s="16">
        <v>10980547.92</v>
      </c>
      <c r="H60" s="19">
        <v>1390403516.76</v>
      </c>
      <c r="I60" s="45">
        <f t="shared" si="24"/>
        <v>4.2784797523006436E-3</v>
      </c>
      <c r="J60" s="19">
        <v>1391646732.46</v>
      </c>
      <c r="K60" s="45">
        <f t="shared" si="31"/>
        <v>4.2917977780600183E-3</v>
      </c>
      <c r="L60" s="45">
        <f t="shared" si="32"/>
        <v>8.9414021542254295E-4</v>
      </c>
      <c r="M60" s="56">
        <f t="shared" si="33"/>
        <v>1.4128977017926609E-3</v>
      </c>
      <c r="N60" s="47">
        <f t="shared" si="34"/>
        <v>7.8903270951456161E-3</v>
      </c>
      <c r="O60" s="55">
        <f t="shared" si="35"/>
        <v>1.0392691459425334</v>
      </c>
      <c r="P60" s="55">
        <f t="shared" si="36"/>
        <v>8.200173501379214E-3</v>
      </c>
      <c r="Q60" s="16">
        <v>1.0374000000000001</v>
      </c>
      <c r="R60" s="16">
        <v>1.0374000000000001</v>
      </c>
      <c r="S60" s="30">
        <v>726</v>
      </c>
      <c r="T60" s="30">
        <v>1347621498.78</v>
      </c>
      <c r="U60" s="30">
        <v>1339062876.9200001</v>
      </c>
    </row>
    <row r="61" spans="1:21" ht="15.75">
      <c r="A61" s="13">
        <v>51</v>
      </c>
      <c r="B61" s="14" t="s">
        <v>217</v>
      </c>
      <c r="C61" s="14" t="s">
        <v>106</v>
      </c>
      <c r="D61" s="19">
        <v>445254872.07999998</v>
      </c>
      <c r="E61" s="19">
        <v>3939901.67</v>
      </c>
      <c r="F61" s="19">
        <v>822638.62</v>
      </c>
      <c r="G61" s="16">
        <v>3117263.05</v>
      </c>
      <c r="H61" s="19">
        <v>421269628.60000002</v>
      </c>
      <c r="I61" s="45">
        <f t="shared" si="24"/>
        <v>1.2963097075763702E-3</v>
      </c>
      <c r="J61" s="19">
        <v>424436891.64999998</v>
      </c>
      <c r="K61" s="45">
        <f t="shared" si="31"/>
        <v>1.3089509471201439E-3</v>
      </c>
      <c r="L61" s="45">
        <f t="shared" si="32"/>
        <v>7.5183750144193328E-3</v>
      </c>
      <c r="M61" s="56">
        <f t="shared" si="33"/>
        <v>1.9381883059269172E-3</v>
      </c>
      <c r="N61" s="47">
        <f t="shared" si="34"/>
        <v>7.3444677202342806E-3</v>
      </c>
      <c r="O61" s="55">
        <f t="shared" si="35"/>
        <v>2.1915123380194452</v>
      </c>
      <c r="P61" s="55">
        <f t="shared" si="36"/>
        <v>1.6095491625078975E-2</v>
      </c>
      <c r="Q61" s="33">
        <v>2.1977000000000002</v>
      </c>
      <c r="R61" s="33">
        <v>2.1977000000000002</v>
      </c>
      <c r="S61" s="30">
        <v>1405</v>
      </c>
      <c r="T61" s="30">
        <v>193650133.8371</v>
      </c>
      <c r="U61" s="30">
        <v>193673055.94710001</v>
      </c>
    </row>
    <row r="62" spans="1:21" ht="15.75">
      <c r="A62" s="13">
        <v>52</v>
      </c>
      <c r="B62" s="14" t="s">
        <v>107</v>
      </c>
      <c r="C62" s="14" t="s">
        <v>42</v>
      </c>
      <c r="D62" s="19">
        <v>1995032619.97</v>
      </c>
      <c r="E62" s="19">
        <v>21496832.260000002</v>
      </c>
      <c r="F62" s="19">
        <v>3753199.27</v>
      </c>
      <c r="G62" s="16">
        <v>17743632.98</v>
      </c>
      <c r="H62" s="19">
        <v>2015314711.8900001</v>
      </c>
      <c r="I62" s="45">
        <f t="shared" si="24"/>
        <v>6.2014250434489614E-3</v>
      </c>
      <c r="J62" s="19">
        <v>1988482320.5</v>
      </c>
      <c r="K62" s="45">
        <f t="shared" si="31"/>
        <v>6.1324212573314295E-3</v>
      </c>
      <c r="L62" s="45">
        <f t="shared" si="32"/>
        <v>-1.331424379115269E-2</v>
      </c>
      <c r="M62" s="56">
        <f t="shared" si="33"/>
        <v>1.8874692680477367E-3</v>
      </c>
      <c r="N62" s="47">
        <f t="shared" si="34"/>
        <v>8.9232037906871609E-3</v>
      </c>
      <c r="O62" s="55">
        <f t="shared" si="35"/>
        <v>103.89436662092122</v>
      </c>
      <c r="P62" s="55">
        <f t="shared" si="36"/>
        <v>0.92707060606284575</v>
      </c>
      <c r="Q62" s="33">
        <v>103.89437</v>
      </c>
      <c r="R62" s="33">
        <v>103.89437</v>
      </c>
      <c r="S62" s="30">
        <v>114</v>
      </c>
      <c r="T62" s="30">
        <v>19559031.796</v>
      </c>
      <c r="U62" s="30">
        <v>19139462.370999999</v>
      </c>
    </row>
    <row r="63" spans="1:21" ht="15.75">
      <c r="A63" s="13">
        <v>53</v>
      </c>
      <c r="B63" s="20" t="s">
        <v>108</v>
      </c>
      <c r="C63" s="14" t="s">
        <v>60</v>
      </c>
      <c r="D63" s="19">
        <v>3368597484.6100001</v>
      </c>
      <c r="E63" s="19">
        <v>27138266.039999999</v>
      </c>
      <c r="F63" s="19">
        <v>5812121.8099999996</v>
      </c>
      <c r="G63" s="16">
        <v>21326144.23</v>
      </c>
      <c r="H63" s="19">
        <v>3336751329.3299999</v>
      </c>
      <c r="I63" s="45">
        <f t="shared" si="24"/>
        <v>1.0267683322801108E-2</v>
      </c>
      <c r="J63" s="19">
        <v>3340864920.5100002</v>
      </c>
      <c r="K63" s="45">
        <f t="shared" si="31"/>
        <v>1.0303129600496945E-2</v>
      </c>
      <c r="L63" s="45">
        <f t="shared" si="32"/>
        <v>1.232813228795893E-3</v>
      </c>
      <c r="M63" s="56">
        <f t="shared" si="33"/>
        <v>1.7397057194137467E-3</v>
      </c>
      <c r="N63" s="47">
        <f t="shared" si="34"/>
        <v>6.3834200835466452E-3</v>
      </c>
      <c r="O63" s="55">
        <f t="shared" si="35"/>
        <v>3829.1797685766114</v>
      </c>
      <c r="P63" s="55">
        <f t="shared" si="36"/>
        <v>24.443263038242435</v>
      </c>
      <c r="Q63" s="33">
        <v>3829.18</v>
      </c>
      <c r="R63" s="33">
        <v>3829.18</v>
      </c>
      <c r="S63" s="30">
        <v>1036</v>
      </c>
      <c r="T63" s="30">
        <v>876903.82</v>
      </c>
      <c r="U63" s="30">
        <v>872475.34</v>
      </c>
    </row>
    <row r="64" spans="1:21" ht="15.75">
      <c r="A64" s="13">
        <v>54</v>
      </c>
      <c r="B64" s="14" t="s">
        <v>109</v>
      </c>
      <c r="C64" s="14" t="s">
        <v>62</v>
      </c>
      <c r="D64" s="19">
        <v>326077097.62</v>
      </c>
      <c r="E64" s="19">
        <v>3596263.66</v>
      </c>
      <c r="F64" s="19">
        <v>718274.4</v>
      </c>
      <c r="G64" s="16">
        <v>2877989.26</v>
      </c>
      <c r="H64" s="19">
        <v>363084130.17000002</v>
      </c>
      <c r="I64" s="45">
        <f t="shared" si="24"/>
        <v>1.1172642190476997E-3</v>
      </c>
      <c r="J64" s="19">
        <v>346365241.94</v>
      </c>
      <c r="K64" s="45">
        <f t="shared" si="31"/>
        <v>1.0681802652082466E-3</v>
      </c>
      <c r="L64" s="45">
        <f t="shared" si="32"/>
        <v>-4.604687134679241E-2</v>
      </c>
      <c r="M64" s="56">
        <f t="shared" si="33"/>
        <v>2.0737484973287965E-3</v>
      </c>
      <c r="N64" s="47">
        <f t="shared" si="34"/>
        <v>8.3091168267355967E-3</v>
      </c>
      <c r="O64" s="55">
        <f t="shared" si="35"/>
        <v>113.10129195927161</v>
      </c>
      <c r="P64" s="55">
        <f t="shared" si="36"/>
        <v>0.93977184814431913</v>
      </c>
      <c r="Q64" s="33">
        <v>105.53</v>
      </c>
      <c r="R64" s="33">
        <v>105.53</v>
      </c>
      <c r="S64" s="30">
        <v>114</v>
      </c>
      <c r="T64" s="30">
        <v>3349984</v>
      </c>
      <c r="U64" s="30">
        <v>3062434</v>
      </c>
    </row>
    <row r="65" spans="1:21" ht="15.75">
      <c r="A65" s="13">
        <v>55</v>
      </c>
      <c r="B65" s="20" t="s">
        <v>110</v>
      </c>
      <c r="C65" s="20" t="s">
        <v>66</v>
      </c>
      <c r="D65" s="19">
        <v>345246537.14999998</v>
      </c>
      <c r="E65" s="19">
        <v>2965323.82</v>
      </c>
      <c r="F65" s="19">
        <v>901258.07</v>
      </c>
      <c r="G65" s="16">
        <v>3962851.94</v>
      </c>
      <c r="H65" s="19">
        <v>341112161.38999999</v>
      </c>
      <c r="I65" s="45">
        <f t="shared" si="24"/>
        <v>1.0496531821003307E-3</v>
      </c>
      <c r="J65" s="19">
        <v>344829411.79000002</v>
      </c>
      <c r="K65" s="45">
        <f t="shared" si="31"/>
        <v>1.0634438099919176E-3</v>
      </c>
      <c r="L65" s="45">
        <f t="shared" si="32"/>
        <v>1.0897443189514527E-2</v>
      </c>
      <c r="M65" s="56">
        <f t="shared" si="33"/>
        <v>2.6136345659194034E-3</v>
      </c>
      <c r="N65" s="47">
        <f t="shared" si="34"/>
        <v>1.149220978404639E-2</v>
      </c>
      <c r="O65" s="55">
        <f t="shared" si="35"/>
        <v>1.4084092860050657</v>
      </c>
      <c r="P65" s="55">
        <f t="shared" si="36"/>
        <v>1.6185734976569208E-2</v>
      </c>
      <c r="Q65" s="33">
        <v>1.4084000000000001</v>
      </c>
      <c r="R65" s="33">
        <v>1.4084000000000001</v>
      </c>
      <c r="S65" s="30">
        <v>283</v>
      </c>
      <c r="T65" s="30">
        <v>244837163.59999999</v>
      </c>
      <c r="U65" s="30">
        <v>244836082.25</v>
      </c>
    </row>
    <row r="66" spans="1:21" ht="15.75">
      <c r="A66" s="13">
        <v>56</v>
      </c>
      <c r="B66" s="14" t="s">
        <v>111</v>
      </c>
      <c r="C66" s="14" t="s">
        <v>112</v>
      </c>
      <c r="D66" s="101">
        <f>341515048.92+40458537.66</f>
        <v>381973586.58000004</v>
      </c>
      <c r="E66" s="19">
        <v>7619935.4100000001</v>
      </c>
      <c r="F66" s="19">
        <v>6022819.4100000001</v>
      </c>
      <c r="G66" s="16">
        <v>1597611</v>
      </c>
      <c r="H66" s="19">
        <v>534577021.43000001</v>
      </c>
      <c r="I66" s="45">
        <f t="shared" si="24"/>
        <v>1.6449735164387074E-3</v>
      </c>
      <c r="J66" s="19">
        <v>771166363.78999996</v>
      </c>
      <c r="K66" s="45">
        <f t="shared" si="31"/>
        <v>2.3782544876012027E-3</v>
      </c>
      <c r="L66" s="45">
        <f t="shared" si="32"/>
        <v>0.44257297428744802</v>
      </c>
      <c r="M66" s="56">
        <f t="shared" si="33"/>
        <v>7.8100131084556787E-3</v>
      </c>
      <c r="N66" s="47">
        <f t="shared" si="34"/>
        <v>2.0716813842195187E-3</v>
      </c>
      <c r="O66" s="55">
        <f t="shared" si="35"/>
        <v>1004.6252082844862</v>
      </c>
      <c r="P66" s="55">
        <f t="shared" si="36"/>
        <v>2.0812633421206264</v>
      </c>
      <c r="Q66" s="33">
        <v>1000</v>
      </c>
      <c r="R66" s="33">
        <v>1000</v>
      </c>
      <c r="S66" s="30">
        <v>167</v>
      </c>
      <c r="T66" s="30">
        <v>527365.98</v>
      </c>
      <c r="U66" s="30">
        <v>767615.98</v>
      </c>
    </row>
    <row r="67" spans="1:21" ht="15.75">
      <c r="A67" s="13">
        <v>57</v>
      </c>
      <c r="B67" s="14" t="s">
        <v>113</v>
      </c>
      <c r="C67" s="14" t="s">
        <v>68</v>
      </c>
      <c r="D67" s="19">
        <v>280866032.06999999</v>
      </c>
      <c r="E67" s="19">
        <v>2927030.2</v>
      </c>
      <c r="F67" s="19">
        <v>680919.85</v>
      </c>
      <c r="G67" s="16">
        <v>2246110.35</v>
      </c>
      <c r="H67" s="19">
        <v>314097961.35000002</v>
      </c>
      <c r="I67" s="45">
        <f t="shared" si="24"/>
        <v>9.6652644478807919E-4</v>
      </c>
      <c r="J67" s="19">
        <v>284274130.38999999</v>
      </c>
      <c r="K67" s="45">
        <f t="shared" si="31"/>
        <v>8.7669309510114018E-4</v>
      </c>
      <c r="L67" s="45">
        <f t="shared" si="32"/>
        <v>-9.4950730758698809E-2</v>
      </c>
      <c r="M67" s="56">
        <f t="shared" si="33"/>
        <v>2.3952930541580961E-3</v>
      </c>
      <c r="N67" s="47">
        <f t="shared" si="34"/>
        <v>7.9012126320412174E-3</v>
      </c>
      <c r="O67" s="55">
        <f t="shared" si="35"/>
        <v>1158.6190286359413</v>
      </c>
      <c r="P67" s="55">
        <f t="shared" si="36"/>
        <v>9.1544953047816247</v>
      </c>
      <c r="Q67" s="19">
        <v>1149.48</v>
      </c>
      <c r="R67" s="33">
        <v>1158.6199999999999</v>
      </c>
      <c r="S67" s="30">
        <v>281</v>
      </c>
      <c r="T67" s="30">
        <v>273260</v>
      </c>
      <c r="U67" s="30">
        <v>245356</v>
      </c>
    </row>
    <row r="68" spans="1:21" ht="15.75">
      <c r="A68" s="13">
        <v>58</v>
      </c>
      <c r="B68" s="14" t="s">
        <v>114</v>
      </c>
      <c r="C68" s="20" t="s">
        <v>71</v>
      </c>
      <c r="D68" s="101">
        <v>206483578.90000001</v>
      </c>
      <c r="E68" s="19">
        <v>8480487.2100000009</v>
      </c>
      <c r="F68" s="19">
        <v>1299729.8999999999</v>
      </c>
      <c r="G68" s="16">
        <v>7180757.3099999996</v>
      </c>
      <c r="H68" s="19">
        <v>701553522.26999998</v>
      </c>
      <c r="I68" s="45">
        <f t="shared" si="24"/>
        <v>2.1587852044432812E-3</v>
      </c>
      <c r="J68" s="19">
        <v>711288673</v>
      </c>
      <c r="K68" s="45">
        <f t="shared" si="31"/>
        <v>2.193593442313064E-3</v>
      </c>
      <c r="L68" s="45">
        <f t="shared" si="32"/>
        <v>1.3876561689121344E-2</v>
      </c>
      <c r="M68" s="56">
        <f t="shared" si="33"/>
        <v>1.82728890440239E-3</v>
      </c>
      <c r="N68" s="47">
        <f t="shared" si="34"/>
        <v>1.009541917729934E-2</v>
      </c>
      <c r="O68" s="55">
        <f t="shared" si="35"/>
        <v>1.0489040361753967</v>
      </c>
      <c r="P68" s="55">
        <f t="shared" si="36"/>
        <v>1.0589125921951782E-2</v>
      </c>
      <c r="Q68" s="33">
        <v>1.05</v>
      </c>
      <c r="R68" s="33">
        <v>1.05</v>
      </c>
      <c r="S68" s="30">
        <v>39</v>
      </c>
      <c r="T68" s="30">
        <v>635830563.92999995</v>
      </c>
      <c r="U68" s="30">
        <v>678125594.39999998</v>
      </c>
    </row>
    <row r="69" spans="1:21" ht="15.75">
      <c r="A69" s="13">
        <v>59</v>
      </c>
      <c r="B69" s="14" t="s">
        <v>115</v>
      </c>
      <c r="C69" s="14" t="s">
        <v>30</v>
      </c>
      <c r="D69" s="19">
        <v>67115678312.550003</v>
      </c>
      <c r="E69" s="19">
        <v>717450920.21000004</v>
      </c>
      <c r="F69" s="19">
        <v>78333786.129999995</v>
      </c>
      <c r="G69" s="16">
        <v>639117134.08000004</v>
      </c>
      <c r="H69" s="19">
        <v>65176218415.860001</v>
      </c>
      <c r="I69" s="45">
        <f t="shared" si="24"/>
        <v>0.20055698037472314</v>
      </c>
      <c r="J69" s="19">
        <v>67115678312.550003</v>
      </c>
      <c r="K69" s="45">
        <f t="shared" si="31"/>
        <v>0.20698278689277372</v>
      </c>
      <c r="L69" s="45">
        <f t="shared" si="32"/>
        <v>2.975717130925248E-2</v>
      </c>
      <c r="M69" s="56">
        <f t="shared" si="33"/>
        <v>1.1671458606915743E-3</v>
      </c>
      <c r="N69" s="47">
        <f t="shared" si="34"/>
        <v>9.522620498651671E-3</v>
      </c>
      <c r="O69" s="55">
        <f t="shared" si="35"/>
        <v>1542.4865183404083</v>
      </c>
      <c r="P69" s="55">
        <f t="shared" si="36"/>
        <v>14.68851373844222</v>
      </c>
      <c r="Q69" s="16">
        <v>1542.48</v>
      </c>
      <c r="R69" s="16">
        <v>1542.48</v>
      </c>
      <c r="S69" s="30">
        <v>2441</v>
      </c>
      <c r="T69" s="30">
        <v>42666021.210000001</v>
      </c>
      <c r="U69" s="30">
        <v>43511354.890000001</v>
      </c>
    </row>
    <row r="70" spans="1:21" ht="15.75">
      <c r="A70" s="13">
        <v>60</v>
      </c>
      <c r="B70" s="14" t="s">
        <v>116</v>
      </c>
      <c r="C70" s="14" t="s">
        <v>77</v>
      </c>
      <c r="D70" s="19">
        <v>23357030.489999998</v>
      </c>
      <c r="E70" s="19">
        <v>279420.33</v>
      </c>
      <c r="F70" s="19">
        <v>246539.95</v>
      </c>
      <c r="G70" s="16">
        <v>32880.379999999997</v>
      </c>
      <c r="H70" s="19">
        <v>21275736.32</v>
      </c>
      <c r="I70" s="45">
        <f t="shared" si="24"/>
        <v>6.5468625448046738E-5</v>
      </c>
      <c r="J70" s="19">
        <v>21545784.190000001</v>
      </c>
      <c r="K70" s="45">
        <f t="shared" si="31"/>
        <v>6.6446567621183665E-5</v>
      </c>
      <c r="L70" s="45">
        <f t="shared" si="32"/>
        <v>1.2692762588251565E-2</v>
      </c>
      <c r="M70" s="56">
        <f t="shared" si="33"/>
        <v>1.1442607418040792E-2</v>
      </c>
      <c r="N70" s="47">
        <f t="shared" si="34"/>
        <v>1.5260702376876446E-3</v>
      </c>
      <c r="O70" s="55">
        <f t="shared" si="35"/>
        <v>0.64283680927706932</v>
      </c>
      <c r="P70" s="55">
        <f t="shared" si="36"/>
        <v>9.8101412232782441E-4</v>
      </c>
      <c r="Q70" s="16">
        <v>0.64280000000000004</v>
      </c>
      <c r="R70" s="16">
        <v>0.64280000000000004</v>
      </c>
      <c r="S70" s="30">
        <v>750</v>
      </c>
      <c r="T70" s="30">
        <v>33516724.43</v>
      </c>
      <c r="U70" s="30">
        <v>33516724.43</v>
      </c>
    </row>
    <row r="71" spans="1:21" ht="15.75">
      <c r="A71" s="13">
        <v>61</v>
      </c>
      <c r="B71" s="20" t="s">
        <v>117</v>
      </c>
      <c r="C71" s="20" t="s">
        <v>118</v>
      </c>
      <c r="D71" s="19">
        <v>748192367.55999994</v>
      </c>
      <c r="E71" s="19">
        <v>21008233.609999999</v>
      </c>
      <c r="F71" s="19">
        <v>6901167.7800000003</v>
      </c>
      <c r="G71" s="16">
        <v>14107065.83</v>
      </c>
      <c r="H71" s="19">
        <v>795050005.23000002</v>
      </c>
      <c r="I71" s="45">
        <f t="shared" si="24"/>
        <v>2.4464878781159135E-3</v>
      </c>
      <c r="J71" s="19">
        <v>741331985.61000001</v>
      </c>
      <c r="K71" s="45">
        <f t="shared" si="31"/>
        <v>2.2862461387895862E-3</v>
      </c>
      <c r="L71" s="45">
        <f t="shared" si="32"/>
        <v>-6.7565586147578127E-2</v>
      </c>
      <c r="M71" s="56">
        <f t="shared" si="33"/>
        <v>9.3091461234084232E-3</v>
      </c>
      <c r="N71" s="47">
        <f t="shared" si="34"/>
        <v>1.9029350012993298E-2</v>
      </c>
      <c r="O71" s="55">
        <f t="shared" si="35"/>
        <v>202.78356054629785</v>
      </c>
      <c r="P71" s="55">
        <f t="shared" si="36"/>
        <v>3.8588393505165199</v>
      </c>
      <c r="Q71" s="16">
        <v>202.78360000000001</v>
      </c>
      <c r="R71" s="16">
        <v>204.6601</v>
      </c>
      <c r="S71" s="30">
        <v>475</v>
      </c>
      <c r="T71" s="30">
        <v>3958164.95</v>
      </c>
      <c r="U71" s="30">
        <v>3655779.51</v>
      </c>
    </row>
    <row r="72" spans="1:21" ht="15.75">
      <c r="A72" s="13">
        <v>62</v>
      </c>
      <c r="B72" s="14" t="s">
        <v>119</v>
      </c>
      <c r="C72" s="20" t="s">
        <v>36</v>
      </c>
      <c r="D72" s="19">
        <v>1253349325.8499999</v>
      </c>
      <c r="E72" s="19">
        <v>10729137.640000001</v>
      </c>
      <c r="F72" s="19">
        <v>1684913.09</v>
      </c>
      <c r="G72" s="16">
        <v>9044224.5500000007</v>
      </c>
      <c r="H72" s="19">
        <v>1353876211.78</v>
      </c>
      <c r="I72" s="45">
        <f t="shared" si="24"/>
        <v>4.1660797670595127E-3</v>
      </c>
      <c r="J72" s="19">
        <v>1243155797.3499999</v>
      </c>
      <c r="K72" s="45">
        <f t="shared" si="31"/>
        <v>3.8338560817211664E-3</v>
      </c>
      <c r="L72" s="45">
        <f t="shared" si="32"/>
        <v>-8.1780308618046485E-2</v>
      </c>
      <c r="M72" s="56">
        <f t="shared" si="33"/>
        <v>1.355351512329896E-3</v>
      </c>
      <c r="N72" s="47">
        <f t="shared" si="34"/>
        <v>7.2752140715422143E-3</v>
      </c>
      <c r="O72" s="55">
        <f t="shared" si="35"/>
        <v>3.0822270405578029</v>
      </c>
      <c r="P72" s="55">
        <f t="shared" si="36"/>
        <v>2.2423861537154043E-2</v>
      </c>
      <c r="Q72" s="16">
        <v>3.49</v>
      </c>
      <c r="R72" s="28">
        <v>3.49</v>
      </c>
      <c r="S72" s="30">
        <v>794</v>
      </c>
      <c r="T72" s="30">
        <v>428940536</v>
      </c>
      <c r="U72" s="30">
        <v>403330378</v>
      </c>
    </row>
    <row r="73" spans="1:21" ht="15.75">
      <c r="A73" s="13">
        <v>63</v>
      </c>
      <c r="B73" s="20" t="s">
        <v>120</v>
      </c>
      <c r="C73" s="14" t="s">
        <v>121</v>
      </c>
      <c r="D73" s="19">
        <v>13288995791.809999</v>
      </c>
      <c r="E73" s="19">
        <v>194326031.78</v>
      </c>
      <c r="F73" s="19">
        <v>31480780.57</v>
      </c>
      <c r="G73" s="16">
        <v>162845251.21000001</v>
      </c>
      <c r="H73" s="19">
        <v>15896859095.059999</v>
      </c>
      <c r="I73" s="45">
        <f t="shared" si="24"/>
        <v>4.8917015056090821E-2</v>
      </c>
      <c r="J73" s="19">
        <v>16272899293</v>
      </c>
      <c r="K73" s="45">
        <f t="shared" si="31"/>
        <v>5.0185144979168948E-2</v>
      </c>
      <c r="L73" s="45">
        <f t="shared" si="32"/>
        <v>2.365499975129403E-2</v>
      </c>
      <c r="M73" s="56">
        <f t="shared" si="33"/>
        <v>1.9345526573461846E-3</v>
      </c>
      <c r="N73" s="47">
        <f t="shared" si="34"/>
        <v>1.0007144288052591E-2</v>
      </c>
      <c r="O73" s="55">
        <f t="shared" si="35"/>
        <v>1183.0120690288913</v>
      </c>
      <c r="P73" s="55">
        <f t="shared" si="36"/>
        <v>11.838572469279748</v>
      </c>
      <c r="Q73" s="16">
        <v>1183.01</v>
      </c>
      <c r="R73" s="16">
        <v>1183.01</v>
      </c>
      <c r="S73" s="30">
        <v>7066</v>
      </c>
      <c r="T73" s="30">
        <v>13537515.49</v>
      </c>
      <c r="U73" s="30">
        <v>13755480.369999999</v>
      </c>
    </row>
    <row r="74" spans="1:21" ht="15.75">
      <c r="A74" s="13">
        <v>64</v>
      </c>
      <c r="B74" s="14" t="s">
        <v>122</v>
      </c>
      <c r="C74" s="14" t="s">
        <v>22</v>
      </c>
      <c r="D74" s="19">
        <v>1569783776.3699999</v>
      </c>
      <c r="E74" s="19">
        <v>15121305.67</v>
      </c>
      <c r="F74" s="19">
        <v>2067285.14</v>
      </c>
      <c r="G74" s="16">
        <v>13054020.529999999</v>
      </c>
      <c r="H74" s="19">
        <v>1550239766.1500001</v>
      </c>
      <c r="I74" s="45">
        <f t="shared" si="24"/>
        <v>4.770319817760456E-3</v>
      </c>
      <c r="J74" s="19">
        <v>1564139394.1099999</v>
      </c>
      <c r="K74" s="45">
        <f t="shared" si="31"/>
        <v>4.8237600963219962E-3</v>
      </c>
      <c r="L74" s="45">
        <f t="shared" si="32"/>
        <v>8.9661149607323919E-3</v>
      </c>
      <c r="M74" s="56">
        <f t="shared" si="33"/>
        <v>1.3216757712162166E-3</v>
      </c>
      <c r="N74" s="47">
        <f t="shared" si="34"/>
        <v>8.345816606343948E-3</v>
      </c>
      <c r="O74" s="55">
        <f t="shared" si="35"/>
        <v>337.51457009990662</v>
      </c>
      <c r="P74" s="55">
        <f t="shared" si="36"/>
        <v>2.8168347040228396</v>
      </c>
      <c r="Q74" s="33">
        <v>337.51459999999997</v>
      </c>
      <c r="R74" s="33">
        <v>337.51459999999997</v>
      </c>
      <c r="S74" s="30">
        <v>100</v>
      </c>
      <c r="T74" s="30">
        <v>4632032.4518999998</v>
      </c>
      <c r="U74" s="30">
        <v>4634287.0284000002</v>
      </c>
    </row>
    <row r="75" spans="1:21" ht="15.75">
      <c r="A75" s="13">
        <v>65</v>
      </c>
      <c r="B75" s="20" t="s">
        <v>123</v>
      </c>
      <c r="C75" s="20" t="s">
        <v>40</v>
      </c>
      <c r="D75" s="19">
        <v>52615784.579999998</v>
      </c>
      <c r="E75" s="19">
        <v>242226.93</v>
      </c>
      <c r="F75" s="19">
        <v>172195.19</v>
      </c>
      <c r="G75" s="16">
        <v>69957.41</v>
      </c>
      <c r="H75" s="19">
        <v>53271057.829999998</v>
      </c>
      <c r="I75" s="45">
        <f t="shared" si="24"/>
        <v>1.6392301915375059E-4</v>
      </c>
      <c r="J75" s="19">
        <v>53976075.18</v>
      </c>
      <c r="K75" s="45">
        <f t="shared" si="31"/>
        <v>1.6646063553530667E-4</v>
      </c>
      <c r="L75" s="45">
        <f t="shared" si="32"/>
        <v>1.3234528817690676E-2</v>
      </c>
      <c r="M75" s="56">
        <f t="shared" si="33"/>
        <v>3.1902132458827659E-3</v>
      </c>
      <c r="N75" s="47">
        <f t="shared" si="34"/>
        <v>1.2960818245251304E-3</v>
      </c>
      <c r="O75" s="55">
        <f t="shared" si="35"/>
        <v>11.853916794299165</v>
      </c>
      <c r="P75" s="55">
        <f t="shared" si="36"/>
        <v>1.5363646106524347E-2</v>
      </c>
      <c r="Q75" s="33">
        <v>11.48</v>
      </c>
      <c r="R75" s="33">
        <v>11.75</v>
      </c>
      <c r="S75" s="30">
        <v>51</v>
      </c>
      <c r="T75" s="30">
        <v>4557974</v>
      </c>
      <c r="U75" s="30">
        <v>4553438</v>
      </c>
    </row>
    <row r="76" spans="1:21" ht="15.75">
      <c r="A76" s="13">
        <v>66</v>
      </c>
      <c r="B76" s="14" t="s">
        <v>124</v>
      </c>
      <c r="C76" s="14" t="s">
        <v>125</v>
      </c>
      <c r="D76" s="19">
        <v>6769552651.75</v>
      </c>
      <c r="E76" s="19">
        <v>74252889.230000004</v>
      </c>
      <c r="F76" s="19">
        <v>9780239.6300000008</v>
      </c>
      <c r="G76" s="16">
        <v>64472649.600000001</v>
      </c>
      <c r="H76" s="19">
        <v>6667046762</v>
      </c>
      <c r="I76" s="45">
        <f t="shared" si="24"/>
        <v>2.0515500885188203E-2</v>
      </c>
      <c r="J76" s="19">
        <v>6854466712</v>
      </c>
      <c r="K76" s="45">
        <f t="shared" si="31"/>
        <v>2.1138974653679588E-2</v>
      </c>
      <c r="L76" s="45">
        <f t="shared" si="32"/>
        <v>2.8111389748791446E-2</v>
      </c>
      <c r="M76" s="56">
        <f t="shared" si="33"/>
        <v>1.4268418012560917E-3</v>
      </c>
      <c r="N76" s="47">
        <f t="shared" si="34"/>
        <v>9.4059322641583207E-3</v>
      </c>
      <c r="O76" s="55">
        <f t="shared" si="35"/>
        <v>1.0499999998774521</v>
      </c>
      <c r="P76" s="55">
        <f t="shared" si="36"/>
        <v>9.8762288762135608E-3</v>
      </c>
      <c r="Q76" s="33">
        <v>1.05</v>
      </c>
      <c r="R76" s="33">
        <v>1.05</v>
      </c>
      <c r="S76" s="30">
        <v>3024</v>
      </c>
      <c r="T76" s="30">
        <v>6410621887</v>
      </c>
      <c r="U76" s="30">
        <v>6528063536</v>
      </c>
    </row>
    <row r="77" spans="1:21" ht="15.75">
      <c r="A77" s="13">
        <v>67</v>
      </c>
      <c r="B77" s="20" t="s">
        <v>126</v>
      </c>
      <c r="C77" s="14" t="s">
        <v>44</v>
      </c>
      <c r="D77" s="19">
        <v>26645734171.98</v>
      </c>
      <c r="E77" s="19">
        <v>283941184.52999997</v>
      </c>
      <c r="F77" s="19">
        <v>35518175.159999996</v>
      </c>
      <c r="G77" s="16">
        <v>248423009.37</v>
      </c>
      <c r="H77" s="19">
        <v>32303599581.43</v>
      </c>
      <c r="I77" s="45">
        <f t="shared" si="24"/>
        <v>9.9403011478021552E-2</v>
      </c>
      <c r="J77" s="19">
        <v>27354229530.700001</v>
      </c>
      <c r="K77" s="45">
        <f t="shared" si="31"/>
        <v>8.4359642991348294E-2</v>
      </c>
      <c r="L77" s="45">
        <f t="shared" si="32"/>
        <v>-0.15321419640104711</v>
      </c>
      <c r="M77" s="56">
        <f t="shared" si="33"/>
        <v>1.2984527719977451E-3</v>
      </c>
      <c r="N77" s="47">
        <f t="shared" si="34"/>
        <v>9.0817037669144243E-3</v>
      </c>
      <c r="O77" s="55">
        <f t="shared" si="35"/>
        <v>4731.9118811748813</v>
      </c>
      <c r="P77" s="55">
        <f t="shared" si="36"/>
        <v>42.973821955973044</v>
      </c>
      <c r="Q77" s="33">
        <v>4731.91</v>
      </c>
      <c r="R77" s="33">
        <v>4731.91</v>
      </c>
      <c r="S77" s="30">
        <v>478</v>
      </c>
      <c r="T77" s="30">
        <v>6871289.29</v>
      </c>
      <c r="U77" s="30">
        <v>5780798.5899999999</v>
      </c>
    </row>
    <row r="78" spans="1:21" ht="15.75">
      <c r="A78" s="13">
        <v>68</v>
      </c>
      <c r="B78" s="14" t="s">
        <v>127</v>
      </c>
      <c r="C78" s="14" t="s">
        <v>44</v>
      </c>
      <c r="D78" s="19">
        <v>42366786532.82</v>
      </c>
      <c r="E78" s="19">
        <v>277292051.75</v>
      </c>
      <c r="F78" s="19">
        <v>67138494.439999998</v>
      </c>
      <c r="G78" s="16">
        <v>210153557.31</v>
      </c>
      <c r="H78" s="19">
        <v>40842791769.779999</v>
      </c>
      <c r="I78" s="45">
        <f t="shared" si="24"/>
        <v>0.12567938408386389</v>
      </c>
      <c r="J78" s="19">
        <v>42210808450.449997</v>
      </c>
      <c r="K78" s="45">
        <f t="shared" si="31"/>
        <v>0.1301768974066595</v>
      </c>
      <c r="L78" s="45">
        <f t="shared" si="32"/>
        <v>3.3494690773861538E-2</v>
      </c>
      <c r="M78" s="56">
        <f t="shared" si="33"/>
        <v>1.590552204628155E-3</v>
      </c>
      <c r="N78" s="47">
        <f t="shared" si="34"/>
        <v>4.9786669581724065E-3</v>
      </c>
      <c r="O78" s="55">
        <f t="shared" si="35"/>
        <v>249.23285380010842</v>
      </c>
      <c r="P78" s="55">
        <f t="shared" si="36"/>
        <v>1.2408473741056139</v>
      </c>
      <c r="Q78" s="33">
        <v>249.23</v>
      </c>
      <c r="R78" s="33">
        <v>249.23</v>
      </c>
      <c r="S78" s="30">
        <v>6658</v>
      </c>
      <c r="T78" s="30">
        <v>164379743.81999999</v>
      </c>
      <c r="U78" s="30">
        <v>169362938.34</v>
      </c>
    </row>
    <row r="79" spans="1:21" ht="15.75">
      <c r="A79" s="13">
        <v>69</v>
      </c>
      <c r="B79" s="20" t="s">
        <v>128</v>
      </c>
      <c r="C79" s="14" t="s">
        <v>44</v>
      </c>
      <c r="D79" s="19">
        <v>254910585.38999999</v>
      </c>
      <c r="E79" s="19">
        <v>2883082.98</v>
      </c>
      <c r="F79" s="19">
        <v>370135.15</v>
      </c>
      <c r="G79" s="16">
        <v>8471330.4399999995</v>
      </c>
      <c r="H79" s="19">
        <v>250110258.97999999</v>
      </c>
      <c r="I79" s="45">
        <f t="shared" si="24"/>
        <v>7.6962670619691099E-4</v>
      </c>
      <c r="J79" s="19">
        <v>258943655.28</v>
      </c>
      <c r="K79" s="45">
        <f t="shared" si="31"/>
        <v>7.9857465149143819E-4</v>
      </c>
      <c r="L79" s="45">
        <f t="shared" si="32"/>
        <v>3.5318008689545086E-2</v>
      </c>
      <c r="M79" s="56">
        <f t="shared" si="33"/>
        <v>1.4294042060994576E-3</v>
      </c>
      <c r="N79" s="47">
        <f t="shared" si="34"/>
        <v>3.2714956583276049E-2</v>
      </c>
      <c r="O79" s="55">
        <f t="shared" si="35"/>
        <v>4587.4295730370523</v>
      </c>
      <c r="P79" s="55">
        <f t="shared" si="36"/>
        <v>150.07755931074374</v>
      </c>
      <c r="Q79" s="33">
        <v>4576.74</v>
      </c>
      <c r="R79" s="33">
        <v>4594.76</v>
      </c>
      <c r="S79" s="30">
        <v>15</v>
      </c>
      <c r="T79" s="30">
        <v>56446.35</v>
      </c>
      <c r="U79" s="30">
        <v>56446.35</v>
      </c>
    </row>
    <row r="80" spans="1:21" ht="15.75">
      <c r="A80" s="13">
        <v>70</v>
      </c>
      <c r="B80" s="14" t="s">
        <v>129</v>
      </c>
      <c r="C80" s="14" t="s">
        <v>44</v>
      </c>
      <c r="D80" s="19">
        <v>19294242122.740002</v>
      </c>
      <c r="E80" s="19">
        <v>188747993.19</v>
      </c>
      <c r="F80" s="19">
        <v>27276149.899999999</v>
      </c>
      <c r="G80" s="16">
        <v>161471843.28999999</v>
      </c>
      <c r="H80" s="19">
        <v>19452755768.970001</v>
      </c>
      <c r="I80" s="45">
        <f t="shared" si="24"/>
        <v>5.9859041408303532E-2</v>
      </c>
      <c r="J80" s="19">
        <v>19296139624.380001</v>
      </c>
      <c r="K80" s="45">
        <f t="shared" si="31"/>
        <v>5.9508729646250445E-2</v>
      </c>
      <c r="L80" s="45">
        <f t="shared" si="32"/>
        <v>-8.0511032190012828E-3</v>
      </c>
      <c r="M80" s="56">
        <f t="shared" si="33"/>
        <v>1.4135547540056941E-3</v>
      </c>
      <c r="N80" s="47">
        <f t="shared" si="34"/>
        <v>8.3680905317448026E-3</v>
      </c>
      <c r="O80" s="55">
        <f t="shared" si="35"/>
        <v>119.25417831954448</v>
      </c>
      <c r="P80" s="55">
        <f t="shared" si="36"/>
        <v>0.99792976046678639</v>
      </c>
      <c r="Q80" s="34">
        <v>119.25</v>
      </c>
      <c r="R80" s="16">
        <v>119.25</v>
      </c>
      <c r="S80" s="30">
        <v>3976</v>
      </c>
      <c r="T80" s="30">
        <v>164314741.15000001</v>
      </c>
      <c r="U80" s="30">
        <v>161806822.16999999</v>
      </c>
    </row>
    <row r="81" spans="1:21" ht="15.75">
      <c r="A81" s="13">
        <v>71</v>
      </c>
      <c r="B81" s="14" t="s">
        <v>130</v>
      </c>
      <c r="C81" s="14" t="s">
        <v>44</v>
      </c>
      <c r="D81" s="19">
        <v>14673734001.440001</v>
      </c>
      <c r="E81" s="19">
        <v>105564724.48</v>
      </c>
      <c r="F81" s="19">
        <v>24603836.199999999</v>
      </c>
      <c r="G81" s="16">
        <v>80960888.280000001</v>
      </c>
      <c r="H81" s="19">
        <v>14922711934.74</v>
      </c>
      <c r="I81" s="45">
        <f t="shared" si="24"/>
        <v>4.5919418422487292E-2</v>
      </c>
      <c r="J81" s="19">
        <v>14781913942.76</v>
      </c>
      <c r="K81" s="45">
        <f t="shared" si="31"/>
        <v>4.5586989812326707E-2</v>
      </c>
      <c r="L81" s="45">
        <f t="shared" si="32"/>
        <v>-9.43514775301817E-3</v>
      </c>
      <c r="M81" s="56">
        <f t="shared" si="33"/>
        <v>1.6644553807628312E-3</v>
      </c>
      <c r="N81" s="47">
        <f t="shared" si="34"/>
        <v>5.4770233809711532E-3</v>
      </c>
      <c r="O81" s="55">
        <f t="shared" si="35"/>
        <v>340.57788403756985</v>
      </c>
      <c r="P81" s="55">
        <f t="shared" si="36"/>
        <v>1.865353033915452</v>
      </c>
      <c r="Q81" s="33">
        <v>340.58</v>
      </c>
      <c r="R81" s="33">
        <v>340.58</v>
      </c>
      <c r="S81" s="30">
        <v>9985</v>
      </c>
      <c r="T81" s="30">
        <v>44000226.240000002</v>
      </c>
      <c r="U81" s="30">
        <v>43402448.119999997</v>
      </c>
    </row>
    <row r="82" spans="1:21" ht="15.75">
      <c r="A82" s="13">
        <v>72</v>
      </c>
      <c r="B82" s="14" t="s">
        <v>131</v>
      </c>
      <c r="C82" s="14" t="s">
        <v>47</v>
      </c>
      <c r="D82" s="19">
        <v>32326820.539999999</v>
      </c>
      <c r="E82" s="19">
        <v>662244.4</v>
      </c>
      <c r="F82" s="19">
        <v>55365.14</v>
      </c>
      <c r="G82" s="16">
        <v>662244.4</v>
      </c>
      <c r="H82" s="19">
        <v>57343731.479999997</v>
      </c>
      <c r="I82" s="45">
        <f t="shared" si="24"/>
        <v>1.7645524561837991E-4</v>
      </c>
      <c r="J82" s="19">
        <v>55140649.859999999</v>
      </c>
      <c r="K82" s="45">
        <f t="shared" si="31"/>
        <v>1.7005214975183045E-4</v>
      </c>
      <c r="L82" s="45">
        <f t="shared" si="32"/>
        <v>-3.8418874446082656E-2</v>
      </c>
      <c r="M82" s="56">
        <f t="shared" si="33"/>
        <v>1.0040712276799416E-3</v>
      </c>
      <c r="N82" s="47">
        <f t="shared" si="34"/>
        <v>1.2010094216905553E-2</v>
      </c>
      <c r="O82" s="55">
        <f t="shared" si="35"/>
        <v>102.6968842385831</v>
      </c>
      <c r="P82" s="55">
        <f t="shared" si="36"/>
        <v>1.233399255488026</v>
      </c>
      <c r="Q82" s="33">
        <v>102.6969</v>
      </c>
      <c r="R82" s="33">
        <v>102.6969</v>
      </c>
      <c r="S82" s="30">
        <v>20</v>
      </c>
      <c r="T82" s="30">
        <v>536926.22</v>
      </c>
      <c r="U82" s="30">
        <v>536926.22</v>
      </c>
    </row>
    <row r="83" spans="1:21" ht="15.75">
      <c r="A83" s="13">
        <v>73</v>
      </c>
      <c r="B83" s="14" t="s">
        <v>132</v>
      </c>
      <c r="C83" s="14" t="s">
        <v>49</v>
      </c>
      <c r="D83" s="19">
        <v>89483954670</v>
      </c>
      <c r="E83" s="19">
        <v>768537497</v>
      </c>
      <c r="F83" s="19">
        <v>167018861</v>
      </c>
      <c r="G83" s="16">
        <v>601518637</v>
      </c>
      <c r="H83" s="19">
        <v>101330365738</v>
      </c>
      <c r="I83" s="45">
        <f t="shared" si="24"/>
        <v>0.31180870364418534</v>
      </c>
      <c r="J83" s="19">
        <v>102008447107</v>
      </c>
      <c r="K83" s="45">
        <f t="shared" si="31"/>
        <v>0.31459106425901739</v>
      </c>
      <c r="L83" s="45">
        <f t="shared" si="32"/>
        <v>6.6917884294748183E-3</v>
      </c>
      <c r="M83" s="56">
        <f t="shared" si="33"/>
        <v>1.6373042207456453E-3</v>
      </c>
      <c r="N83" s="47">
        <f t="shared" si="34"/>
        <v>5.8967532009290115E-3</v>
      </c>
      <c r="O83" s="55">
        <f t="shared" si="35"/>
        <v>2.0119640304261388</v>
      </c>
      <c r="P83" s="55">
        <f t="shared" si="36"/>
        <v>1.1864055336569368E-2</v>
      </c>
      <c r="Q83" s="33">
        <v>2.0099999999999998</v>
      </c>
      <c r="R83" s="33">
        <v>2.0099999999999998</v>
      </c>
      <c r="S83" s="30">
        <v>2526</v>
      </c>
      <c r="T83" s="30">
        <v>50768597974</v>
      </c>
      <c r="U83" s="30">
        <v>50700929820</v>
      </c>
    </row>
    <row r="84" spans="1:21" ht="15.75">
      <c r="A84" s="13">
        <v>74</v>
      </c>
      <c r="B84" s="14" t="s">
        <v>133</v>
      </c>
      <c r="C84" s="20" t="s">
        <v>207</v>
      </c>
      <c r="D84" s="19">
        <v>11006584275.690001</v>
      </c>
      <c r="E84" s="19">
        <v>58716020.479999997</v>
      </c>
      <c r="F84" s="19">
        <v>2361346.71</v>
      </c>
      <c r="G84" s="19">
        <v>56354673.770000003</v>
      </c>
      <c r="H84" s="19">
        <v>9688373258.9300003</v>
      </c>
      <c r="I84" s="45">
        <f t="shared" si="24"/>
        <v>2.9812574782359408E-2</v>
      </c>
      <c r="J84" s="19">
        <v>9683869937.6299992</v>
      </c>
      <c r="K84" s="45">
        <f t="shared" si="31"/>
        <v>2.986477136182061E-2</v>
      </c>
      <c r="L84" s="45">
        <f t="shared" si="32"/>
        <v>-4.6481707296426963E-4</v>
      </c>
      <c r="M84" s="56">
        <f t="shared" si="33"/>
        <v>2.4384329046223319E-4</v>
      </c>
      <c r="N84" s="47">
        <f t="shared" si="34"/>
        <v>5.8194372841599805E-3</v>
      </c>
      <c r="O84" s="55">
        <f t="shared" si="35"/>
        <v>1.0188671282446544</v>
      </c>
      <c r="P84" s="55">
        <f t="shared" si="36"/>
        <v>5.9292333537119511E-3</v>
      </c>
      <c r="Q84" s="33">
        <v>1</v>
      </c>
      <c r="R84" s="33">
        <v>1</v>
      </c>
      <c r="S84" s="30">
        <v>5452</v>
      </c>
      <c r="T84" s="30">
        <v>9688373258.9300003</v>
      </c>
      <c r="U84" s="30">
        <v>9504546441.0200005</v>
      </c>
    </row>
    <row r="85" spans="1:21" ht="15.75">
      <c r="A85" s="13">
        <v>75</v>
      </c>
      <c r="B85" s="20" t="s">
        <v>134</v>
      </c>
      <c r="C85" s="20" t="s">
        <v>96</v>
      </c>
      <c r="D85" s="19">
        <v>2569080399.1599998</v>
      </c>
      <c r="E85" s="19">
        <v>20967776.530000001</v>
      </c>
      <c r="F85" s="19">
        <v>4526220.05</v>
      </c>
      <c r="G85" s="19">
        <v>16441556.48</v>
      </c>
      <c r="H85" s="19">
        <v>2616913838.73</v>
      </c>
      <c r="I85" s="45">
        <f t="shared" si="24"/>
        <v>8.0526356108564772E-3</v>
      </c>
      <c r="J85" s="19">
        <v>2565436245.3099999</v>
      </c>
      <c r="K85" s="45">
        <f t="shared" si="31"/>
        <v>7.9117302692999075E-3</v>
      </c>
      <c r="L85" s="45">
        <f t="shared" si="32"/>
        <v>-1.9671107492397373E-2</v>
      </c>
      <c r="M85" s="56">
        <f t="shared" si="33"/>
        <v>1.7643081399019778E-3</v>
      </c>
      <c r="N85" s="47">
        <f t="shared" si="34"/>
        <v>6.4088735434597597E-3</v>
      </c>
      <c r="O85" s="55">
        <f t="shared" si="35"/>
        <v>24.245975759413827</v>
      </c>
      <c r="P85" s="55">
        <f t="shared" si="36"/>
        <v>0.15538939257987394</v>
      </c>
      <c r="Q85" s="33">
        <v>24.2605</v>
      </c>
      <c r="R85" s="33">
        <v>24.2605</v>
      </c>
      <c r="S85" s="30">
        <v>1333</v>
      </c>
      <c r="T85" s="30">
        <v>108550342.16</v>
      </c>
      <c r="U85" s="30">
        <v>105808744.13</v>
      </c>
    </row>
    <row r="86" spans="1:21" ht="15.75">
      <c r="A86" s="110" t="s">
        <v>50</v>
      </c>
      <c r="B86" s="111"/>
      <c r="C86" s="111"/>
      <c r="D86" s="111"/>
      <c r="E86" s="111"/>
      <c r="F86" s="111"/>
      <c r="G86" s="112"/>
      <c r="H86" s="32">
        <f t="shared" ref="H86" si="37">SUM(H56:H85)</f>
        <v>324976065625.25995</v>
      </c>
      <c r="I86" s="53">
        <f>(H86/$H$167)</f>
        <v>0.20071006906448693</v>
      </c>
      <c r="J86" s="32">
        <f>SUM(J56:J85)</f>
        <v>324257293662.38995</v>
      </c>
      <c r="K86" s="53">
        <f>(J86/$J$167)</f>
        <v>0.19896615300790507</v>
      </c>
      <c r="L86" s="54">
        <f t="shared" si="26"/>
        <v>-2.2117689236192352E-3</v>
      </c>
      <c r="M86" s="57"/>
      <c r="N86" s="58"/>
      <c r="O86" s="59"/>
      <c r="P86" s="59"/>
      <c r="Q86" s="32"/>
      <c r="R86" s="32"/>
      <c r="S86" s="49">
        <f>SUM(S56:S85)</f>
        <v>50142</v>
      </c>
      <c r="T86" s="49"/>
      <c r="U86" s="30"/>
    </row>
    <row r="87" spans="1:21" ht="7.5" customHeight="1">
      <c r="A87" s="124"/>
      <c r="B87" s="124"/>
      <c r="C87" s="124"/>
      <c r="D87" s="124"/>
      <c r="E87" s="124"/>
      <c r="F87" s="124"/>
      <c r="G87" s="124"/>
      <c r="H87" s="124"/>
      <c r="I87" s="124"/>
      <c r="J87" s="124"/>
      <c r="K87" s="124"/>
      <c r="L87" s="124"/>
      <c r="M87" s="124"/>
      <c r="N87" s="124"/>
      <c r="O87" s="124"/>
      <c r="P87" s="124"/>
      <c r="Q87" s="124"/>
      <c r="R87" s="124"/>
      <c r="S87" s="124"/>
      <c r="T87" s="124"/>
      <c r="U87" s="124"/>
    </row>
    <row r="88" spans="1:21">
      <c r="A88" s="121" t="s">
        <v>135</v>
      </c>
      <c r="B88" s="121"/>
      <c r="C88" s="121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</row>
    <row r="89" spans="1:21">
      <c r="A89" s="123" t="s">
        <v>136</v>
      </c>
      <c r="B89" s="123"/>
      <c r="C89" s="123"/>
      <c r="D89" s="123"/>
      <c r="E89" s="123"/>
      <c r="F89" s="123"/>
      <c r="G89" s="123"/>
      <c r="H89" s="123"/>
      <c r="I89" s="123"/>
      <c r="J89" s="123"/>
      <c r="K89" s="123"/>
      <c r="L89" s="123"/>
      <c r="M89" s="123"/>
      <c r="N89" s="123"/>
      <c r="O89" s="123"/>
      <c r="P89" s="123"/>
      <c r="Q89" s="123"/>
      <c r="R89" s="123"/>
      <c r="S89" s="123"/>
      <c r="T89" s="123"/>
      <c r="U89" s="123"/>
    </row>
    <row r="90" spans="1:21" ht="15.75">
      <c r="A90" s="35">
        <v>76</v>
      </c>
      <c r="B90" s="14" t="s">
        <v>137</v>
      </c>
      <c r="C90" s="14" t="s">
        <v>22</v>
      </c>
      <c r="D90" s="36">
        <v>810136842.36000001</v>
      </c>
      <c r="E90" s="36">
        <v>5315721.68</v>
      </c>
      <c r="F90" s="36">
        <v>1607177.44</v>
      </c>
      <c r="G90" s="37">
        <v>3708544.24</v>
      </c>
      <c r="H90" s="17">
        <v>798633868.32000005</v>
      </c>
      <c r="I90" s="45">
        <f>(H90/$H$111)</f>
        <v>2.410775235806639E-3</v>
      </c>
      <c r="J90" s="17">
        <v>802862947.44000006</v>
      </c>
      <c r="K90" s="45">
        <f>(J90/$J$111)</f>
        <v>2.4364366277880843E-3</v>
      </c>
      <c r="L90" s="45">
        <f t="shared" ref="L90" si="38">((J90-H90)/H90)</f>
        <v>5.2953916528687452E-3</v>
      </c>
      <c r="M90" s="56">
        <f t="shared" ref="M90" si="39">(F90/J90)</f>
        <v>2.0018079612773615E-3</v>
      </c>
      <c r="N90" s="47">
        <f t="shared" ref="N90" si="40">G90/J90</f>
        <v>4.6191498210560386E-3</v>
      </c>
      <c r="O90" s="55">
        <f t="shared" ref="O90" si="41">J90/U90</f>
        <v>108.44863925308185</v>
      </c>
      <c r="P90" s="55">
        <f t="shared" ref="P90" si="42">G90/U90</f>
        <v>0.50094051259964401</v>
      </c>
      <c r="Q90" s="19">
        <f>108.4486*461.26</f>
        <v>50023.001235999996</v>
      </c>
      <c r="R90" s="17">
        <f>108.4486*461.26</f>
        <v>50023.001235999996</v>
      </c>
      <c r="S90" s="30">
        <v>213</v>
      </c>
      <c r="T90" s="30">
        <f>461.26*16074.0364</f>
        <v>7414310.0298640002</v>
      </c>
      <c r="U90" s="30">
        <f>461.26*16049.8698</f>
        <v>7403162.9439479997</v>
      </c>
    </row>
    <row r="91" spans="1:21" ht="13.5" customHeight="1">
      <c r="A91" s="13">
        <v>77</v>
      </c>
      <c r="B91" s="14" t="s">
        <v>138</v>
      </c>
      <c r="C91" s="20" t="s">
        <v>26</v>
      </c>
      <c r="D91" s="19">
        <f>9869430.86*461.76</f>
        <v>4557308393.9136</v>
      </c>
      <c r="E91" s="17">
        <f>59786.38*461.76</f>
        <v>27606958.828799997</v>
      </c>
      <c r="F91" s="17">
        <f>19718.82*461.76</f>
        <v>9105362.3232000005</v>
      </c>
      <c r="G91" s="38">
        <f>40067.56*461.76</f>
        <v>18501596.505599998</v>
      </c>
      <c r="H91" s="17">
        <f>11812936*460.81</f>
        <v>5443519038.1599998</v>
      </c>
      <c r="I91" s="45">
        <f t="shared" ref="I91:I99" si="43">(H91/$H$111)</f>
        <v>1.6431936352065503E-2</v>
      </c>
      <c r="J91" s="17">
        <f>11662913*461.76</f>
        <v>5385466706.8800001</v>
      </c>
      <c r="K91" s="45">
        <f t="shared" ref="K91:K99" si="44">(J91/$J$111)</f>
        <v>1.6343198280870098E-2</v>
      </c>
      <c r="L91" s="45">
        <f t="shared" ref="L91:L99" si="45">((J91-H91)/H91)</f>
        <v>-1.0664485762434733E-2</v>
      </c>
      <c r="M91" s="56">
        <f t="shared" ref="M91:M99" si="46">(F91/J91)</f>
        <v>1.6907285512633079E-3</v>
      </c>
      <c r="N91" s="47">
        <f t="shared" ref="N91:N99" si="47">G91/J91</f>
        <v>3.4354676228828935E-3</v>
      </c>
      <c r="O91" s="55">
        <f t="shared" ref="O91:O99" si="48">J91/U91</f>
        <v>531.76050268093672</v>
      </c>
      <c r="P91" s="55">
        <f t="shared" ref="P91:P99" si="49">G91/U91</f>
        <v>1.8268459900882901</v>
      </c>
      <c r="Q91" s="19">
        <f>1.1516*461.76</f>
        <v>531.76281599999993</v>
      </c>
      <c r="R91" s="19">
        <f>1.1516*461.76</f>
        <v>531.76281599999993</v>
      </c>
      <c r="S91" s="30">
        <v>333</v>
      </c>
      <c r="T91" s="30">
        <v>10315841</v>
      </c>
      <c r="U91" s="30">
        <v>10127617</v>
      </c>
    </row>
    <row r="92" spans="1:21" ht="15" customHeight="1">
      <c r="A92" s="35">
        <v>78</v>
      </c>
      <c r="B92" s="14" t="s">
        <v>139</v>
      </c>
      <c r="C92" s="20" t="s">
        <v>71</v>
      </c>
      <c r="D92" s="101">
        <v>86931131.540000007</v>
      </c>
      <c r="E92" s="17">
        <v>7301021.2699999996</v>
      </c>
      <c r="F92" s="17">
        <v>1977367.14</v>
      </c>
      <c r="G92" s="38">
        <v>5323654.13</v>
      </c>
      <c r="H92" s="17">
        <v>1012233530.87</v>
      </c>
      <c r="I92" s="45">
        <f t="shared" si="43"/>
        <v>3.0555522697877048E-3</v>
      </c>
      <c r="J92" s="17">
        <v>1117794941.0799999</v>
      </c>
      <c r="K92" s="45">
        <f t="shared" si="44"/>
        <v>3.3921562148153121E-3</v>
      </c>
      <c r="L92" s="45">
        <f t="shared" si="45"/>
        <v>0.10428562875137264</v>
      </c>
      <c r="M92" s="56">
        <f t="shared" si="46"/>
        <v>1.7689891654810066E-3</v>
      </c>
      <c r="N92" s="47">
        <f t="shared" si="47"/>
        <v>4.762639312767286E-3</v>
      </c>
      <c r="O92" s="55">
        <f t="shared" si="48"/>
        <v>47849.458922821526</v>
      </c>
      <c r="P92" s="55">
        <f t="shared" si="49"/>
        <v>227.8897141604732</v>
      </c>
      <c r="Q92" s="17">
        <v>103.62</v>
      </c>
      <c r="R92" s="17">
        <v>103.62</v>
      </c>
      <c r="S92" s="30">
        <v>40</v>
      </c>
      <c r="T92" s="30">
        <v>20587.439999999999</v>
      </c>
      <c r="U92" s="30">
        <v>23360.66</v>
      </c>
    </row>
    <row r="93" spans="1:21" ht="15" customHeight="1">
      <c r="A93" s="13">
        <v>79</v>
      </c>
      <c r="B93" s="14" t="s">
        <v>140</v>
      </c>
      <c r="C93" s="14" t="s">
        <v>141</v>
      </c>
      <c r="D93" s="15">
        <v>13291192000.01</v>
      </c>
      <c r="E93" s="15">
        <v>79692347.319999993</v>
      </c>
      <c r="F93" s="15">
        <v>21728354.140000001</v>
      </c>
      <c r="G93" s="38">
        <v>57963993.18</v>
      </c>
      <c r="H93" s="17">
        <v>13287141404.309999</v>
      </c>
      <c r="I93" s="45">
        <f t="shared" si="43"/>
        <v>4.010888183286606E-2</v>
      </c>
      <c r="J93" s="17">
        <v>13291192000.01</v>
      </c>
      <c r="K93" s="45">
        <f t="shared" si="44"/>
        <v>4.033458900930087E-2</v>
      </c>
      <c r="L93" s="45">
        <f t="shared" si="45"/>
        <v>3.0485080099221766E-4</v>
      </c>
      <c r="M93" s="56">
        <f t="shared" si="46"/>
        <v>1.6347934887994736E-3</v>
      </c>
      <c r="N93" s="47">
        <f t="shared" si="47"/>
        <v>4.3610831278305499E-3</v>
      </c>
      <c r="O93" s="55">
        <f t="shared" si="48"/>
        <v>57420.834722146319</v>
      </c>
      <c r="P93" s="55">
        <f t="shared" si="49"/>
        <v>250.41703349269892</v>
      </c>
      <c r="Q93" s="29">
        <v>123.57</v>
      </c>
      <c r="R93" s="29">
        <v>123.57</v>
      </c>
      <c r="S93" s="30">
        <v>1934</v>
      </c>
      <c r="T93" s="30">
        <v>233286.53</v>
      </c>
      <c r="U93" s="30">
        <v>231469.85</v>
      </c>
    </row>
    <row r="94" spans="1:21" ht="15.75">
      <c r="A94" s="35">
        <v>80</v>
      </c>
      <c r="B94" s="14" t="s">
        <v>142</v>
      </c>
      <c r="C94" s="14" t="s">
        <v>141</v>
      </c>
      <c r="D94" s="15">
        <v>8003885056.3699999</v>
      </c>
      <c r="E94" s="15">
        <v>44835094.560000002</v>
      </c>
      <c r="F94" s="15">
        <v>12696466.33</v>
      </c>
      <c r="G94" s="38">
        <v>32138628.23</v>
      </c>
      <c r="H94" s="17">
        <v>7202583614.2799997</v>
      </c>
      <c r="I94" s="45">
        <f t="shared" si="43"/>
        <v>2.1741890620866452E-2</v>
      </c>
      <c r="J94" s="17">
        <v>8003885056.3699999</v>
      </c>
      <c r="K94" s="45">
        <f t="shared" si="44"/>
        <v>2.4289274748730286E-2</v>
      </c>
      <c r="L94" s="45">
        <f t="shared" si="45"/>
        <v>0.11125194582973287</v>
      </c>
      <c r="M94" s="56">
        <f t="shared" si="46"/>
        <v>1.5862879389922455E-3</v>
      </c>
      <c r="N94" s="47">
        <f t="shared" si="47"/>
        <v>4.0153785322569122E-3</v>
      </c>
      <c r="O94" s="55">
        <f t="shared" si="48"/>
        <v>50383.119627131862</v>
      </c>
      <c r="P94" s="55">
        <f t="shared" si="49"/>
        <v>202.30729693891712</v>
      </c>
      <c r="Q94" s="29">
        <v>108.43</v>
      </c>
      <c r="R94" s="29">
        <v>108.43</v>
      </c>
      <c r="S94" s="30">
        <v>94</v>
      </c>
      <c r="T94" s="30">
        <v>144442.18</v>
      </c>
      <c r="U94" s="30">
        <v>158860.45000000001</v>
      </c>
    </row>
    <row r="95" spans="1:21" ht="15.75">
      <c r="A95" s="13">
        <v>81</v>
      </c>
      <c r="B95" s="23" t="s">
        <v>143</v>
      </c>
      <c r="C95" s="24" t="s">
        <v>144</v>
      </c>
      <c r="D95" s="15">
        <f>63993.8047945205*461.76</f>
        <v>29549779.301917788</v>
      </c>
      <c r="E95" s="15">
        <f>330.27*461.76</f>
        <v>152505.47519999999</v>
      </c>
      <c r="F95" s="15">
        <f>100.53*461.76</f>
        <v>46420.732799999998</v>
      </c>
      <c r="G95" s="38">
        <f>229.74*461.76</f>
        <v>106084.7424</v>
      </c>
      <c r="H95" s="17">
        <f>84339.75*460.81</f>
        <v>38864600.197499998</v>
      </c>
      <c r="I95" s="45">
        <f t="shared" si="43"/>
        <v>1.1731760875950876E-4</v>
      </c>
      <c r="J95" s="17">
        <f>84568.02*461.76</f>
        <v>39050128.915200002</v>
      </c>
      <c r="K95" s="45">
        <f t="shared" si="44"/>
        <v>1.1850486401472668E-4</v>
      </c>
      <c r="L95" s="45">
        <f t="shared" si="45"/>
        <v>4.7737199599943107E-3</v>
      </c>
      <c r="M95" s="56">
        <f t="shared" si="46"/>
        <v>1.1887472356571667E-3</v>
      </c>
      <c r="N95" s="47">
        <f t="shared" si="47"/>
        <v>2.716629761463021E-3</v>
      </c>
      <c r="O95" s="55">
        <f t="shared" si="48"/>
        <v>47075.005021156561</v>
      </c>
      <c r="P95" s="55">
        <f t="shared" si="49"/>
        <v>127.88535966149507</v>
      </c>
      <c r="Q95" s="29">
        <f>101.67*461.76</f>
        <v>46947.139199999998</v>
      </c>
      <c r="R95" s="29">
        <f>101.67*461.76</f>
        <v>46947.139199999998</v>
      </c>
      <c r="S95" s="30">
        <v>2</v>
      </c>
      <c r="T95" s="30">
        <v>790.25</v>
      </c>
      <c r="U95" s="30">
        <v>829.53</v>
      </c>
    </row>
    <row r="96" spans="1:21" ht="15.75">
      <c r="A96" s="35">
        <v>82</v>
      </c>
      <c r="B96" s="14" t="s">
        <v>145</v>
      </c>
      <c r="C96" s="14" t="s">
        <v>146</v>
      </c>
      <c r="D96" s="16">
        <f>461.76*12732100.79</f>
        <v>5879174860.7903996</v>
      </c>
      <c r="E96" s="16">
        <f>461.76*73697.96</f>
        <v>34030770.009599999</v>
      </c>
      <c r="F96" s="16">
        <f>461.76*21080.44</f>
        <v>9734103.9743999988</v>
      </c>
      <c r="G96" s="16">
        <f>461.76*52617.52</f>
        <v>24296666.0352</v>
      </c>
      <c r="H96" s="17">
        <f>12685488.15*460.81</f>
        <v>5845599794.4014997</v>
      </c>
      <c r="I96" s="45">
        <f t="shared" si="43"/>
        <v>1.7645666909198623E-2</v>
      </c>
      <c r="J96" s="17">
        <f>461.76*12669344.93</f>
        <v>5850196714.8767996</v>
      </c>
      <c r="K96" s="45">
        <f t="shared" si="44"/>
        <v>1.7753507745425716E-2</v>
      </c>
      <c r="L96" s="45">
        <f t="shared" si="45"/>
        <v>7.8638987220822727E-4</v>
      </c>
      <c r="M96" s="56">
        <f t="shared" si="46"/>
        <v>1.6638934464625076E-3</v>
      </c>
      <c r="N96" s="47">
        <f t="shared" si="47"/>
        <v>4.1531365899910031E-3</v>
      </c>
      <c r="O96" s="55">
        <f t="shared" si="48"/>
        <v>1.263673835402511</v>
      </c>
      <c r="P96" s="55">
        <f t="shared" si="49"/>
        <v>5.2482100436244362E-3</v>
      </c>
      <c r="Q96" s="29">
        <f>461.76*1.29</f>
        <v>595.67039999999997</v>
      </c>
      <c r="R96" s="29">
        <f>461.76*1.29</f>
        <v>595.67039999999997</v>
      </c>
      <c r="S96" s="30">
        <v>118</v>
      </c>
      <c r="T96" s="30">
        <f>461.76*10080608</f>
        <v>4654821550.0799999</v>
      </c>
      <c r="U96" s="30">
        <f>461.76*10025803</f>
        <v>4629514793.2799997</v>
      </c>
    </row>
    <row r="97" spans="1:21" ht="15.75">
      <c r="A97" s="13">
        <v>83</v>
      </c>
      <c r="B97" s="14" t="s">
        <v>147</v>
      </c>
      <c r="C97" s="14" t="s">
        <v>49</v>
      </c>
      <c r="D97" s="17">
        <f>461.76*145702222</f>
        <v>67279458030.720001</v>
      </c>
      <c r="E97" s="17">
        <f>461.76*970066</f>
        <v>447937676.15999997</v>
      </c>
      <c r="F97" s="17">
        <f>461.76*250385</f>
        <v>115617777.59999999</v>
      </c>
      <c r="G97" s="38">
        <f>461.76*719682</f>
        <v>332320360.31999999</v>
      </c>
      <c r="H97" s="17">
        <f>149214644*460.81</f>
        <v>68759600101.639999</v>
      </c>
      <c r="I97" s="45">
        <f t="shared" si="43"/>
        <v>0.20755936822176238</v>
      </c>
      <c r="J97" s="17">
        <f>461.76*147146292</f>
        <v>67946271793.919998</v>
      </c>
      <c r="K97" s="45">
        <f t="shared" si="44"/>
        <v>0.20619557279136089</v>
      </c>
      <c r="L97" s="45">
        <f t="shared" si="45"/>
        <v>-1.1828578213336676E-2</v>
      </c>
      <c r="M97" s="56">
        <f t="shared" si="46"/>
        <v>1.7016059093082686E-3</v>
      </c>
      <c r="N97" s="47">
        <f t="shared" si="47"/>
        <v>4.8909285461301326E-3</v>
      </c>
      <c r="O97" s="55">
        <f t="shared" si="48"/>
        <v>128.12688146201549</v>
      </c>
      <c r="P97" s="55">
        <f t="shared" si="49"/>
        <v>0.62665942206920333</v>
      </c>
      <c r="Q97" s="17">
        <f>461.76*128.13</f>
        <v>59165.308799999999</v>
      </c>
      <c r="R97" s="17">
        <f>461.76*128.13</f>
        <v>59165.308799999999</v>
      </c>
      <c r="S97" s="30">
        <v>1385</v>
      </c>
      <c r="T97" s="30">
        <f>461.76*1167212</f>
        <v>538971813.12</v>
      </c>
      <c r="U97" s="30">
        <f>461.76*1148442</f>
        <v>530304577.92000002</v>
      </c>
    </row>
    <row r="98" spans="1:21" ht="15.75">
      <c r="A98" s="35">
        <v>84</v>
      </c>
      <c r="B98" s="14" t="s">
        <v>213</v>
      </c>
      <c r="C98" s="14" t="s">
        <v>199</v>
      </c>
      <c r="D98" s="17">
        <v>769016411.95000005</v>
      </c>
      <c r="E98" s="17">
        <v>8356695.8399999999</v>
      </c>
      <c r="F98" s="17">
        <v>1702852.5</v>
      </c>
      <c r="G98" s="38">
        <v>6653843.3399999999</v>
      </c>
      <c r="H98" s="17">
        <v>722866085.95000005</v>
      </c>
      <c r="I98" s="45">
        <f t="shared" si="43"/>
        <v>2.1820608015016888E-3</v>
      </c>
      <c r="J98" s="17">
        <v>840558566.25999999</v>
      </c>
      <c r="K98" s="45">
        <f t="shared" si="44"/>
        <v>2.5508309795177729E-3</v>
      </c>
      <c r="L98" s="45">
        <f t="shared" si="45"/>
        <v>0.16281366991415422</v>
      </c>
      <c r="M98" s="56">
        <f t="shared" si="46"/>
        <v>2.0258582427833791E-3</v>
      </c>
      <c r="N98" s="47">
        <f t="shared" si="47"/>
        <v>7.9159782638415777E-3</v>
      </c>
      <c r="O98" s="55">
        <f t="shared" si="48"/>
        <v>47435.585003386004</v>
      </c>
      <c r="P98" s="55">
        <f t="shared" si="49"/>
        <v>375.49905981941311</v>
      </c>
      <c r="Q98" s="17">
        <v>47435.59</v>
      </c>
      <c r="R98" s="17">
        <v>47435.59</v>
      </c>
      <c r="S98" s="30">
        <v>115</v>
      </c>
      <c r="T98" s="30">
        <v>15458</v>
      </c>
      <c r="U98" s="30">
        <v>17720</v>
      </c>
    </row>
    <row r="99" spans="1:21" ht="15.75">
      <c r="A99" s="13">
        <v>85</v>
      </c>
      <c r="B99" s="14" t="s">
        <v>148</v>
      </c>
      <c r="C99" s="14" t="s">
        <v>40</v>
      </c>
      <c r="D99" s="19">
        <v>783935755.44000006</v>
      </c>
      <c r="E99" s="19">
        <v>4784946.5199999996</v>
      </c>
      <c r="F99" s="19">
        <v>1046091.37</v>
      </c>
      <c r="G99" s="38">
        <v>3738855.15</v>
      </c>
      <c r="H99" s="17">
        <f>1763577.69*460.81</f>
        <v>812674235.32889998</v>
      </c>
      <c r="I99" s="45">
        <f t="shared" si="43"/>
        <v>2.4531578224077999E-3</v>
      </c>
      <c r="J99" s="17">
        <v>787875045.79999995</v>
      </c>
      <c r="K99" s="45">
        <f t="shared" si="44"/>
        <v>2.3909530584618139E-3</v>
      </c>
      <c r="L99" s="45">
        <f t="shared" si="45"/>
        <v>-3.0515535562491983E-2</v>
      </c>
      <c r="M99" s="56">
        <f t="shared" si="46"/>
        <v>1.3277376604024942E-3</v>
      </c>
      <c r="N99" s="47">
        <f t="shared" si="47"/>
        <v>4.7454925370857583E-3</v>
      </c>
      <c r="O99" s="55">
        <f t="shared" si="48"/>
        <v>58608.5729227107</v>
      </c>
      <c r="P99" s="55">
        <f t="shared" si="49"/>
        <v>278.12654541397006</v>
      </c>
      <c r="Q99" s="17">
        <v>57034.35</v>
      </c>
      <c r="R99" s="17">
        <v>58684.47</v>
      </c>
      <c r="S99" s="30">
        <v>37</v>
      </c>
      <c r="T99" s="30">
        <v>13771</v>
      </c>
      <c r="U99" s="30">
        <v>13443</v>
      </c>
    </row>
    <row r="100" spans="1:21" ht="8.25" customHeight="1">
      <c r="A100" s="125"/>
      <c r="B100" s="126"/>
      <c r="C100" s="126"/>
      <c r="D100" s="126"/>
      <c r="E100" s="126"/>
      <c r="F100" s="126"/>
      <c r="G100" s="126"/>
      <c r="H100" s="126"/>
      <c r="I100" s="126"/>
      <c r="J100" s="126"/>
      <c r="K100" s="126"/>
      <c r="L100" s="126"/>
      <c r="M100" s="126"/>
      <c r="N100" s="126"/>
      <c r="O100" s="126"/>
      <c r="P100" s="126"/>
      <c r="Q100" s="126"/>
      <c r="R100" s="126"/>
      <c r="S100" s="126"/>
      <c r="T100" s="126"/>
      <c r="U100" s="127"/>
    </row>
    <row r="101" spans="1:21">
      <c r="A101" s="123" t="s">
        <v>149</v>
      </c>
      <c r="B101" s="123"/>
      <c r="C101" s="123"/>
      <c r="D101" s="123"/>
      <c r="E101" s="123"/>
      <c r="F101" s="123"/>
      <c r="G101" s="123"/>
      <c r="H101" s="123"/>
      <c r="I101" s="123"/>
      <c r="J101" s="123"/>
      <c r="K101" s="123"/>
      <c r="L101" s="123"/>
      <c r="M101" s="123"/>
      <c r="N101" s="123"/>
      <c r="O101" s="123"/>
      <c r="P101" s="123"/>
      <c r="Q101" s="123"/>
      <c r="R101" s="123"/>
      <c r="S101" s="123"/>
      <c r="T101" s="123"/>
      <c r="U101" s="123"/>
    </row>
    <row r="102" spans="1:21" ht="15.75">
      <c r="A102" s="13">
        <v>86</v>
      </c>
      <c r="B102" s="14" t="s">
        <v>150</v>
      </c>
      <c r="C102" s="20" t="s">
        <v>103</v>
      </c>
      <c r="D102" s="19">
        <f>461.76*727420.96</f>
        <v>335893902.4896</v>
      </c>
      <c r="E102" s="19">
        <f>461.76*7134.68</f>
        <v>3294509.8368000002</v>
      </c>
      <c r="F102" s="19">
        <f>461.76*1401.6</f>
        <v>647202.81599999999</v>
      </c>
      <c r="G102" s="16">
        <f>461.76*5733.08</f>
        <v>2647307.0208000001</v>
      </c>
      <c r="H102" s="19">
        <f>848748.23*460.81</f>
        <v>391111671.86629999</v>
      </c>
      <c r="I102" s="45">
        <f>(H102/$H$111)</f>
        <v>1.1806190175150575E-3</v>
      </c>
      <c r="J102" s="19">
        <f>461.76*873965.42</f>
        <v>403562272.33920002</v>
      </c>
      <c r="K102" s="45">
        <f>(J102/$J$111)</f>
        <v>1.2246846177866467E-3</v>
      </c>
      <c r="L102" s="45">
        <f t="shared" ref="L102:L111" si="50">((J102-H102)/H102)</f>
        <v>3.1833876021874957E-2</v>
      </c>
      <c r="M102" s="56">
        <f t="shared" ref="M102" si="51">(F102/J102)</f>
        <v>1.6037247789506361E-3</v>
      </c>
      <c r="N102" s="47">
        <f t="shared" ref="N102" si="52">G102/J102</f>
        <v>6.5598476424845271E-3</v>
      </c>
      <c r="O102" s="48">
        <f t="shared" ref="O102" si="53">J102/U102</f>
        <v>94.207763285544914</v>
      </c>
      <c r="P102" s="48">
        <f t="shared" ref="P102" si="54">G102/U102</f>
        <v>0.61798857389242223</v>
      </c>
      <c r="Q102" s="19">
        <f>461.76*94.21</f>
        <v>43502.409599999999</v>
      </c>
      <c r="R102" s="19">
        <f>461.76*94.21</f>
        <v>43502.409599999999</v>
      </c>
      <c r="S102" s="30">
        <v>30</v>
      </c>
      <c r="T102" s="30">
        <f>461.76*9272</f>
        <v>4281438.72</v>
      </c>
      <c r="U102" s="30">
        <f>461.76*9277</f>
        <v>4283747.5199999996</v>
      </c>
    </row>
    <row r="103" spans="1:21" ht="15.75">
      <c r="A103" s="13">
        <v>87</v>
      </c>
      <c r="B103" s="14" t="s">
        <v>151</v>
      </c>
      <c r="C103" s="20" t="s">
        <v>28</v>
      </c>
      <c r="D103" s="19">
        <f>461.76*4908063.27</f>
        <v>2266347295.5551996</v>
      </c>
      <c r="E103" s="19">
        <f>461.76*38335.1</f>
        <v>17701615.776000001</v>
      </c>
      <c r="F103" s="19">
        <f>461.76*6975.05</f>
        <v>3220799.088</v>
      </c>
      <c r="G103" s="16">
        <f>461.76*31360.04</f>
        <v>14480812.0704</v>
      </c>
      <c r="H103" s="19">
        <f>6139665.2*460.81</f>
        <v>2829219120.8120003</v>
      </c>
      <c r="I103" s="45">
        <f t="shared" ref="I103:I110" si="55">(H103/$H$111)</f>
        <v>8.5403482918549236E-3</v>
      </c>
      <c r="J103" s="19">
        <f>461.76*6139405.19</f>
        <v>2834931740.5344</v>
      </c>
      <c r="K103" s="45">
        <f t="shared" ref="K103:K110" si="56">(J103/$J$111)</f>
        <v>8.6031265385219761E-3</v>
      </c>
      <c r="L103" s="45">
        <f t="shared" ref="L103:L110" si="57">((J103-H103)/H103)</f>
        <v>2.0191506837972171E-3</v>
      </c>
      <c r="M103" s="56">
        <f t="shared" ref="M103:M110" si="58">(F103/J103)</f>
        <v>1.136111689021783E-3</v>
      </c>
      <c r="N103" s="47">
        <f t="shared" ref="N103:N110" si="59">G103/J103</f>
        <v>5.1079932060975435E-3</v>
      </c>
      <c r="O103" s="48">
        <f t="shared" ref="O103:O110" si="60">J103/U103</f>
        <v>111.53423279086232</v>
      </c>
      <c r="P103" s="48">
        <f t="shared" ref="P103:P110" si="61">G103/U103</f>
        <v>0.56971610334302658</v>
      </c>
      <c r="Q103" s="19">
        <f>461.76*121.82</f>
        <v>56251.603199999998</v>
      </c>
      <c r="R103" s="19">
        <f>461.76*124.28</f>
        <v>57387.532800000001</v>
      </c>
      <c r="S103" s="30">
        <v>366</v>
      </c>
      <c r="T103" s="30">
        <f>461.76*50417.49</f>
        <v>23280780.182399999</v>
      </c>
      <c r="U103" s="30">
        <f>461.76*55045.03</f>
        <v>25417593.0528</v>
      </c>
    </row>
    <row r="104" spans="1:21" ht="14.25" customHeight="1">
      <c r="A104" s="13">
        <v>88</v>
      </c>
      <c r="B104" s="14" t="s">
        <v>152</v>
      </c>
      <c r="C104" s="14" t="s">
        <v>62</v>
      </c>
      <c r="D104" s="19">
        <f>11173750.56*461.76</f>
        <v>5159591058.5855999</v>
      </c>
      <c r="E104" s="19">
        <f>85813.43*461.76</f>
        <v>39625209.436799996</v>
      </c>
      <c r="F104" s="19">
        <f>21052*461.76</f>
        <v>9720971.5199999996</v>
      </c>
      <c r="G104" s="16">
        <f>64761.43*461.76</f>
        <v>29904237.9168</v>
      </c>
      <c r="H104" s="19">
        <f>12445347.51*460.81</f>
        <v>5734940586.0831003</v>
      </c>
      <c r="I104" s="45">
        <f t="shared" si="55"/>
        <v>1.7311628384650259E-2</v>
      </c>
      <c r="J104" s="19">
        <f>12414403.82*461.76</f>
        <v>5732475107.9231997</v>
      </c>
      <c r="K104" s="45">
        <f t="shared" si="56"/>
        <v>1.7396259679640168E-2</v>
      </c>
      <c r="L104" s="45">
        <f t="shared" si="57"/>
        <v>-4.2990474319535351E-4</v>
      </c>
      <c r="M104" s="56">
        <f t="shared" si="58"/>
        <v>1.6957721293135767E-3</v>
      </c>
      <c r="N104" s="47">
        <f t="shared" si="59"/>
        <v>5.2166363313933192E-3</v>
      </c>
      <c r="O104" s="48">
        <f t="shared" si="60"/>
        <v>112.9218634139242</v>
      </c>
      <c r="P104" s="48">
        <f t="shared" si="61"/>
        <v>0.58907229529371097</v>
      </c>
      <c r="Q104" s="19">
        <f>111.07*461.76</f>
        <v>51287.683199999992</v>
      </c>
      <c r="R104" s="19">
        <f>111.07*461.76</f>
        <v>51287.683199999992</v>
      </c>
      <c r="S104" s="30">
        <v>528</v>
      </c>
      <c r="T104" s="30">
        <f>107689*461.76</f>
        <v>49726472.640000001</v>
      </c>
      <c r="U104" s="30">
        <f>109938*461.76</f>
        <v>50764970.880000003</v>
      </c>
    </row>
    <row r="105" spans="1:21" ht="15" customHeight="1">
      <c r="A105" s="13">
        <v>89</v>
      </c>
      <c r="B105" s="14" t="s">
        <v>153</v>
      </c>
      <c r="C105" s="20" t="s">
        <v>60</v>
      </c>
      <c r="D105" s="19">
        <f>461.76*3474538.93</f>
        <v>1604403096.3168001</v>
      </c>
      <c r="E105" s="19">
        <f>461.76*21243.64</f>
        <v>9809463.2063999996</v>
      </c>
      <c r="F105" s="19">
        <f>461.76*4939.33</f>
        <v>2280785.0208000001</v>
      </c>
      <c r="G105" s="16">
        <f>461.76*16918.66</f>
        <v>7812360.4415999996</v>
      </c>
      <c r="H105" s="19">
        <f>3641439.44*460.81</f>
        <v>1678011708.3464</v>
      </c>
      <c r="I105" s="45">
        <f t="shared" si="55"/>
        <v>5.0652861496905633E-3</v>
      </c>
      <c r="J105" s="19">
        <f>461.76*3643315.77</f>
        <v>1682337489.9552</v>
      </c>
      <c r="K105" s="45">
        <f t="shared" si="56"/>
        <v>5.1053653601746763E-3</v>
      </c>
      <c r="L105" s="45">
        <f t="shared" si="57"/>
        <v>2.5779209926149946E-3</v>
      </c>
      <c r="M105" s="56">
        <f t="shared" si="58"/>
        <v>1.3557238273639949E-3</v>
      </c>
      <c r="N105" s="47">
        <f t="shared" si="59"/>
        <v>4.643753401588905E-3</v>
      </c>
      <c r="O105" s="48">
        <f t="shared" si="60"/>
        <v>1.1568964869022915</v>
      </c>
      <c r="P105" s="48">
        <f t="shared" si="61"/>
        <v>5.3723419963387703E-3</v>
      </c>
      <c r="Q105" s="19">
        <f>461.76*1.16</f>
        <v>535.64159999999993</v>
      </c>
      <c r="R105" s="19">
        <f>461.76*1.16</f>
        <v>535.64159999999993</v>
      </c>
      <c r="S105" s="30">
        <v>132</v>
      </c>
      <c r="T105" s="30">
        <f>461.76*3161467.11</f>
        <v>1459839052.7135999</v>
      </c>
      <c r="U105" s="30">
        <f>461.76*3149215</f>
        <v>1454181518.3999999</v>
      </c>
    </row>
    <row r="106" spans="1:21" ht="15.75">
      <c r="A106" s="13">
        <v>90</v>
      </c>
      <c r="B106" s="20" t="s">
        <v>154</v>
      </c>
      <c r="C106" s="20" t="s">
        <v>42</v>
      </c>
      <c r="D106" s="19">
        <f>9992414.6*461.76</f>
        <v>4614097365.6960001</v>
      </c>
      <c r="E106" s="19">
        <f>101808.04*461.76</f>
        <v>47010880.550399996</v>
      </c>
      <c r="F106" s="19">
        <f>15644.58*461.76</f>
        <v>7224041.2608000003</v>
      </c>
      <c r="G106" s="16">
        <f>461.76*86163.46</f>
        <v>39786839.2896</v>
      </c>
      <c r="H106" s="19">
        <f>10461927*460.81</f>
        <v>4820960580.8699999</v>
      </c>
      <c r="I106" s="45">
        <f t="shared" si="55"/>
        <v>1.4552666549954693E-2</v>
      </c>
      <c r="J106" s="19">
        <f>461.76*10251998</f>
        <v>4733962596.4799995</v>
      </c>
      <c r="K106" s="45">
        <f t="shared" si="56"/>
        <v>1.4366088136735964E-2</v>
      </c>
      <c r="L106" s="45">
        <f t="shared" si="57"/>
        <v>-1.8045778000180313E-2</v>
      </c>
      <c r="M106" s="56">
        <f t="shared" si="58"/>
        <v>1.5260030288730062E-3</v>
      </c>
      <c r="N106" s="47">
        <f t="shared" si="59"/>
        <v>8.4045529466548873E-3</v>
      </c>
      <c r="O106" s="48">
        <f t="shared" si="60"/>
        <v>1.0157265249920095</v>
      </c>
      <c r="P106" s="48">
        <f t="shared" si="61"/>
        <v>8.5367273586171213E-3</v>
      </c>
      <c r="Q106" s="19">
        <f>1.01573*461.76</f>
        <v>469.02348480000001</v>
      </c>
      <c r="R106" s="19">
        <f>1.01573*461.76</f>
        <v>469.02348480000001</v>
      </c>
      <c r="S106" s="30">
        <v>338</v>
      </c>
      <c r="T106" s="30">
        <f>10383535*461.76</f>
        <v>4794701121.6000004</v>
      </c>
      <c r="U106" s="30">
        <f>461.76*10093266</f>
        <v>4660666508.1599998</v>
      </c>
    </row>
    <row r="107" spans="1:21" ht="15.75">
      <c r="A107" s="13">
        <v>91</v>
      </c>
      <c r="B107" s="14" t="s">
        <v>155</v>
      </c>
      <c r="C107" s="20" t="s">
        <v>85</v>
      </c>
      <c r="D107" s="19">
        <f>461.76*179924.43</f>
        <v>83081904.796800002</v>
      </c>
      <c r="E107" s="19">
        <f>461.76*2138</f>
        <v>987242.88</v>
      </c>
      <c r="F107" s="19">
        <f>461.76*161.09</f>
        <v>74384.918399999995</v>
      </c>
      <c r="G107" s="16">
        <f>461.76*1976.91</f>
        <v>912857.96160000004</v>
      </c>
      <c r="H107" s="19">
        <f>221464.93*460.81</f>
        <v>102053254.3933</v>
      </c>
      <c r="I107" s="45">
        <f t="shared" si="55"/>
        <v>3.080603868483366E-4</v>
      </c>
      <c r="J107" s="19">
        <f>461.76*231543.08</f>
        <v>106917332.62079999</v>
      </c>
      <c r="K107" s="45">
        <f t="shared" si="56"/>
        <v>3.2446049001680512E-4</v>
      </c>
      <c r="L107" s="45">
        <f t="shared" si="57"/>
        <v>4.7662156943613629E-2</v>
      </c>
      <c r="M107" s="56">
        <f t="shared" si="58"/>
        <v>6.9572366403694726E-4</v>
      </c>
      <c r="N107" s="47">
        <f t="shared" si="59"/>
        <v>8.5379791959232822E-3</v>
      </c>
      <c r="O107" s="48">
        <f t="shared" si="60"/>
        <v>0.90628835352369019</v>
      </c>
      <c r="P107" s="48">
        <f t="shared" si="61"/>
        <v>7.7378711078928322E-3</v>
      </c>
      <c r="Q107" s="19">
        <f>461.76*0.91</f>
        <v>420.20159999999998</v>
      </c>
      <c r="R107" s="19">
        <f>461.76*0.91</f>
        <v>420.20159999999998</v>
      </c>
      <c r="S107" s="30">
        <v>3</v>
      </c>
      <c r="T107" s="30">
        <f>461.76*255485</f>
        <v>117972753.59999999</v>
      </c>
      <c r="U107" s="30">
        <f>461.76*255485</f>
        <v>117972753.59999999</v>
      </c>
    </row>
    <row r="108" spans="1:21" ht="15.75">
      <c r="A108" s="13">
        <v>92</v>
      </c>
      <c r="B108" s="14" t="s">
        <v>156</v>
      </c>
      <c r="C108" s="14" t="s">
        <v>44</v>
      </c>
      <c r="D108" s="19">
        <f>461.76*431444632.06</f>
        <v>199223873300.0256</v>
      </c>
      <c r="E108" s="19">
        <f>461.76*3241050.43</f>
        <v>1496587446.5568001</v>
      </c>
      <c r="F108" s="19">
        <f>461.76*715862.33</f>
        <v>330556589.50079995</v>
      </c>
      <c r="G108" s="16">
        <f>461.76*2525188.1</f>
        <v>1166030857.056</v>
      </c>
      <c r="H108" s="19">
        <f>438342094.13*460.81</f>
        <v>201992420396.04529</v>
      </c>
      <c r="I108" s="45">
        <f t="shared" si="55"/>
        <v>0.60973913607720087</v>
      </c>
      <c r="J108" s="19">
        <f>461.76*432424534.69</f>
        <v>199676353138.45441</v>
      </c>
      <c r="K108" s="45">
        <f t="shared" si="56"/>
        <v>0.60595495413124145</v>
      </c>
      <c r="L108" s="45">
        <f t="shared" si="57"/>
        <v>-1.1466109733473081E-2</v>
      </c>
      <c r="M108" s="56">
        <f t="shared" si="58"/>
        <v>1.655461872701541E-3</v>
      </c>
      <c r="N108" s="47">
        <f t="shared" si="59"/>
        <v>5.8396041330316222E-3</v>
      </c>
      <c r="O108" s="48">
        <f t="shared" si="60"/>
        <v>1.403858620644306</v>
      </c>
      <c r="P108" s="48">
        <f t="shared" si="61"/>
        <v>8.1979786033065608E-3</v>
      </c>
      <c r="Q108" s="19">
        <f>461.76*1.4039</f>
        <v>648.26486399999999</v>
      </c>
      <c r="R108" s="19">
        <f>461.76*1.4039</f>
        <v>648.26486399999999</v>
      </c>
      <c r="S108" s="30">
        <v>4870</v>
      </c>
      <c r="T108" s="30">
        <f>461.76*314060411.41</f>
        <v>145020535572.68161</v>
      </c>
      <c r="U108" s="30">
        <f>461.76*308025700.26</f>
        <v>142233947352.05759</v>
      </c>
    </row>
    <row r="109" spans="1:21" ht="15.75">
      <c r="A109" s="13">
        <v>93</v>
      </c>
      <c r="B109" s="14" t="s">
        <v>214</v>
      </c>
      <c r="C109" s="14" t="s">
        <v>49</v>
      </c>
      <c r="D109" s="19">
        <f>(5719069+4686866)*461.76</f>
        <v>4805044545.6000004</v>
      </c>
      <c r="E109" s="19">
        <f>92844*461.76</f>
        <v>42871645.439999998</v>
      </c>
      <c r="F109" s="19">
        <f>22361*461.76</f>
        <v>10325415.359999999</v>
      </c>
      <c r="G109" s="16">
        <f>70484*461.76</f>
        <v>32546691.84</v>
      </c>
      <c r="H109" s="19">
        <f>10198737.4746575*460.81</f>
        <v>4699680215.6969223</v>
      </c>
      <c r="I109" s="45">
        <f t="shared" si="55"/>
        <v>1.4186566748096941E-2</v>
      </c>
      <c r="J109" s="19">
        <f>10796035*461.76</f>
        <v>4985177121.5999994</v>
      </c>
      <c r="K109" s="45">
        <f t="shared" si="56"/>
        <v>1.5128445239385167E-2</v>
      </c>
      <c r="L109" s="45">
        <f t="shared" si="57"/>
        <v>6.0748155789306271E-2</v>
      </c>
      <c r="M109" s="56">
        <f t="shared" si="58"/>
        <v>2.0712233704318298E-3</v>
      </c>
      <c r="N109" s="47">
        <f t="shared" si="59"/>
        <v>6.5286931730028667E-3</v>
      </c>
      <c r="O109" s="48">
        <f t="shared" si="60"/>
        <v>475.82786062604691</v>
      </c>
      <c r="P109" s="48">
        <f t="shared" si="61"/>
        <v>3.1065341051938322</v>
      </c>
      <c r="Q109" s="19">
        <f>1.03*461.76</f>
        <v>475.61279999999999</v>
      </c>
      <c r="R109" s="19">
        <f>1.03*461.76</f>
        <v>475.61279999999999</v>
      </c>
      <c r="S109" s="30">
        <v>31</v>
      </c>
      <c r="T109" s="30">
        <v>9854629</v>
      </c>
      <c r="U109" s="30">
        <v>10476850</v>
      </c>
    </row>
    <row r="110" spans="1:21" ht="15.75">
      <c r="A110" s="13">
        <v>94</v>
      </c>
      <c r="B110" s="20" t="s">
        <v>157</v>
      </c>
      <c r="C110" s="20" t="s">
        <v>207</v>
      </c>
      <c r="D110" s="19">
        <f>12065107.25*461.76</f>
        <v>5571183923.7600002</v>
      </c>
      <c r="E110" s="19">
        <f>78640.03*461.76</f>
        <v>36312820.252799995</v>
      </c>
      <c r="F110" s="19">
        <f>23838*461.76</f>
        <v>11007434.879999999</v>
      </c>
      <c r="G110" s="16">
        <f>54802.03*461.76</f>
        <v>25305385.3728</v>
      </c>
      <c r="H110" s="19">
        <f>11077604.03*460.81</f>
        <v>5104670713.0642996</v>
      </c>
      <c r="I110" s="45">
        <f t="shared" si="55"/>
        <v>1.5409080719166201E-2</v>
      </c>
      <c r="J110" s="19">
        <f>11483360.13*461.76</f>
        <v>5302556373.6288004</v>
      </c>
      <c r="K110" s="45">
        <f t="shared" si="56"/>
        <v>1.609159148621174E-2</v>
      </c>
      <c r="L110" s="45">
        <f t="shared" si="57"/>
        <v>3.8765607359952776E-2</v>
      </c>
      <c r="M110" s="56">
        <f t="shared" si="58"/>
        <v>2.0758732400740268E-3</v>
      </c>
      <c r="N110" s="47">
        <f t="shared" si="59"/>
        <v>4.7722991685013013E-3</v>
      </c>
      <c r="O110" s="48">
        <f t="shared" si="60"/>
        <v>461.76</v>
      </c>
      <c r="P110" s="48">
        <f t="shared" si="61"/>
        <v>2.203656864047161</v>
      </c>
      <c r="Q110" s="19">
        <f>1.09*461.76</f>
        <v>503.31840000000005</v>
      </c>
      <c r="R110" s="19">
        <f>1.09*461.76</f>
        <v>503.31840000000005</v>
      </c>
      <c r="S110" s="30">
        <v>486</v>
      </c>
      <c r="T110" s="30">
        <v>10849364.01</v>
      </c>
      <c r="U110" s="30">
        <v>11483360.130000001</v>
      </c>
    </row>
    <row r="111" spans="1:21" ht="15.75" customHeight="1">
      <c r="A111" s="110" t="s">
        <v>50</v>
      </c>
      <c r="B111" s="111"/>
      <c r="C111" s="111"/>
      <c r="D111" s="111"/>
      <c r="E111" s="111"/>
      <c r="F111" s="111"/>
      <c r="G111" s="112"/>
      <c r="H111" s="32">
        <f>SUM(H90:H110)</f>
        <v>331276784520.63544</v>
      </c>
      <c r="I111" s="53">
        <f>(H111/$H$167)</f>
        <v>0.20460148710542353</v>
      </c>
      <c r="J111" s="32">
        <f>SUM(J90:J110)</f>
        <v>329523427075.08795</v>
      </c>
      <c r="K111" s="53">
        <f>(J111/$J$167)</f>
        <v>0.2021974829635601</v>
      </c>
      <c r="L111" s="54">
        <f t="shared" si="50"/>
        <v>-5.2927265883862974E-3</v>
      </c>
      <c r="M111" s="56"/>
      <c r="N111" s="58"/>
      <c r="O111" s="63"/>
      <c r="P111" s="63"/>
      <c r="Q111" s="32"/>
      <c r="R111" s="32"/>
      <c r="S111" s="39">
        <f>SUM(S90:S110)</f>
        <v>11055</v>
      </c>
      <c r="T111" s="39"/>
      <c r="U111" s="49"/>
    </row>
    <row r="112" spans="1:21" ht="7.5" customHeight="1">
      <c r="A112" s="122"/>
      <c r="B112" s="122"/>
      <c r="C112" s="122"/>
      <c r="D112" s="122"/>
      <c r="E112" s="122"/>
      <c r="F112" s="122"/>
      <c r="G112" s="122"/>
      <c r="H112" s="122"/>
      <c r="I112" s="122"/>
      <c r="J112" s="122"/>
      <c r="K112" s="122"/>
      <c r="L112" s="122"/>
      <c r="M112" s="122"/>
      <c r="N112" s="122"/>
      <c r="O112" s="122"/>
      <c r="P112" s="122"/>
      <c r="Q112" s="122"/>
      <c r="R112" s="122"/>
      <c r="S112" s="122"/>
      <c r="T112" s="122"/>
      <c r="U112" s="122"/>
    </row>
    <row r="113" spans="1:21">
      <c r="A113" s="121" t="s">
        <v>158</v>
      </c>
      <c r="B113" s="121"/>
      <c r="C113" s="121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</row>
    <row r="114" spans="1:21" ht="15.75">
      <c r="A114" s="13">
        <v>95</v>
      </c>
      <c r="B114" s="14" t="s">
        <v>159</v>
      </c>
      <c r="C114" s="14" t="s">
        <v>42</v>
      </c>
      <c r="D114" s="19">
        <v>9110837335</v>
      </c>
      <c r="E114" s="19">
        <v>200294955</v>
      </c>
      <c r="F114" s="15">
        <v>100597058</v>
      </c>
      <c r="G114" s="40">
        <v>99697897</v>
      </c>
      <c r="H114" s="19">
        <v>53879975833</v>
      </c>
      <c r="I114" s="45">
        <f>(H114/$H$118)</f>
        <v>0.57551788936318693</v>
      </c>
      <c r="J114" s="19">
        <v>53979364340</v>
      </c>
      <c r="K114" s="45">
        <f>(J114/$J$118)</f>
        <v>0.58055208442343509</v>
      </c>
      <c r="L114" s="45">
        <f>((J114-H114)/H114)</f>
        <v>1.844627906071318E-3</v>
      </c>
      <c r="M114" s="56">
        <f>(F114/J114)</f>
        <v>1.8636206489274119E-3</v>
      </c>
      <c r="N114" s="47">
        <f>G114/J114</f>
        <v>1.8469631537717363E-3</v>
      </c>
      <c r="O114" s="48">
        <f>J114/U114</f>
        <v>101.72348588895086</v>
      </c>
      <c r="P114" s="48">
        <f>G114/U114</f>
        <v>0.1878795303101114</v>
      </c>
      <c r="Q114" s="19">
        <v>101.72</v>
      </c>
      <c r="R114" s="19">
        <v>101.72</v>
      </c>
      <c r="S114" s="30">
        <v>514</v>
      </c>
      <c r="T114" s="30">
        <v>530648000</v>
      </c>
      <c r="U114" s="30">
        <v>530648000</v>
      </c>
    </row>
    <row r="115" spans="1:21" ht="15.75">
      <c r="A115" s="13">
        <v>96</v>
      </c>
      <c r="B115" s="14" t="s">
        <v>160</v>
      </c>
      <c r="C115" s="14" t="s">
        <v>125</v>
      </c>
      <c r="D115" s="19">
        <v>3012543953.5799999</v>
      </c>
      <c r="E115" s="19">
        <v>28861159.699999999</v>
      </c>
      <c r="F115" s="15">
        <v>7240455.0199999996</v>
      </c>
      <c r="G115" s="40">
        <v>21620704.68</v>
      </c>
      <c r="H115" s="19">
        <v>2357985524.1900001</v>
      </c>
      <c r="I115" s="45">
        <f t="shared" ref="I115:I117" si="62">(H115/$H$118)</f>
        <v>2.518677544022975E-2</v>
      </c>
      <c r="J115" s="19">
        <v>2379606228.8699999</v>
      </c>
      <c r="K115" s="45">
        <f t="shared" ref="K115:K117" si="63">(J115/$J$118)</f>
        <v>2.559284224941779E-2</v>
      </c>
      <c r="L115" s="45">
        <f t="shared" ref="L115:L118" si="64">((J115-H115)/H115)</f>
        <v>9.1691422437492846E-3</v>
      </c>
      <c r="M115" s="56">
        <f>(F115/J115)</f>
        <v>3.0427114083653511E-3</v>
      </c>
      <c r="N115" s="47">
        <f>G115/J115</f>
        <v>9.085832949036695E-3</v>
      </c>
      <c r="O115" s="48">
        <f>J115/U115</f>
        <v>118.9803114435</v>
      </c>
      <c r="P115" s="48">
        <f>G115/U115</f>
        <v>1.081035234</v>
      </c>
      <c r="Q115" s="40">
        <v>77</v>
      </c>
      <c r="R115" s="40">
        <v>77</v>
      </c>
      <c r="S115" s="30">
        <v>2711</v>
      </c>
      <c r="T115" s="30">
        <v>20000000</v>
      </c>
      <c r="U115" s="30">
        <v>20000000</v>
      </c>
    </row>
    <row r="116" spans="1:21" ht="15.75">
      <c r="A116" s="13">
        <v>97</v>
      </c>
      <c r="B116" s="14" t="s">
        <v>161</v>
      </c>
      <c r="C116" s="14" t="s">
        <v>125</v>
      </c>
      <c r="D116" s="19">
        <v>10950489057.950001</v>
      </c>
      <c r="E116" s="19">
        <v>61292998.090000004</v>
      </c>
      <c r="F116" s="41" t="s">
        <v>209</v>
      </c>
      <c r="G116" s="40">
        <v>43279900.850000001</v>
      </c>
      <c r="H116" s="19">
        <v>10192449187</v>
      </c>
      <c r="I116" s="45">
        <f t="shared" si="62"/>
        <v>0.10887044310719692</v>
      </c>
      <c r="J116" s="19">
        <v>9840662249</v>
      </c>
      <c r="K116" s="45">
        <f t="shared" si="63"/>
        <v>0.10583705552328034</v>
      </c>
      <c r="L116" s="45">
        <f t="shared" si="64"/>
        <v>-3.4514465713372217E-2</v>
      </c>
      <c r="M116" s="56">
        <f>(F116/J116)</f>
        <v>1.8304761188029266E-3</v>
      </c>
      <c r="N116" s="47">
        <f>G116/J116</f>
        <v>4.3980679099516976E-3</v>
      </c>
      <c r="O116" s="48">
        <f>J116/U116</f>
        <v>52.308593644893179</v>
      </c>
      <c r="P116" s="48">
        <f>G116/U116</f>
        <v>0.23005674712430801</v>
      </c>
      <c r="Q116" s="40">
        <v>36.6</v>
      </c>
      <c r="R116" s="40">
        <v>36.6</v>
      </c>
      <c r="S116" s="30">
        <v>5263</v>
      </c>
      <c r="T116" s="30">
        <v>188127066</v>
      </c>
      <c r="U116" s="30">
        <v>188127066</v>
      </c>
    </row>
    <row r="117" spans="1:21" ht="16.5" customHeight="1">
      <c r="A117" s="13">
        <v>98</v>
      </c>
      <c r="B117" s="14" t="s">
        <v>162</v>
      </c>
      <c r="C117" s="20" t="s">
        <v>163</v>
      </c>
      <c r="D117" s="19">
        <v>26626172921.110001</v>
      </c>
      <c r="E117" s="19">
        <v>142214374.68000001</v>
      </c>
      <c r="F117" s="42">
        <v>68838889.219999999</v>
      </c>
      <c r="G117" s="40">
        <v>73375485.459999993</v>
      </c>
      <c r="H117" s="19">
        <v>27189573871.27</v>
      </c>
      <c r="I117" s="45">
        <f t="shared" si="62"/>
        <v>0.29042489208938632</v>
      </c>
      <c r="J117" s="19">
        <v>26779732493.700001</v>
      </c>
      <c r="K117" s="45">
        <f t="shared" si="63"/>
        <v>0.28801801780386677</v>
      </c>
      <c r="L117" s="45">
        <f t="shared" si="64"/>
        <v>-1.5073475572306068E-2</v>
      </c>
      <c r="M117" s="56">
        <f>(F117/J117)</f>
        <v>2.570559255444188E-3</v>
      </c>
      <c r="N117" s="47">
        <f>G117/J117</f>
        <v>2.7399633464322976E-3</v>
      </c>
      <c r="O117" s="48">
        <f>J117/U117</f>
        <v>10.036367201176644</v>
      </c>
      <c r="P117" s="48">
        <f>G117/U117</f>
        <v>2.749927826255931E-2</v>
      </c>
      <c r="Q117" s="40">
        <v>10.039999999999999</v>
      </c>
      <c r="R117" s="40">
        <v>10.039999999999999</v>
      </c>
      <c r="S117" s="30">
        <v>28836</v>
      </c>
      <c r="T117" s="30">
        <v>2668269500</v>
      </c>
      <c r="U117" s="30">
        <v>2668269500</v>
      </c>
    </row>
    <row r="118" spans="1:21" ht="15" customHeight="1">
      <c r="A118" s="110" t="s">
        <v>50</v>
      </c>
      <c r="B118" s="111"/>
      <c r="C118" s="111"/>
      <c r="D118" s="111"/>
      <c r="E118" s="111"/>
      <c r="F118" s="111"/>
      <c r="G118" s="112"/>
      <c r="H118" s="32">
        <f t="shared" ref="H118" si="65">SUM(H114:H117)</f>
        <v>93619984415.460007</v>
      </c>
      <c r="I118" s="53">
        <f>(H118/$H$167)</f>
        <v>5.7821099845276142E-2</v>
      </c>
      <c r="J118" s="32">
        <f>SUM(J114:J117)</f>
        <v>92979365311.570007</v>
      </c>
      <c r="K118" s="53">
        <f>(J118/$J$167)</f>
        <v>5.7052676953571614E-2</v>
      </c>
      <c r="L118" s="54">
        <f t="shared" si="64"/>
        <v>-6.842760206486536E-3</v>
      </c>
      <c r="M118" s="56"/>
      <c r="N118" s="58"/>
      <c r="O118" s="59"/>
      <c r="P118" s="59"/>
      <c r="Q118" s="32"/>
      <c r="R118" s="32"/>
      <c r="S118" s="49">
        <f>SUM(S114:S117)</f>
        <v>37324</v>
      </c>
      <c r="T118" s="49"/>
      <c r="U118" s="49"/>
    </row>
    <row r="119" spans="1:21" ht="8.25" customHeight="1">
      <c r="A119" s="122"/>
      <c r="B119" s="122"/>
      <c r="C119" s="122"/>
      <c r="D119" s="122"/>
      <c r="E119" s="122"/>
      <c r="F119" s="122"/>
      <c r="G119" s="122"/>
      <c r="H119" s="122"/>
      <c r="I119" s="122"/>
      <c r="J119" s="122"/>
      <c r="K119" s="122"/>
      <c r="L119" s="122"/>
      <c r="M119" s="122"/>
      <c r="N119" s="122"/>
      <c r="O119" s="122"/>
      <c r="P119" s="122"/>
      <c r="Q119" s="122"/>
      <c r="R119" s="122"/>
      <c r="S119" s="122"/>
      <c r="T119" s="122"/>
      <c r="U119" s="122"/>
    </row>
    <row r="120" spans="1:21">
      <c r="A120" s="121" t="s">
        <v>3</v>
      </c>
      <c r="B120" s="121"/>
      <c r="C120" s="121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</row>
    <row r="121" spans="1:21" ht="15.75">
      <c r="A121" s="13">
        <v>99</v>
      </c>
      <c r="B121" s="14" t="s">
        <v>164</v>
      </c>
      <c r="C121" s="14" t="s">
        <v>53</v>
      </c>
      <c r="D121" s="17">
        <v>193415856.86000001</v>
      </c>
      <c r="E121" s="17">
        <v>3738388.19</v>
      </c>
      <c r="F121" s="19">
        <v>453609.97</v>
      </c>
      <c r="G121" s="16">
        <v>3284778.22</v>
      </c>
      <c r="H121" s="19">
        <v>170378343.78</v>
      </c>
      <c r="I121" s="45">
        <f>(H121/$H$145)</f>
        <v>5.4748002217887524E-3</v>
      </c>
      <c r="J121" s="19">
        <v>180200031.16</v>
      </c>
      <c r="K121" s="45">
        <f t="shared" ref="K121" si="66">(J121/$J$145)</f>
        <v>5.3817034532696499E-3</v>
      </c>
      <c r="L121" s="45">
        <f>((J121-H121)/H121)</f>
        <v>5.7646336747363795E-2</v>
      </c>
      <c r="M121" s="56">
        <f t="shared" ref="M121" si="67">(F121/J121)</f>
        <v>2.5172579997904589E-3</v>
      </c>
      <c r="N121" s="47">
        <f t="shared" ref="N121" si="68">G121/J121</f>
        <v>1.8228510832406231E-2</v>
      </c>
      <c r="O121" s="48">
        <f t="shared" ref="O121" si="69">J121/U121</f>
        <v>4.0735300033233646</v>
      </c>
      <c r="P121" s="48">
        <f t="shared" ref="P121" si="70">G121/U121</f>
        <v>7.4254385791711744E-2</v>
      </c>
      <c r="Q121" s="19">
        <v>4.0426000000000002</v>
      </c>
      <c r="R121" s="19">
        <v>4.1029</v>
      </c>
      <c r="S121" s="30">
        <v>11818</v>
      </c>
      <c r="T121" s="30">
        <v>44115382.571099997</v>
      </c>
      <c r="U121" s="30">
        <v>44236824.329999998</v>
      </c>
    </row>
    <row r="122" spans="1:21" ht="15.75">
      <c r="A122" s="13">
        <v>100</v>
      </c>
      <c r="B122" s="14" t="s">
        <v>165</v>
      </c>
      <c r="C122" s="20" t="s">
        <v>26</v>
      </c>
      <c r="D122" s="17">
        <v>4376866972.9300003</v>
      </c>
      <c r="E122" s="17">
        <v>19465849.670000002</v>
      </c>
      <c r="F122" s="19">
        <v>30508494.16</v>
      </c>
      <c r="G122" s="16">
        <v>252153013.25</v>
      </c>
      <c r="H122" s="19">
        <v>4913272719</v>
      </c>
      <c r="I122" s="45">
        <f t="shared" ref="I122:I144" si="71">(H122/$H$145)</f>
        <v>0.15787914106280571</v>
      </c>
      <c r="J122" s="19">
        <v>5203095255</v>
      </c>
      <c r="K122" s="45">
        <f t="shared" ref="K122:K144" si="72">(J122/$J$145)</f>
        <v>0.15539129222825618</v>
      </c>
      <c r="L122" s="45">
        <f t="shared" ref="L122:L144" si="73">((J122-H122)/H122)</f>
        <v>5.8987675338931254E-2</v>
      </c>
      <c r="M122" s="56">
        <f t="shared" ref="M122:M144" si="74">(F122/J122)</f>
        <v>5.8635278934557966E-3</v>
      </c>
      <c r="N122" s="47">
        <f t="shared" ref="N122:N144" si="75">G122/J122</f>
        <v>4.8462117430521652E-2</v>
      </c>
      <c r="O122" s="48">
        <f t="shared" ref="O122:O144" si="76">J122/U122</f>
        <v>573.78952036683916</v>
      </c>
      <c r="P122" s="48">
        <f t="shared" ref="P122:P144" si="77">G122/U122</f>
        <v>27.807055116420457</v>
      </c>
      <c r="Q122" s="19">
        <v>570.91999999999996</v>
      </c>
      <c r="R122" s="19">
        <v>588.13</v>
      </c>
      <c r="S122" s="30">
        <v>1933</v>
      </c>
      <c r="T122" s="30">
        <v>9067951</v>
      </c>
      <c r="U122" s="30">
        <v>9067951</v>
      </c>
    </row>
    <row r="123" spans="1:21" ht="15.75">
      <c r="A123" s="13">
        <v>101</v>
      </c>
      <c r="B123" s="14" t="s">
        <v>166</v>
      </c>
      <c r="C123" s="14" t="s">
        <v>106</v>
      </c>
      <c r="D123" s="43">
        <v>1177883822.6900001</v>
      </c>
      <c r="E123" s="43">
        <v>11751542.99</v>
      </c>
      <c r="F123" s="43">
        <v>3059691.71</v>
      </c>
      <c r="G123" s="16">
        <v>80199189.989999995</v>
      </c>
      <c r="H123" s="19">
        <v>1045262460.04</v>
      </c>
      <c r="I123" s="45">
        <f t="shared" si="71"/>
        <v>3.3587620475074721E-2</v>
      </c>
      <c r="J123" s="19">
        <v>1125385630.03</v>
      </c>
      <c r="K123" s="45">
        <f t="shared" si="72"/>
        <v>3.3609826215928451E-2</v>
      </c>
      <c r="L123" s="45">
        <f t="shared" si="73"/>
        <v>7.6653637773362551E-2</v>
      </c>
      <c r="M123" s="56">
        <f t="shared" si="74"/>
        <v>2.7187940101193902E-3</v>
      </c>
      <c r="N123" s="47">
        <f t="shared" si="75"/>
        <v>7.1263740934618194E-2</v>
      </c>
      <c r="O123" s="48">
        <f t="shared" si="76"/>
        <v>2.6503644114308935</v>
      </c>
      <c r="P123" s="48">
        <f t="shared" si="77"/>
        <v>0.188874882798543</v>
      </c>
      <c r="Q123" s="28">
        <v>2.5785999999999998</v>
      </c>
      <c r="R123" s="28">
        <v>2.6347</v>
      </c>
      <c r="S123" s="60">
        <v>2763</v>
      </c>
      <c r="T123" s="60">
        <v>424645074.71350002</v>
      </c>
      <c r="U123" s="60">
        <v>424615432.19349998</v>
      </c>
    </row>
    <row r="124" spans="1:21" ht="15.75">
      <c r="A124" s="13">
        <v>102</v>
      </c>
      <c r="B124" s="14" t="s">
        <v>167</v>
      </c>
      <c r="C124" s="14" t="s">
        <v>60</v>
      </c>
      <c r="D124" s="17">
        <v>2488903701.3200002</v>
      </c>
      <c r="E124" s="17">
        <v>28967177.399999999</v>
      </c>
      <c r="F124" s="19">
        <v>6607272.7400000002</v>
      </c>
      <c r="G124" s="16">
        <v>22766586.52</v>
      </c>
      <c r="H124" s="19">
        <v>2359212624.75</v>
      </c>
      <c r="I124" s="45">
        <f t="shared" si="71"/>
        <v>7.5809034849558768E-2</v>
      </c>
      <c r="J124" s="19">
        <v>2476024579.8400002</v>
      </c>
      <c r="K124" s="45">
        <f t="shared" si="72"/>
        <v>7.3946879730969417E-2</v>
      </c>
      <c r="L124" s="45">
        <f t="shared" si="73"/>
        <v>4.9513110376127469E-2</v>
      </c>
      <c r="M124" s="56">
        <f t="shared" si="74"/>
        <v>2.6685004639279307E-3</v>
      </c>
      <c r="N124" s="47">
        <f t="shared" si="75"/>
        <v>9.1948144236399989E-3</v>
      </c>
      <c r="O124" s="48">
        <f t="shared" si="76"/>
        <v>4661.8798645108491</v>
      </c>
      <c r="P124" s="48">
        <f t="shared" si="77"/>
        <v>42.865120219481234</v>
      </c>
      <c r="Q124" s="19">
        <v>4661.88</v>
      </c>
      <c r="R124" s="19">
        <v>4694.3900000000003</v>
      </c>
      <c r="S124" s="30">
        <v>820</v>
      </c>
      <c r="T124" s="30">
        <v>530870.32999999996</v>
      </c>
      <c r="U124" s="30">
        <v>531121.49</v>
      </c>
    </row>
    <row r="125" spans="1:21" ht="14.25" customHeight="1">
      <c r="A125" s="13">
        <v>103</v>
      </c>
      <c r="B125" s="14" t="s">
        <v>168</v>
      </c>
      <c r="C125" s="20" t="s">
        <v>62</v>
      </c>
      <c r="D125" s="17">
        <v>274041522.62</v>
      </c>
      <c r="E125" s="17">
        <v>4131897.29</v>
      </c>
      <c r="F125" s="19">
        <v>712837.03</v>
      </c>
      <c r="G125" s="16">
        <v>22952326.649999999</v>
      </c>
      <c r="H125" s="19">
        <v>331444396.5</v>
      </c>
      <c r="I125" s="45">
        <f t="shared" si="71"/>
        <v>1.0650366796685849E-2</v>
      </c>
      <c r="J125" s="19">
        <v>351570070.68000001</v>
      </c>
      <c r="K125" s="45">
        <f t="shared" si="72"/>
        <v>1.0499697759568417E-2</v>
      </c>
      <c r="L125" s="45">
        <f t="shared" si="73"/>
        <v>6.0721117606826115E-2</v>
      </c>
      <c r="M125" s="56">
        <f t="shared" si="74"/>
        <v>2.0275816670663818E-3</v>
      </c>
      <c r="N125" s="47">
        <f t="shared" si="75"/>
        <v>6.5285212150186886E-2</v>
      </c>
      <c r="O125" s="48">
        <f t="shared" si="76"/>
        <v>137.68649401388731</v>
      </c>
      <c r="P125" s="48">
        <f t="shared" si="77"/>
        <v>8.9888919719120697</v>
      </c>
      <c r="Q125" s="19">
        <v>139.63999999999999</v>
      </c>
      <c r="R125" s="19">
        <v>140.63999999999999</v>
      </c>
      <c r="S125" s="30">
        <v>586</v>
      </c>
      <c r="T125" s="30">
        <v>2411979</v>
      </c>
      <c r="U125" s="30">
        <v>2553410</v>
      </c>
    </row>
    <row r="126" spans="1:21" ht="15" customHeight="1">
      <c r="A126" s="13">
        <v>104</v>
      </c>
      <c r="B126" s="14" t="s">
        <v>169</v>
      </c>
      <c r="C126" s="20" t="s">
        <v>64</v>
      </c>
      <c r="D126" s="17">
        <v>248331135.28999999</v>
      </c>
      <c r="E126" s="17">
        <v>1956454.75</v>
      </c>
      <c r="F126" s="19">
        <v>691169.45</v>
      </c>
      <c r="G126" s="16">
        <v>3676035.92</v>
      </c>
      <c r="H126" s="19">
        <v>3561409.94</v>
      </c>
      <c r="I126" s="45">
        <f t="shared" si="71"/>
        <v>1.144394733321821E-4</v>
      </c>
      <c r="J126" s="19">
        <v>331444396.5</v>
      </c>
      <c r="K126" s="45">
        <f t="shared" si="72"/>
        <v>9.8986412029370991E-3</v>
      </c>
      <c r="L126" s="45">
        <f t="shared" si="73"/>
        <v>92.06549992388689</v>
      </c>
      <c r="M126" s="56">
        <f t="shared" si="74"/>
        <v>2.0853254944076267E-3</v>
      </c>
      <c r="N126" s="47">
        <f t="shared" si="75"/>
        <v>1.1090958117917675E-2</v>
      </c>
      <c r="O126" s="48">
        <f t="shared" si="76"/>
        <v>137.41595449214111</v>
      </c>
      <c r="P126" s="48">
        <f t="shared" si="77"/>
        <v>1.5240745960060182</v>
      </c>
      <c r="Q126" s="19">
        <v>141.68</v>
      </c>
      <c r="R126" s="19">
        <v>142.58000000000001</v>
      </c>
      <c r="S126" s="30">
        <f>549+27+3</f>
        <v>579</v>
      </c>
      <c r="T126" s="30">
        <v>2411979</v>
      </c>
      <c r="U126" s="30">
        <v>2411979</v>
      </c>
    </row>
    <row r="127" spans="1:21" ht="15.75">
      <c r="A127" s="13">
        <v>105</v>
      </c>
      <c r="B127" s="14" t="s">
        <v>170</v>
      </c>
      <c r="C127" s="20" t="s">
        <v>66</v>
      </c>
      <c r="D127" s="17">
        <v>131489825.54000001</v>
      </c>
      <c r="E127" s="17">
        <v>2292289.5</v>
      </c>
      <c r="F127" s="19">
        <v>392372.07</v>
      </c>
      <c r="G127" s="16">
        <v>9735086.3499999996</v>
      </c>
      <c r="H127" s="19">
        <v>126302138.04000001</v>
      </c>
      <c r="I127" s="45">
        <f t="shared" si="71"/>
        <v>4.0584909913589347E-3</v>
      </c>
      <c r="J127" s="19">
        <v>136035484.5</v>
      </c>
      <c r="K127" s="45">
        <f t="shared" si="72"/>
        <v>4.0627220316672664E-3</v>
      </c>
      <c r="L127" s="45">
        <f t="shared" si="73"/>
        <v>7.7063988076887774E-2</v>
      </c>
      <c r="M127" s="56">
        <f t="shared" si="74"/>
        <v>2.8843361821525326E-3</v>
      </c>
      <c r="N127" s="47">
        <f t="shared" si="75"/>
        <v>7.156284542802506E-2</v>
      </c>
      <c r="O127" s="48">
        <f t="shared" si="76"/>
        <v>1.2632988668954372</v>
      </c>
      <c r="P127" s="48">
        <f t="shared" si="77"/>
        <v>9.0405261541037382E-2</v>
      </c>
      <c r="Q127" s="19">
        <v>1.2572000000000001</v>
      </c>
      <c r="R127" s="19">
        <v>1.2688999999999999</v>
      </c>
      <c r="S127" s="30">
        <v>221</v>
      </c>
      <c r="T127" s="30">
        <v>107684420.63</v>
      </c>
      <c r="U127" s="30">
        <v>107682740.84999999</v>
      </c>
    </row>
    <row r="128" spans="1:21" ht="15.75">
      <c r="A128" s="13">
        <v>106</v>
      </c>
      <c r="B128" s="23" t="s">
        <v>171</v>
      </c>
      <c r="C128" s="24" t="s">
        <v>172</v>
      </c>
      <c r="D128" s="17">
        <v>71914314.799999997</v>
      </c>
      <c r="E128" s="17">
        <v>1364233.93</v>
      </c>
      <c r="F128" s="19">
        <v>373310.61</v>
      </c>
      <c r="G128" s="16">
        <v>990923.32</v>
      </c>
      <c r="H128" s="19">
        <v>167730107.38999999</v>
      </c>
      <c r="I128" s="45">
        <f t="shared" si="71"/>
        <v>5.3897039304781477E-3</v>
      </c>
      <c r="J128" s="19">
        <v>170911331.47</v>
      </c>
      <c r="K128" s="45">
        <f t="shared" si="72"/>
        <v>5.1042949152340913E-3</v>
      </c>
      <c r="L128" s="45">
        <f t="shared" si="73"/>
        <v>1.896632709238745E-2</v>
      </c>
      <c r="M128" s="56">
        <f t="shared" si="74"/>
        <v>2.1842355728503996E-3</v>
      </c>
      <c r="N128" s="47">
        <f t="shared" si="75"/>
        <v>5.7978795874861948E-3</v>
      </c>
      <c r="O128" s="48">
        <f t="shared" si="76"/>
        <v>109.28679998260735</v>
      </c>
      <c r="P128" s="48">
        <f t="shared" si="77"/>
        <v>0.6336317068008458</v>
      </c>
      <c r="Q128" s="19">
        <v>108.08</v>
      </c>
      <c r="R128" s="19">
        <v>109.29</v>
      </c>
      <c r="S128" s="30">
        <v>47</v>
      </c>
      <c r="T128" s="40" t="s">
        <v>210</v>
      </c>
      <c r="U128" s="30">
        <v>1563879</v>
      </c>
    </row>
    <row r="129" spans="1:21" ht="15.75">
      <c r="A129" s="13">
        <v>107</v>
      </c>
      <c r="B129" s="14" t="s">
        <v>216</v>
      </c>
      <c r="C129" s="20" t="s">
        <v>71</v>
      </c>
      <c r="D129" s="17">
        <v>90003113.859999999</v>
      </c>
      <c r="E129" s="17">
        <v>12219258.890000001</v>
      </c>
      <c r="F129" s="19">
        <v>472729.17</v>
      </c>
      <c r="G129" s="16">
        <v>11746529.720000001</v>
      </c>
      <c r="H129" s="19">
        <v>233756709.02000001</v>
      </c>
      <c r="I129" s="45">
        <f t="shared" si="71"/>
        <v>7.511349470797778E-3</v>
      </c>
      <c r="J129" s="19">
        <v>269003219.64999998</v>
      </c>
      <c r="K129" s="45">
        <f t="shared" si="72"/>
        <v>8.0338252263988056E-3</v>
      </c>
      <c r="L129" s="45">
        <f t="shared" si="73"/>
        <v>0.1507828835277806</v>
      </c>
      <c r="M129" s="56">
        <f t="shared" si="74"/>
        <v>1.7573364758052628E-3</v>
      </c>
      <c r="N129" s="47">
        <f t="shared" si="75"/>
        <v>4.3666874081594295E-2</v>
      </c>
      <c r="O129" s="48">
        <f t="shared" si="76"/>
        <v>1.1645650577719648</v>
      </c>
      <c r="P129" s="48">
        <f t="shared" si="77"/>
        <v>5.0852915737552969E-2</v>
      </c>
      <c r="Q129" s="19">
        <v>1.1599999999999999</v>
      </c>
      <c r="R129" s="19">
        <v>1.1599999999999999</v>
      </c>
      <c r="S129" s="30">
        <v>84</v>
      </c>
      <c r="T129" s="30">
        <v>205315876.78</v>
      </c>
      <c r="U129" s="30">
        <v>230990289.34</v>
      </c>
    </row>
    <row r="130" spans="1:21" ht="15.75">
      <c r="A130" s="13">
        <v>108</v>
      </c>
      <c r="B130" s="20" t="s">
        <v>173</v>
      </c>
      <c r="C130" s="20" t="s">
        <v>75</v>
      </c>
      <c r="D130" s="17">
        <v>5392859388.6300001</v>
      </c>
      <c r="E130" s="17">
        <v>36053586.350000001</v>
      </c>
      <c r="F130" s="19">
        <v>14463081.25</v>
      </c>
      <c r="G130" s="16">
        <v>193005472.58000001</v>
      </c>
      <c r="H130" s="19">
        <v>5137224514.8999996</v>
      </c>
      <c r="I130" s="45">
        <f t="shared" si="71"/>
        <v>0.16507542736692948</v>
      </c>
      <c r="J130" s="19">
        <v>5392859388.6300001</v>
      </c>
      <c r="K130" s="45">
        <f t="shared" si="72"/>
        <v>0.16105862916870609</v>
      </c>
      <c r="L130" s="45">
        <f t="shared" si="73"/>
        <v>4.9761281211003615E-2</v>
      </c>
      <c r="M130" s="56">
        <f t="shared" si="74"/>
        <v>2.6818947440931137E-3</v>
      </c>
      <c r="N130" s="47">
        <f t="shared" si="75"/>
        <v>3.5789079349430444E-2</v>
      </c>
      <c r="O130" s="48">
        <f t="shared" si="76"/>
        <v>222.28460723893673</v>
      </c>
      <c r="P130" s="48">
        <f t="shared" si="77"/>
        <v>7.9553614466312874</v>
      </c>
      <c r="Q130" s="19">
        <v>222.28</v>
      </c>
      <c r="R130" s="19">
        <v>223.81</v>
      </c>
      <c r="S130" s="30">
        <v>5447</v>
      </c>
      <c r="T130" s="30">
        <v>24274909.030000001</v>
      </c>
      <c r="U130" s="30">
        <v>24261056.379999999</v>
      </c>
    </row>
    <row r="131" spans="1:21" ht="15.75">
      <c r="A131" s="13">
        <v>109</v>
      </c>
      <c r="B131" s="25" t="s">
        <v>174</v>
      </c>
      <c r="C131" s="14" t="s">
        <v>77</v>
      </c>
      <c r="D131" s="17">
        <v>1963508184.1199999</v>
      </c>
      <c r="E131" s="17">
        <v>38759142.950000003</v>
      </c>
      <c r="F131" s="19">
        <v>7294079.2400000002</v>
      </c>
      <c r="G131" s="16">
        <v>31465063.710000001</v>
      </c>
      <c r="H131" s="19">
        <v>1952870650.8800001</v>
      </c>
      <c r="I131" s="45">
        <f t="shared" si="71"/>
        <v>6.2751969736059898E-2</v>
      </c>
      <c r="J131" s="19">
        <v>2130170630.4400001</v>
      </c>
      <c r="K131" s="45">
        <f t="shared" si="72"/>
        <v>6.3617894869916369E-2</v>
      </c>
      <c r="L131" s="45">
        <f t="shared" si="73"/>
        <v>9.0789412744825285E-2</v>
      </c>
      <c r="M131" s="56">
        <f t="shared" si="74"/>
        <v>3.4241760428803595E-3</v>
      </c>
      <c r="N131" s="47">
        <f t="shared" si="75"/>
        <v>1.4771147090456644E-2</v>
      </c>
      <c r="O131" s="48">
        <f t="shared" si="76"/>
        <v>1.4818688608412527</v>
      </c>
      <c r="P131" s="48">
        <f t="shared" si="77"/>
        <v>2.188890291225357E-2</v>
      </c>
      <c r="Q131" s="19">
        <v>1.4666999999999999</v>
      </c>
      <c r="R131" s="19">
        <v>1.4944</v>
      </c>
      <c r="S131" s="30">
        <v>10321</v>
      </c>
      <c r="T131" s="30">
        <v>1437489299.3099999</v>
      </c>
      <c r="U131" s="30">
        <v>1437489299.3099999</v>
      </c>
    </row>
    <row r="132" spans="1:21" ht="15.75">
      <c r="A132" s="13">
        <v>110</v>
      </c>
      <c r="B132" s="14" t="s">
        <v>215</v>
      </c>
      <c r="C132" s="20" t="s">
        <v>79</v>
      </c>
      <c r="D132" s="17">
        <v>49271590.469999999</v>
      </c>
      <c r="E132" s="17">
        <v>699565.3</v>
      </c>
      <c r="F132" s="19">
        <v>255622.96</v>
      </c>
      <c r="G132" s="16">
        <v>443942.34</v>
      </c>
      <c r="H132" s="19">
        <v>135492804.56</v>
      </c>
      <c r="I132" s="45">
        <f t="shared" si="71"/>
        <v>4.3538164534203221E-3</v>
      </c>
      <c r="J132" s="19">
        <v>149935554.47999999</v>
      </c>
      <c r="K132" s="45">
        <f t="shared" si="72"/>
        <v>4.4778498989073963E-3</v>
      </c>
      <c r="L132" s="45">
        <f t="shared" si="73"/>
        <v>0.10659422075512751</v>
      </c>
      <c r="M132" s="56">
        <f t="shared" si="74"/>
        <v>1.704885548237978E-3</v>
      </c>
      <c r="N132" s="47">
        <f t="shared" si="75"/>
        <v>2.9608877063193027E-3</v>
      </c>
      <c r="O132" s="48">
        <f t="shared" si="76"/>
        <v>143.42437471661509</v>
      </c>
      <c r="P132" s="48">
        <f t="shared" si="77"/>
        <v>0.42466346788495868</v>
      </c>
      <c r="Q132" s="19">
        <v>93.75</v>
      </c>
      <c r="R132" s="19">
        <v>98.11</v>
      </c>
      <c r="S132" s="30">
        <v>37</v>
      </c>
      <c r="T132" s="30">
        <v>1045398</v>
      </c>
      <c r="U132" s="30">
        <v>1045398</v>
      </c>
    </row>
    <row r="133" spans="1:21" ht="15.75">
      <c r="A133" s="13">
        <v>111</v>
      </c>
      <c r="B133" s="20" t="s">
        <v>211</v>
      </c>
      <c r="C133" s="20" t="s">
        <v>207</v>
      </c>
      <c r="D133" s="17">
        <v>2384843108.29</v>
      </c>
      <c r="E133" s="17">
        <v>48132785.189999998</v>
      </c>
      <c r="F133" s="19">
        <v>6065314.0700000003</v>
      </c>
      <c r="G133" s="16">
        <v>193043227.41999999</v>
      </c>
      <c r="H133" s="19">
        <v>2120609320.0699999</v>
      </c>
      <c r="I133" s="45">
        <f t="shared" si="71"/>
        <v>6.8141948784510784E-2</v>
      </c>
      <c r="J133" s="19">
        <v>2320246114.9699998</v>
      </c>
      <c r="K133" s="45">
        <f t="shared" si="72"/>
        <v>6.9294530356004275E-2</v>
      </c>
      <c r="L133" s="45">
        <f t="shared" si="73"/>
        <v>9.4141241864111949E-2</v>
      </c>
      <c r="M133" s="56">
        <f t="shared" si="74"/>
        <v>2.614082200533465E-3</v>
      </c>
      <c r="N133" s="47">
        <f t="shared" si="75"/>
        <v>8.3199461546128256E-2</v>
      </c>
      <c r="O133" s="48">
        <f t="shared" si="76"/>
        <v>3.2914313676934319</v>
      </c>
      <c r="P133" s="48">
        <f t="shared" si="77"/>
        <v>0.27384531750813002</v>
      </c>
      <c r="Q133" s="19">
        <v>3.38</v>
      </c>
      <c r="R133" s="19">
        <v>3.45</v>
      </c>
      <c r="S133" s="30">
        <v>2171</v>
      </c>
      <c r="T133" s="30">
        <v>703850732.13999999</v>
      </c>
      <c r="U133" s="30">
        <v>704935286.74000001</v>
      </c>
    </row>
    <row r="134" spans="1:21" ht="15.75">
      <c r="A134" s="13">
        <v>112</v>
      </c>
      <c r="B134" s="20" t="s">
        <v>175</v>
      </c>
      <c r="C134" s="20" t="s">
        <v>118</v>
      </c>
      <c r="D134" s="17">
        <v>178020344.13</v>
      </c>
      <c r="E134" s="17">
        <v>4121679.96</v>
      </c>
      <c r="F134" s="19">
        <v>2300759.3199999998</v>
      </c>
      <c r="G134" s="16">
        <v>1820920.64</v>
      </c>
      <c r="H134" s="19">
        <v>164054398.09</v>
      </c>
      <c r="I134" s="45">
        <f t="shared" si="71"/>
        <v>5.2715916537391773E-3</v>
      </c>
      <c r="J134" s="19">
        <v>172599201.33000001</v>
      </c>
      <c r="K134" s="45">
        <f t="shared" si="72"/>
        <v>5.1547034251314423E-3</v>
      </c>
      <c r="L134" s="45">
        <f t="shared" si="73"/>
        <v>5.2085182350992763E-2</v>
      </c>
      <c r="M134" s="56">
        <f t="shared" si="74"/>
        <v>1.3330069329817331E-2</v>
      </c>
      <c r="N134" s="47">
        <f t="shared" si="75"/>
        <v>1.054999458843672E-2</v>
      </c>
      <c r="O134" s="48">
        <f t="shared" si="76"/>
        <v>155.94876671693132</v>
      </c>
      <c r="P134" s="48">
        <f t="shared" si="77"/>
        <v>1.6452586449370057</v>
      </c>
      <c r="Q134" s="19">
        <v>155.94880000000001</v>
      </c>
      <c r="R134" s="19">
        <v>160.84690000000001</v>
      </c>
      <c r="S134" s="30">
        <v>134</v>
      </c>
      <c r="T134" s="30">
        <v>1106444.51</v>
      </c>
      <c r="U134" s="30">
        <v>1106768.6200000001</v>
      </c>
    </row>
    <row r="135" spans="1:21" ht="15.75">
      <c r="A135" s="13">
        <v>113</v>
      </c>
      <c r="B135" s="14" t="s">
        <v>176</v>
      </c>
      <c r="C135" s="20" t="s">
        <v>32</v>
      </c>
      <c r="D135" s="17">
        <v>1289417144.6099999</v>
      </c>
      <c r="E135" s="17">
        <v>9785311.0600000005</v>
      </c>
      <c r="F135" s="19">
        <v>2359705.2599999998</v>
      </c>
      <c r="G135" s="16">
        <v>7425605.7999999998</v>
      </c>
      <c r="H135" s="19">
        <v>1208201746.0999999</v>
      </c>
      <c r="I135" s="45">
        <f t="shared" si="71"/>
        <v>3.8823380018618917E-2</v>
      </c>
      <c r="J135" s="19">
        <v>1262375677.99</v>
      </c>
      <c r="K135" s="45">
        <f t="shared" si="72"/>
        <v>3.7701056441717423E-2</v>
      </c>
      <c r="L135" s="45">
        <f t="shared" si="73"/>
        <v>4.4838481706279756E-2</v>
      </c>
      <c r="M135" s="56">
        <f t="shared" si="74"/>
        <v>1.8692575444397086E-3</v>
      </c>
      <c r="N135" s="47">
        <f t="shared" si="75"/>
        <v>5.8822472022142542E-3</v>
      </c>
      <c r="O135" s="48">
        <f t="shared" si="76"/>
        <v>1692.3060231784973</v>
      </c>
      <c r="P135" s="48">
        <f t="shared" si="77"/>
        <v>9.9545623701320469</v>
      </c>
      <c r="Q135" s="19">
        <v>552.20000000000005</v>
      </c>
      <c r="R135" s="19">
        <v>552.20000000000005</v>
      </c>
      <c r="S135" s="30">
        <v>830</v>
      </c>
      <c r="T135" s="30">
        <v>745950</v>
      </c>
      <c r="U135" s="30">
        <v>745950</v>
      </c>
    </row>
    <row r="136" spans="1:21" ht="15.75">
      <c r="A136" s="13">
        <v>114</v>
      </c>
      <c r="B136" s="14" t="s">
        <v>177</v>
      </c>
      <c r="C136" s="20" t="s">
        <v>85</v>
      </c>
      <c r="D136" s="17">
        <f>9158744.95+3978111.32+8476153.57</f>
        <v>21613009.84</v>
      </c>
      <c r="E136" s="17">
        <v>444837.66</v>
      </c>
      <c r="F136" s="19">
        <v>27400.13</v>
      </c>
      <c r="G136" s="16">
        <v>1589561.43</v>
      </c>
      <c r="H136" s="19">
        <v>19998770.469999999</v>
      </c>
      <c r="I136" s="45">
        <f t="shared" si="71"/>
        <v>6.4262435339808028E-4</v>
      </c>
      <c r="J136" s="19">
        <v>21732892.02</v>
      </c>
      <c r="K136" s="45">
        <f t="shared" si="72"/>
        <v>6.4905638073792227E-4</v>
      </c>
      <c r="L136" s="45">
        <f t="shared" si="73"/>
        <v>8.6711408213887106E-2</v>
      </c>
      <c r="M136" s="56">
        <f t="shared" si="74"/>
        <v>1.2607677788480543E-3</v>
      </c>
      <c r="N136" s="47">
        <f t="shared" si="75"/>
        <v>7.3140814786047975E-2</v>
      </c>
      <c r="O136" s="48">
        <f t="shared" si="76"/>
        <v>1.342286203832139</v>
      </c>
      <c r="P136" s="48">
        <f t="shared" si="77"/>
        <v>9.8175906624353923E-2</v>
      </c>
      <c r="Q136" s="19">
        <v>1.34</v>
      </c>
      <c r="R136" s="19">
        <v>1.34</v>
      </c>
      <c r="S136" s="30">
        <v>5</v>
      </c>
      <c r="T136" s="60">
        <v>16055952.390000001</v>
      </c>
      <c r="U136" s="30">
        <v>16190952.390000001</v>
      </c>
    </row>
    <row r="137" spans="1:21" ht="15.75">
      <c r="A137" s="13">
        <v>115</v>
      </c>
      <c r="B137" s="20" t="s">
        <v>178</v>
      </c>
      <c r="C137" s="20" t="s">
        <v>40</v>
      </c>
      <c r="D137" s="17">
        <v>181316911.05000001</v>
      </c>
      <c r="E137" s="17">
        <v>4357633.05</v>
      </c>
      <c r="F137" s="36">
        <v>302289.83</v>
      </c>
      <c r="G137" s="16">
        <v>4055343.22</v>
      </c>
      <c r="H137" s="19">
        <v>162965059.22</v>
      </c>
      <c r="I137" s="45">
        <f t="shared" si="71"/>
        <v>5.2365877174714321E-3</v>
      </c>
      <c r="J137" s="19">
        <v>182516335.22999999</v>
      </c>
      <c r="K137" s="45">
        <f t="shared" si="72"/>
        <v>5.450880253806788E-3</v>
      </c>
      <c r="L137" s="45">
        <f t="shared" si="73"/>
        <v>0.11997219590247322</v>
      </c>
      <c r="M137" s="56">
        <f t="shared" si="74"/>
        <v>1.6562343837282626E-3</v>
      </c>
      <c r="N137" s="47">
        <f t="shared" si="75"/>
        <v>2.2219069952777729E-2</v>
      </c>
      <c r="O137" s="48">
        <f t="shared" si="76"/>
        <v>1.8526007397762339</v>
      </c>
      <c r="P137" s="48">
        <f t="shared" si="77"/>
        <v>4.1163065431655911E-2</v>
      </c>
      <c r="Q137" s="19">
        <v>1.81</v>
      </c>
      <c r="R137" s="19">
        <v>1.86</v>
      </c>
      <c r="S137" s="30">
        <v>97</v>
      </c>
      <c r="T137" s="30">
        <v>98496128</v>
      </c>
      <c r="U137" s="30">
        <v>98518980</v>
      </c>
    </row>
    <row r="138" spans="1:21" ht="15.75">
      <c r="A138" s="13">
        <v>116</v>
      </c>
      <c r="B138" s="14" t="s">
        <v>179</v>
      </c>
      <c r="C138" s="14" t="s">
        <v>44</v>
      </c>
      <c r="D138" s="17">
        <v>1795926067.3599999</v>
      </c>
      <c r="E138" s="17">
        <v>24890177.699999999</v>
      </c>
      <c r="F138" s="19">
        <v>2935981.36</v>
      </c>
      <c r="G138" s="16">
        <v>94589677.329999998</v>
      </c>
      <c r="H138" s="19">
        <v>1677227267.29</v>
      </c>
      <c r="I138" s="45">
        <f t="shared" si="71"/>
        <v>5.3894667662729843E-2</v>
      </c>
      <c r="J138" s="19">
        <v>1830139980.24</v>
      </c>
      <c r="K138" s="45">
        <f t="shared" si="72"/>
        <v>5.465743034683089E-2</v>
      </c>
      <c r="L138" s="45">
        <f t="shared" si="73"/>
        <v>9.1169942161189996E-2</v>
      </c>
      <c r="M138" s="56">
        <f t="shared" si="74"/>
        <v>1.6042386875866088E-3</v>
      </c>
      <c r="N138" s="47">
        <f t="shared" si="75"/>
        <v>5.1684394828419487E-2</v>
      </c>
      <c r="O138" s="48">
        <f t="shared" si="76"/>
        <v>4101.5154102541874</v>
      </c>
      <c r="P138" s="48">
        <f t="shared" si="77"/>
        <v>211.98434185842436</v>
      </c>
      <c r="Q138" s="19">
        <v>4085.49</v>
      </c>
      <c r="R138" s="19">
        <v>4112.5</v>
      </c>
      <c r="S138" s="30">
        <v>1519</v>
      </c>
      <c r="T138" s="30">
        <v>436450.2</v>
      </c>
      <c r="U138" s="30">
        <v>446210.68</v>
      </c>
    </row>
    <row r="139" spans="1:21" ht="15.75">
      <c r="A139" s="13">
        <v>117</v>
      </c>
      <c r="B139" s="23" t="s">
        <v>180</v>
      </c>
      <c r="C139" s="24" t="s">
        <v>47</v>
      </c>
      <c r="D139" s="17">
        <v>54034272.810000002</v>
      </c>
      <c r="E139" s="17">
        <v>587388.02</v>
      </c>
      <c r="F139" s="19">
        <v>52149.919999999998</v>
      </c>
      <c r="G139" s="16">
        <v>535238.1</v>
      </c>
      <c r="H139" s="19">
        <v>58368067.049999997</v>
      </c>
      <c r="I139" s="45">
        <f t="shared" si="71"/>
        <v>1.8755523697503614E-3</v>
      </c>
      <c r="J139" s="19">
        <v>53570756.509999998</v>
      </c>
      <c r="K139" s="45">
        <f t="shared" si="72"/>
        <v>1.599899419818361E-3</v>
      </c>
      <c r="L139" s="45">
        <f t="shared" si="73"/>
        <v>-8.2190670043783803E-2</v>
      </c>
      <c r="M139" s="56">
        <f t="shared" si="74"/>
        <v>9.7347738574991426E-4</v>
      </c>
      <c r="N139" s="47">
        <f t="shared" si="75"/>
        <v>9.9912365415277954E-3</v>
      </c>
      <c r="O139" s="48">
        <f t="shared" si="76"/>
        <v>99.665068165981211</v>
      </c>
      <c r="P139" s="48">
        <f t="shared" si="77"/>
        <v>0.99577727097380997</v>
      </c>
      <c r="Q139" s="19">
        <v>105.4178</v>
      </c>
      <c r="R139" s="19">
        <v>105.7171</v>
      </c>
      <c r="S139" s="30">
        <v>16</v>
      </c>
      <c r="T139" s="30">
        <v>537507.85</v>
      </c>
      <c r="U139" s="30">
        <v>537507.85</v>
      </c>
    </row>
    <row r="140" spans="1:21" ht="15.75">
      <c r="A140" s="13">
        <v>118</v>
      </c>
      <c r="B140" s="14" t="s">
        <v>181</v>
      </c>
      <c r="C140" s="14" t="s">
        <v>49</v>
      </c>
      <c r="D140" s="17">
        <v>828785711</v>
      </c>
      <c r="E140" s="17">
        <v>67514179</v>
      </c>
      <c r="F140" s="17">
        <v>2563054</v>
      </c>
      <c r="G140" s="16">
        <v>47005898</v>
      </c>
      <c r="H140" s="19">
        <v>1136266860.78</v>
      </c>
      <c r="I140" s="45">
        <f t="shared" si="71"/>
        <v>3.6511882457562608E-2</v>
      </c>
      <c r="J140" s="19">
        <v>1096471358.3699999</v>
      </c>
      <c r="K140" s="45">
        <f t="shared" si="72"/>
        <v>3.2746296755696368E-2</v>
      </c>
      <c r="L140" s="45">
        <f t="shared" si="73"/>
        <v>-3.502302476962333E-2</v>
      </c>
      <c r="M140" s="56">
        <f t="shared" si="74"/>
        <v>2.3375476070895303E-3</v>
      </c>
      <c r="N140" s="47">
        <f t="shared" si="75"/>
        <v>4.2870155833234315E-2</v>
      </c>
      <c r="O140" s="48">
        <f t="shared" si="76"/>
        <v>1.3812022577000058</v>
      </c>
      <c r="P140" s="48">
        <f t="shared" si="77"/>
        <v>5.9212356024814304E-2</v>
      </c>
      <c r="Q140" s="19">
        <v>1.38</v>
      </c>
      <c r="R140" s="19">
        <v>1.41</v>
      </c>
      <c r="S140" s="60">
        <v>1354</v>
      </c>
      <c r="T140" s="30">
        <v>783357412</v>
      </c>
      <c r="U140" s="30">
        <v>793852857</v>
      </c>
    </row>
    <row r="141" spans="1:21" ht="15.75">
      <c r="A141" s="13">
        <v>119</v>
      </c>
      <c r="B141" s="31" t="s">
        <v>182</v>
      </c>
      <c r="C141" s="14" t="s">
        <v>92</v>
      </c>
      <c r="D141" s="17">
        <v>4510970426.4700003</v>
      </c>
      <c r="E141" s="17">
        <v>117710067.14</v>
      </c>
      <c r="F141" s="19">
        <v>6240469.5</v>
      </c>
      <c r="G141" s="16">
        <v>484002308.94</v>
      </c>
      <c r="H141" s="19">
        <v>4428590251.6899996</v>
      </c>
      <c r="I141" s="45">
        <f t="shared" si="71"/>
        <v>0.14230474574556823</v>
      </c>
      <c r="J141" s="19">
        <v>4922198522.8400002</v>
      </c>
      <c r="K141" s="45">
        <f t="shared" si="72"/>
        <v>0.14700226530219873</v>
      </c>
      <c r="L141" s="45">
        <f t="shared" si="73"/>
        <v>0.11145945844992865</v>
      </c>
      <c r="M141" s="56">
        <f t="shared" si="74"/>
        <v>1.2678215783136246E-3</v>
      </c>
      <c r="N141" s="47">
        <f t="shared" si="75"/>
        <v>9.8330513630064093E-2</v>
      </c>
      <c r="O141" s="48">
        <f t="shared" si="76"/>
        <v>220.07888916372903</v>
      </c>
      <c r="P141" s="48">
        <f t="shared" si="77"/>
        <v>21.640470210603421</v>
      </c>
      <c r="Q141" s="19">
        <v>216.92259999999999</v>
      </c>
      <c r="R141" s="19">
        <v>222.0069</v>
      </c>
      <c r="S141" s="30">
        <v>27</v>
      </c>
      <c r="T141" s="30">
        <v>22317962.52</v>
      </c>
      <c r="U141" s="30">
        <v>22365609.629999999</v>
      </c>
    </row>
    <row r="142" spans="1:21" ht="15.75">
      <c r="A142" s="13">
        <v>120</v>
      </c>
      <c r="B142" s="14" t="s">
        <v>183</v>
      </c>
      <c r="C142" s="14" t="s">
        <v>49</v>
      </c>
      <c r="D142" s="17">
        <v>417816378</v>
      </c>
      <c r="E142" s="17">
        <v>8926472.8100000005</v>
      </c>
      <c r="F142" s="19">
        <v>1304254</v>
      </c>
      <c r="G142" s="16">
        <v>17427757</v>
      </c>
      <c r="H142" s="19">
        <v>702485234</v>
      </c>
      <c r="I142" s="45">
        <f t="shared" si="71"/>
        <v>2.2573093678340976E-2</v>
      </c>
      <c r="J142" s="19">
        <v>709247453</v>
      </c>
      <c r="K142" s="45">
        <f t="shared" si="72"/>
        <v>2.118179138184342E-2</v>
      </c>
      <c r="L142" s="45">
        <f t="shared" si="73"/>
        <v>9.6261368534331353E-3</v>
      </c>
      <c r="M142" s="56">
        <f t="shared" si="74"/>
        <v>1.8389265897018315E-3</v>
      </c>
      <c r="N142" s="47">
        <f t="shared" si="75"/>
        <v>2.4572181297632379E-2</v>
      </c>
      <c r="O142" s="48">
        <f t="shared" si="76"/>
        <v>1.2787586307885785</v>
      </c>
      <c r="P142" s="48">
        <f t="shared" si="77"/>
        <v>3.1421888911649098E-2</v>
      </c>
      <c r="Q142" s="19">
        <v>1.28</v>
      </c>
      <c r="R142" s="19">
        <v>1.29</v>
      </c>
      <c r="S142" s="30">
        <v>103</v>
      </c>
      <c r="T142" s="30">
        <v>553932980</v>
      </c>
      <c r="U142" s="30">
        <v>554637471</v>
      </c>
    </row>
    <row r="143" spans="1:21" ht="15.75">
      <c r="A143" s="13">
        <v>121</v>
      </c>
      <c r="B143" s="14" t="s">
        <v>184</v>
      </c>
      <c r="C143" s="14" t="s">
        <v>42</v>
      </c>
      <c r="D143" s="17">
        <v>199974048.77000001</v>
      </c>
      <c r="E143" s="17">
        <v>7294211.6900000004</v>
      </c>
      <c r="F143" s="19">
        <v>371252.97</v>
      </c>
      <c r="G143" s="16">
        <v>6922958.7199999997</v>
      </c>
      <c r="H143" s="19">
        <v>197621312.93000001</v>
      </c>
      <c r="I143" s="45">
        <f t="shared" si="71"/>
        <v>6.3502038102705898E-3</v>
      </c>
      <c r="J143" s="19">
        <v>223790407.84</v>
      </c>
      <c r="K143" s="45">
        <f t="shared" si="72"/>
        <v>6.6835371943514557E-3</v>
      </c>
      <c r="L143" s="45">
        <f t="shared" si="73"/>
        <v>0.1324204081129115</v>
      </c>
      <c r="M143" s="56">
        <f t="shared" si="74"/>
        <v>1.6589315582526173E-3</v>
      </c>
      <c r="N143" s="47">
        <f t="shared" si="75"/>
        <v>3.0935010963247366E-2</v>
      </c>
      <c r="O143" s="48">
        <f t="shared" si="76"/>
        <v>172.97809301642513</v>
      </c>
      <c r="P143" s="48">
        <f t="shared" si="77"/>
        <v>5.3510792038647343</v>
      </c>
      <c r="Q143" s="19">
        <v>171.03</v>
      </c>
      <c r="R143" s="19">
        <v>173.84</v>
      </c>
      <c r="S143" s="30">
        <v>730</v>
      </c>
      <c r="T143" s="30">
        <v>1293489</v>
      </c>
      <c r="U143" s="30">
        <v>1293750</v>
      </c>
    </row>
    <row r="144" spans="1:21" ht="15.75">
      <c r="A144" s="13">
        <v>122</v>
      </c>
      <c r="B144" s="14" t="s">
        <v>185</v>
      </c>
      <c r="C144" s="14" t="s">
        <v>96</v>
      </c>
      <c r="D144" s="19">
        <v>2808245647.3699999</v>
      </c>
      <c r="E144" s="19">
        <v>14435449.720000001</v>
      </c>
      <c r="F144" s="19">
        <v>33414147.66</v>
      </c>
      <c r="G144" s="16">
        <v>119295587.11</v>
      </c>
      <c r="H144" s="19">
        <v>2667570590.8400002</v>
      </c>
      <c r="I144" s="45">
        <f t="shared" si="71"/>
        <v>8.5717560919748401E-2</v>
      </c>
      <c r="J144" s="19">
        <v>2772303426.9499998</v>
      </c>
      <c r="K144" s="45">
        <f t="shared" si="72"/>
        <v>8.2795296040103619E-2</v>
      </c>
      <c r="L144" s="45">
        <f t="shared" si="73"/>
        <v>3.9261505007453235E-2</v>
      </c>
      <c r="M144" s="56">
        <f t="shared" si="74"/>
        <v>1.205284650127969E-2</v>
      </c>
      <c r="N144" s="47">
        <f t="shared" si="75"/>
        <v>4.3031215829518785E-2</v>
      </c>
      <c r="O144" s="48">
        <f t="shared" si="76"/>
        <v>15.491788264427999</v>
      </c>
      <c r="P144" s="48">
        <f t="shared" si="77"/>
        <v>0.6666304843918075</v>
      </c>
      <c r="Q144" s="19">
        <v>15.491899999999999</v>
      </c>
      <c r="R144" s="19">
        <v>15.6426</v>
      </c>
      <c r="S144" s="30">
        <v>6303</v>
      </c>
      <c r="T144" s="30">
        <v>181332596.06999999</v>
      </c>
      <c r="U144" s="30">
        <v>178953093.06</v>
      </c>
    </row>
    <row r="145" spans="1:21" ht="15.75" customHeight="1">
      <c r="A145" s="110" t="s">
        <v>50</v>
      </c>
      <c r="B145" s="111"/>
      <c r="C145" s="111"/>
      <c r="D145" s="111"/>
      <c r="E145" s="111"/>
      <c r="F145" s="111"/>
      <c r="G145" s="112"/>
      <c r="H145" s="32">
        <f t="shared" ref="H145" si="78">SUM(H121:H144)</f>
        <v>31120467757.330002</v>
      </c>
      <c r="I145" s="53">
        <f>(H145/$H$167)</f>
        <v>1.922046542373838E-2</v>
      </c>
      <c r="J145" s="32">
        <f>SUM(J121:J144)</f>
        <v>33483827699.670002</v>
      </c>
      <c r="K145" s="53">
        <f>(J145/$J$167)</f>
        <v>2.0545870565117846E-2</v>
      </c>
      <c r="L145" s="54">
        <f t="shared" ref="L145" si="79">((J145-H145)/H145)</f>
        <v>7.5942301406550769E-2</v>
      </c>
      <c r="M145" s="57"/>
      <c r="N145" s="58"/>
      <c r="O145" s="63"/>
      <c r="P145" s="63"/>
      <c r="Q145" s="32"/>
      <c r="R145" s="32"/>
      <c r="S145" s="49">
        <f>SUM(S121:S144)</f>
        <v>47945</v>
      </c>
      <c r="T145" s="49"/>
      <c r="U145" s="65"/>
    </row>
    <row r="146" spans="1:21" ht="6" customHeight="1">
      <c r="A146" s="122"/>
      <c r="B146" s="122"/>
      <c r="C146" s="122"/>
      <c r="D146" s="122"/>
      <c r="E146" s="122"/>
      <c r="F146" s="122"/>
      <c r="G146" s="122"/>
      <c r="H146" s="122"/>
      <c r="I146" s="122"/>
      <c r="J146" s="122"/>
      <c r="K146" s="122"/>
      <c r="L146" s="122"/>
      <c r="M146" s="122"/>
      <c r="N146" s="122"/>
      <c r="O146" s="122"/>
      <c r="P146" s="122"/>
      <c r="Q146" s="122"/>
      <c r="R146" s="122"/>
      <c r="S146" s="122"/>
      <c r="T146" s="122"/>
      <c r="U146" s="122"/>
    </row>
    <row r="147" spans="1:21">
      <c r="A147" s="121" t="s">
        <v>4</v>
      </c>
      <c r="B147" s="121"/>
      <c r="C147" s="121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</row>
    <row r="148" spans="1:21" ht="15.75">
      <c r="A148" s="13">
        <v>123</v>
      </c>
      <c r="B148" s="20" t="s">
        <v>186</v>
      </c>
      <c r="C148" s="20" t="s">
        <v>26</v>
      </c>
      <c r="D148" s="19">
        <v>429406176.68000001</v>
      </c>
      <c r="E148" s="19">
        <v>2740810.85</v>
      </c>
      <c r="F148" s="15">
        <v>1662475.84</v>
      </c>
      <c r="G148" s="16">
        <v>17720785.539999999</v>
      </c>
      <c r="H148" s="19">
        <v>535539915</v>
      </c>
      <c r="I148" s="45">
        <f>(H148/$H$151)</f>
        <v>0.17737990889808489</v>
      </c>
      <c r="J148" s="19">
        <v>550893305</v>
      </c>
      <c r="K148" s="45">
        <f>(J148/$J$151)</f>
        <v>0.17156362574565159</v>
      </c>
      <c r="L148" s="45">
        <f>((J148-H148)/H148)</f>
        <v>2.8668992861157698E-2</v>
      </c>
      <c r="M148" s="56">
        <f>(F148/J148)</f>
        <v>3.0177818915406861E-3</v>
      </c>
      <c r="N148" s="47">
        <f>G148/J148</f>
        <v>3.216736413233412E-2</v>
      </c>
      <c r="O148" s="48">
        <f>J148/U148</f>
        <v>47.868559367380058</v>
      </c>
      <c r="P148" s="48">
        <f>G148/U148</f>
        <v>1.5398053796607676</v>
      </c>
      <c r="Q148" s="19">
        <v>47.629300000000001</v>
      </c>
      <c r="R148" s="19">
        <v>49.065300000000001</v>
      </c>
      <c r="S148" s="30">
        <v>238</v>
      </c>
      <c r="T148" s="30">
        <v>11497341</v>
      </c>
      <c r="U148" s="30">
        <v>11508458</v>
      </c>
    </row>
    <row r="149" spans="1:21" ht="15.75">
      <c r="A149" s="13">
        <v>124</v>
      </c>
      <c r="B149" s="20" t="s">
        <v>187</v>
      </c>
      <c r="C149" s="14" t="s">
        <v>44</v>
      </c>
      <c r="D149" s="19">
        <v>2026475614.5</v>
      </c>
      <c r="E149" s="19">
        <v>28095641.600000001</v>
      </c>
      <c r="F149" s="19">
        <v>6022209.5700000003</v>
      </c>
      <c r="G149" s="16">
        <v>155204201.5</v>
      </c>
      <c r="H149" s="19">
        <v>1879382165.96</v>
      </c>
      <c r="I149" s="45">
        <f>(H149/$H$151)</f>
        <v>0.62248326977209589</v>
      </c>
      <c r="J149" s="19">
        <v>2024786704.73</v>
      </c>
      <c r="K149" s="45">
        <f t="shared" ref="K149:K150" si="80">(J149/$J$151)</f>
        <v>0.63057536781113877</v>
      </c>
      <c r="L149" s="45">
        <f t="shared" ref="L149:L151" si="81">((J149-H149)/H149)</f>
        <v>7.7368265701152086E-2</v>
      </c>
      <c r="M149" s="56">
        <f t="shared" ref="M149:M150" si="82">(F149/J149)</f>
        <v>2.9742439319321023E-3</v>
      </c>
      <c r="N149" s="47">
        <f t="shared" ref="N149:N150" si="83">G149/J149</f>
        <v>7.6652123968137212E-2</v>
      </c>
      <c r="O149" s="48">
        <f t="shared" ref="O149:O150" si="84">J149/U149</f>
        <v>1.6395709027468421</v>
      </c>
      <c r="P149" s="48">
        <f t="shared" ref="P149:P150" si="85">G149/U149</f>
        <v>0.1256765920919016</v>
      </c>
      <c r="Q149" s="19">
        <v>1.63</v>
      </c>
      <c r="R149" s="19">
        <v>1.65</v>
      </c>
      <c r="S149" s="30">
        <v>9320</v>
      </c>
      <c r="T149" s="30">
        <v>1256257513.25</v>
      </c>
      <c r="U149" s="30">
        <v>1234949157.3299999</v>
      </c>
    </row>
    <row r="150" spans="1:21" ht="15.75">
      <c r="A150" s="13">
        <v>125</v>
      </c>
      <c r="B150" s="20" t="s">
        <v>188</v>
      </c>
      <c r="C150" s="14" t="s">
        <v>96</v>
      </c>
      <c r="D150" s="19">
        <v>629274203.87</v>
      </c>
      <c r="E150" s="19">
        <v>3349799.07</v>
      </c>
      <c r="F150" s="15">
        <v>9570095.9700000007</v>
      </c>
      <c r="G150" s="16">
        <v>4726913.2</v>
      </c>
      <c r="H150" s="19">
        <v>604246878.63</v>
      </c>
      <c r="I150" s="45">
        <f>(H150/$H$151)</f>
        <v>0.20013682132981919</v>
      </c>
      <c r="J150" s="19">
        <v>635334578.03999996</v>
      </c>
      <c r="K150" s="45">
        <f t="shared" si="80"/>
        <v>0.19786100644320959</v>
      </c>
      <c r="L150" s="45">
        <f t="shared" si="81"/>
        <v>5.1448671907887461E-2</v>
      </c>
      <c r="M150" s="56">
        <f t="shared" si="82"/>
        <v>1.5063080620487617E-2</v>
      </c>
      <c r="N150" s="47">
        <f t="shared" si="83"/>
        <v>7.4400376799614379E-3</v>
      </c>
      <c r="O150" s="48">
        <f t="shared" si="84"/>
        <v>17.779888656128122</v>
      </c>
      <c r="P150" s="48">
        <f t="shared" si="85"/>
        <v>0.13228304154711215</v>
      </c>
      <c r="Q150" s="19">
        <v>17.780100000000001</v>
      </c>
      <c r="R150" s="19">
        <v>17.959499999999998</v>
      </c>
      <c r="S150" s="30">
        <v>1509</v>
      </c>
      <c r="T150" s="30">
        <v>35811447.340000004</v>
      </c>
      <c r="U150" s="30">
        <v>35733327.149999999</v>
      </c>
    </row>
    <row r="151" spans="1:21" ht="15.75" customHeight="1">
      <c r="A151" s="110" t="s">
        <v>50</v>
      </c>
      <c r="B151" s="111"/>
      <c r="C151" s="111"/>
      <c r="D151" s="111"/>
      <c r="E151" s="111"/>
      <c r="F151" s="111"/>
      <c r="G151" s="112"/>
      <c r="H151" s="32">
        <f t="shared" ref="H151" si="86">SUM(H148:H150)</f>
        <v>3019168959.5900002</v>
      </c>
      <c r="I151" s="53">
        <f>(H151/$H$167)</f>
        <v>1.8646838167320167E-3</v>
      </c>
      <c r="J151" s="32">
        <f>SUM(J148:J150)</f>
        <v>3211014587.77</v>
      </c>
      <c r="K151" s="53">
        <f>(J151/$J$167)</f>
        <v>1.9702971444832112E-3</v>
      </c>
      <c r="L151" s="54">
        <f t="shared" si="81"/>
        <v>6.3542528009446764E-2</v>
      </c>
      <c r="M151" s="56"/>
      <c r="N151" s="64"/>
      <c r="O151" s="63"/>
      <c r="P151" s="63"/>
      <c r="Q151" s="32"/>
      <c r="R151" s="32"/>
      <c r="S151" s="49">
        <f>SUM(S148:S150)</f>
        <v>11067</v>
      </c>
      <c r="T151" s="49"/>
      <c r="U151" s="65"/>
    </row>
    <row r="152" spans="1:21" ht="8.25" customHeight="1">
      <c r="A152" s="119"/>
      <c r="B152" s="119"/>
      <c r="C152" s="119"/>
      <c r="D152" s="119"/>
      <c r="E152" s="119"/>
      <c r="F152" s="119"/>
      <c r="G152" s="119"/>
      <c r="H152" s="119"/>
      <c r="I152" s="119"/>
      <c r="J152" s="119"/>
      <c r="K152" s="119"/>
      <c r="L152" s="119"/>
      <c r="M152" s="119"/>
      <c r="N152" s="119"/>
      <c r="O152" s="119"/>
      <c r="P152" s="119"/>
      <c r="Q152" s="119"/>
      <c r="R152" s="119"/>
      <c r="S152" s="119"/>
      <c r="T152" s="119"/>
      <c r="U152" s="119"/>
    </row>
    <row r="153" spans="1:21">
      <c r="A153" s="121" t="s">
        <v>189</v>
      </c>
      <c r="B153" s="121"/>
      <c r="C153" s="121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</row>
    <row r="154" spans="1:21" ht="13.5" customHeight="1">
      <c r="A154" s="120" t="s">
        <v>190</v>
      </c>
      <c r="B154" s="120"/>
      <c r="C154" s="120"/>
      <c r="D154" s="120"/>
      <c r="E154" s="120"/>
      <c r="F154" s="120"/>
      <c r="G154" s="120"/>
      <c r="H154" s="120"/>
      <c r="I154" s="120"/>
      <c r="J154" s="120"/>
      <c r="K154" s="120"/>
      <c r="L154" s="120"/>
      <c r="M154" s="120"/>
      <c r="N154" s="120"/>
      <c r="O154" s="120"/>
      <c r="P154" s="120"/>
      <c r="Q154" s="120"/>
      <c r="R154" s="120"/>
      <c r="S154" s="120"/>
      <c r="T154" s="120"/>
      <c r="U154" s="120"/>
    </row>
    <row r="155" spans="1:21" ht="15" customHeight="1">
      <c r="A155" s="13">
        <v>126</v>
      </c>
      <c r="B155" s="20" t="s">
        <v>191</v>
      </c>
      <c r="C155" s="14" t="s">
        <v>121</v>
      </c>
      <c r="D155" s="44">
        <v>2992636618.9200001</v>
      </c>
      <c r="E155" s="17">
        <v>53209059.530000001</v>
      </c>
      <c r="F155" s="15">
        <v>15896289.83</v>
      </c>
      <c r="G155" s="16">
        <v>3133874.69</v>
      </c>
      <c r="H155" s="17">
        <v>3447706614.8899999</v>
      </c>
      <c r="I155" s="45">
        <f>(H155/$H$166)</f>
        <v>0.1375153595959088</v>
      </c>
      <c r="J155" s="17">
        <v>3245282917.23</v>
      </c>
      <c r="K155" s="45">
        <f>(J155/$J$166)</f>
        <v>0.12733777351394532</v>
      </c>
      <c r="L155" s="18">
        <f>((J155-H155)/H155)</f>
        <v>-5.87125646903277E-2</v>
      </c>
      <c r="M155" s="56">
        <f>(F155/J155)</f>
        <v>4.8982755080004626E-3</v>
      </c>
      <c r="N155" s="47">
        <f>G155/J155</f>
        <v>9.6567071960398075E-4</v>
      </c>
      <c r="O155" s="48">
        <f>J155/U155</f>
        <v>1.5975074422753333</v>
      </c>
      <c r="P155" s="48">
        <f>G155/U155</f>
        <v>1.5426661613547358E-3</v>
      </c>
      <c r="Q155" s="17">
        <v>1.71</v>
      </c>
      <c r="R155" s="17">
        <v>1.72</v>
      </c>
      <c r="S155" s="38">
        <v>30607</v>
      </c>
      <c r="T155" s="38">
        <v>2032853699.4400001</v>
      </c>
      <c r="U155" s="30">
        <v>2031466540.53</v>
      </c>
    </row>
    <row r="156" spans="1:21" ht="15.75">
      <c r="A156" s="13">
        <v>127</v>
      </c>
      <c r="B156" s="14" t="s">
        <v>192</v>
      </c>
      <c r="C156" s="14" t="s">
        <v>44</v>
      </c>
      <c r="D156" s="19">
        <v>343693386.18000001</v>
      </c>
      <c r="E156" s="19">
        <v>2771475.57</v>
      </c>
      <c r="F156" s="19">
        <v>780206.29</v>
      </c>
      <c r="G156" s="16">
        <v>19492618.190000001</v>
      </c>
      <c r="H156" s="19">
        <v>316015320.97000003</v>
      </c>
      <c r="I156" s="45">
        <f>(H156/$H$166)</f>
        <v>1.2604599333749458E-2</v>
      </c>
      <c r="J156" s="19">
        <v>346152219.02999997</v>
      </c>
      <c r="K156" s="45">
        <f>(J156/$J$166)</f>
        <v>1.3582252762669632E-2</v>
      </c>
      <c r="L156" s="18">
        <f>((J156-H156)/H156)</f>
        <v>9.5365306870235256E-2</v>
      </c>
      <c r="M156" s="56">
        <f>(F156/J156)</f>
        <v>2.2539398770469298E-3</v>
      </c>
      <c r="N156" s="47">
        <f>G156/J156</f>
        <v>5.6312272804787754E-2</v>
      </c>
      <c r="O156" s="48">
        <f>J156/U156</f>
        <v>298.67498138028179</v>
      </c>
      <c r="P156" s="48">
        <f>G156/U156</f>
        <v>16.819067031451333</v>
      </c>
      <c r="Q156" s="19">
        <v>296.56</v>
      </c>
      <c r="R156" s="19">
        <v>300.13</v>
      </c>
      <c r="S156" s="30">
        <v>550</v>
      </c>
      <c r="T156" s="30">
        <v>1127793.05</v>
      </c>
      <c r="U156" s="30">
        <v>1158959.54</v>
      </c>
    </row>
    <row r="157" spans="1:21" ht="7.5" customHeight="1">
      <c r="A157" s="119"/>
      <c r="B157" s="119"/>
      <c r="C157" s="119"/>
      <c r="D157" s="119"/>
      <c r="E157" s="119"/>
      <c r="F157" s="119"/>
      <c r="G157" s="119"/>
      <c r="H157" s="119"/>
      <c r="I157" s="119"/>
      <c r="J157" s="119"/>
      <c r="K157" s="119"/>
      <c r="L157" s="119"/>
      <c r="M157" s="119"/>
      <c r="N157" s="119"/>
      <c r="O157" s="119"/>
      <c r="P157" s="119"/>
      <c r="Q157" s="119"/>
      <c r="R157" s="119"/>
      <c r="S157" s="119"/>
      <c r="T157" s="119"/>
      <c r="U157" s="119"/>
    </row>
    <row r="158" spans="1:21">
      <c r="A158" s="120" t="s">
        <v>149</v>
      </c>
      <c r="B158" s="120"/>
      <c r="C158" s="120"/>
      <c r="D158" s="120"/>
      <c r="E158" s="120"/>
      <c r="F158" s="120"/>
      <c r="G158" s="120"/>
      <c r="H158" s="120"/>
      <c r="I158" s="120"/>
      <c r="J158" s="120"/>
      <c r="K158" s="120"/>
      <c r="L158" s="120"/>
      <c r="M158" s="120"/>
      <c r="N158" s="120"/>
      <c r="O158" s="120"/>
      <c r="P158" s="120"/>
      <c r="Q158" s="120"/>
      <c r="R158" s="120"/>
      <c r="S158" s="120"/>
      <c r="T158" s="120"/>
      <c r="U158" s="120"/>
    </row>
    <row r="159" spans="1:21" ht="15.75">
      <c r="A159" s="13">
        <v>128</v>
      </c>
      <c r="B159" s="20" t="s">
        <v>193</v>
      </c>
      <c r="C159" s="14" t="s">
        <v>194</v>
      </c>
      <c r="D159" s="19">
        <v>428427931.73294324</v>
      </c>
      <c r="E159" s="19">
        <v>5306746</v>
      </c>
      <c r="F159" s="19">
        <v>844077</v>
      </c>
      <c r="G159" s="16">
        <v>4462668.7252848782</v>
      </c>
      <c r="H159" s="19">
        <v>499758206.76960075</v>
      </c>
      <c r="I159" s="45">
        <f>(H159/$H$166)</f>
        <v>1.9933375194432217E-2</v>
      </c>
      <c r="J159" s="19">
        <v>505733680.45319992</v>
      </c>
      <c r="K159" s="45">
        <f>(J159/$J$166)</f>
        <v>1.984387879343694E-2</v>
      </c>
      <c r="L159" s="45">
        <f t="shared" ref="L159:L166" si="87">((J159-H159)/H159)</f>
        <v>1.1956729479690157E-2</v>
      </c>
      <c r="M159" s="56">
        <f t="shared" ref="M159:M165" si="88">(F159/J159)</f>
        <v>1.669014804874381E-3</v>
      </c>
      <c r="N159" s="47">
        <f t="shared" ref="N159:N165" si="89">G159/J159</f>
        <v>8.8241477634745918E-3</v>
      </c>
      <c r="O159" s="48">
        <f t="shared" ref="O159:O165" si="90">J159/U159</f>
        <v>1046.3852362397192</v>
      </c>
      <c r="P159" s="48">
        <f t="shared" ref="P159:P165" si="91">G159/U159</f>
        <v>9.2334579420975516</v>
      </c>
      <c r="Q159" s="19">
        <v>1046.3900000000001</v>
      </c>
      <c r="R159" s="19">
        <v>1046.3900000000001</v>
      </c>
      <c r="S159" s="60">
        <v>22</v>
      </c>
      <c r="T159" s="30">
        <v>485204</v>
      </c>
      <c r="U159" s="30">
        <v>483315</v>
      </c>
    </row>
    <row r="160" spans="1:21" ht="15" customHeight="1">
      <c r="A160" s="13">
        <v>129</v>
      </c>
      <c r="B160" s="20" t="s">
        <v>195</v>
      </c>
      <c r="C160" s="24" t="s">
        <v>62</v>
      </c>
      <c r="D160" s="19">
        <v>27554905.640000001</v>
      </c>
      <c r="E160" s="19">
        <v>577471.1</v>
      </c>
      <c r="F160" s="19">
        <v>256588.76</v>
      </c>
      <c r="G160" s="16">
        <v>320882.34000000003</v>
      </c>
      <c r="H160" s="19">
        <v>59246740.380000003</v>
      </c>
      <c r="I160" s="45">
        <f t="shared" ref="I160:I165" si="92">(H160/$H$166)</f>
        <v>2.363117781847889E-3</v>
      </c>
      <c r="J160" s="19">
        <v>58999829.289999999</v>
      </c>
      <c r="K160" s="45">
        <f t="shared" ref="K160:K165" si="93">(J160/$J$166)</f>
        <v>2.3150237101374422E-3</v>
      </c>
      <c r="L160" s="45">
        <f t="shared" si="87"/>
        <v>-4.1675050545625239E-3</v>
      </c>
      <c r="M160" s="56">
        <f t="shared" si="88"/>
        <v>4.3489746171772358E-3</v>
      </c>
      <c r="N160" s="47">
        <f t="shared" si="89"/>
        <v>5.4386994650912832E-3</v>
      </c>
      <c r="O160" s="48">
        <f t="shared" si="90"/>
        <v>103.03001550693534</v>
      </c>
      <c r="P160" s="48">
        <f t="shared" si="91"/>
        <v>0.56034929022591584</v>
      </c>
      <c r="Q160" s="19">
        <v>103.52</v>
      </c>
      <c r="R160" s="19">
        <v>103.52</v>
      </c>
      <c r="S160" s="60">
        <v>50</v>
      </c>
      <c r="T160" s="30">
        <v>570469</v>
      </c>
      <c r="U160" s="30">
        <v>572647</v>
      </c>
    </row>
    <row r="161" spans="1:21" ht="15" customHeight="1">
      <c r="A161" s="13">
        <v>130</v>
      </c>
      <c r="B161" s="20" t="s">
        <v>196</v>
      </c>
      <c r="C161" s="24" t="s">
        <v>172</v>
      </c>
      <c r="D161" s="19">
        <v>35602050.93</v>
      </c>
      <c r="E161" s="19">
        <v>556911.91</v>
      </c>
      <c r="F161" s="19">
        <v>194834.21</v>
      </c>
      <c r="G161" s="16">
        <v>362077.7</v>
      </c>
      <c r="H161" s="19">
        <v>51976634.969999999</v>
      </c>
      <c r="I161" s="45">
        <f t="shared" si="92"/>
        <v>2.0731420758413007E-3</v>
      </c>
      <c r="J161" s="19">
        <v>51976634.969999999</v>
      </c>
      <c r="K161" s="45">
        <f t="shared" si="93"/>
        <v>2.0394489912380718E-3</v>
      </c>
      <c r="L161" s="45">
        <f t="shared" si="87"/>
        <v>0</v>
      </c>
      <c r="M161" s="56">
        <f t="shared" si="88"/>
        <v>3.7484960331205528E-3</v>
      </c>
      <c r="N161" s="47">
        <f t="shared" si="89"/>
        <v>6.9661627808145889E-3</v>
      </c>
      <c r="O161" s="48">
        <f t="shared" si="90"/>
        <v>104.09671521356429</v>
      </c>
      <c r="P161" s="48">
        <f t="shared" si="91"/>
        <v>0.72515466312578736</v>
      </c>
      <c r="Q161" s="19">
        <v>100.49</v>
      </c>
      <c r="R161" s="19">
        <v>104.72</v>
      </c>
      <c r="S161" s="60">
        <v>5</v>
      </c>
      <c r="T161" s="30">
        <v>501651</v>
      </c>
      <c r="U161" s="30">
        <v>499311</v>
      </c>
    </row>
    <row r="162" spans="1:21" ht="15" customHeight="1">
      <c r="A162" s="13">
        <v>131</v>
      </c>
      <c r="B162" s="14" t="s">
        <v>197</v>
      </c>
      <c r="C162" s="14" t="s">
        <v>75</v>
      </c>
      <c r="D162" s="19">
        <v>9389865595.7999992</v>
      </c>
      <c r="E162" s="19">
        <v>103355506.34999999</v>
      </c>
      <c r="F162" s="19">
        <v>15545099.07</v>
      </c>
      <c r="G162" s="16">
        <v>87810407.280000001</v>
      </c>
      <c r="H162" s="19">
        <v>9488167971.2399998</v>
      </c>
      <c r="I162" s="45">
        <f t="shared" si="92"/>
        <v>0.37844543524567908</v>
      </c>
      <c r="J162" s="19">
        <v>9389865595.7999992</v>
      </c>
      <c r="K162" s="45">
        <f t="shared" si="93"/>
        <v>0.36843770144543819</v>
      </c>
      <c r="L162" s="45">
        <f t="shared" si="87"/>
        <v>-1.0360522256558816E-2</v>
      </c>
      <c r="M162" s="56">
        <f t="shared" si="88"/>
        <v>1.6555188049713065E-3</v>
      </c>
      <c r="N162" s="47">
        <f t="shared" si="89"/>
        <v>9.3516149282559264E-3</v>
      </c>
      <c r="O162" s="48">
        <f t="shared" si="90"/>
        <v>129.03814739764067</v>
      </c>
      <c r="P162" s="48">
        <f t="shared" si="91"/>
        <v>1.2067150655182652</v>
      </c>
      <c r="Q162" s="19">
        <v>129.03</v>
      </c>
      <c r="R162" s="19">
        <v>129.03</v>
      </c>
      <c r="S162" s="30">
        <v>493</v>
      </c>
      <c r="T162" s="30">
        <v>74224377.549999997</v>
      </c>
      <c r="U162" s="30">
        <v>72768137.060000002</v>
      </c>
    </row>
    <row r="163" spans="1:21" ht="15.75">
      <c r="A163" s="13">
        <v>132</v>
      </c>
      <c r="B163" s="14" t="s">
        <v>198</v>
      </c>
      <c r="C163" s="14" t="s">
        <v>199</v>
      </c>
      <c r="D163" s="19">
        <v>378411969.14999998</v>
      </c>
      <c r="E163" s="19">
        <v>4664046.78</v>
      </c>
      <c r="F163" s="19">
        <v>1047877.99</v>
      </c>
      <c r="G163" s="16">
        <v>3616168.79</v>
      </c>
      <c r="H163" s="19">
        <v>442138917.95999998</v>
      </c>
      <c r="I163" s="45">
        <f t="shared" si="92"/>
        <v>1.7635170008964144E-2</v>
      </c>
      <c r="J163" s="19">
        <v>479796666.64999998</v>
      </c>
      <c r="K163" s="45">
        <f t="shared" si="93"/>
        <v>1.8826167341604874E-2</v>
      </c>
      <c r="L163" s="45">
        <f t="shared" si="87"/>
        <v>8.517175747330813E-2</v>
      </c>
      <c r="M163" s="56">
        <f t="shared" si="88"/>
        <v>2.1840043144034627E-3</v>
      </c>
      <c r="N163" s="47">
        <f t="shared" si="89"/>
        <v>7.5368776845586285E-3</v>
      </c>
      <c r="O163" s="48">
        <f t="shared" si="90"/>
        <v>102.61197554019763</v>
      </c>
      <c r="P163" s="48">
        <f t="shared" si="91"/>
        <v>0.7733739086173913</v>
      </c>
      <c r="Q163" s="19">
        <v>102.61</v>
      </c>
      <c r="R163" s="19">
        <v>102.61</v>
      </c>
      <c r="S163" s="30">
        <v>429</v>
      </c>
      <c r="T163" s="30">
        <v>4339432</v>
      </c>
      <c r="U163" s="30">
        <v>4675835</v>
      </c>
    </row>
    <row r="164" spans="1:21" ht="15.75">
      <c r="A164" s="13">
        <v>133</v>
      </c>
      <c r="B164" s="20" t="s">
        <v>200</v>
      </c>
      <c r="C164" s="20" t="s">
        <v>44</v>
      </c>
      <c r="D164" s="19">
        <v>8454982515.6499996</v>
      </c>
      <c r="E164" s="19">
        <v>57896237.030000001</v>
      </c>
      <c r="F164" s="19">
        <v>13517475.66</v>
      </c>
      <c r="G164" s="16">
        <v>44378761.369999997</v>
      </c>
      <c r="H164" s="19">
        <v>8291217186.3999996</v>
      </c>
      <c r="I164" s="45">
        <f t="shared" si="92"/>
        <v>0.33070380987506171</v>
      </c>
      <c r="J164" s="19">
        <v>8426222721.1000004</v>
      </c>
      <c r="K164" s="45">
        <f t="shared" si="93"/>
        <v>0.33062647165237818</v>
      </c>
      <c r="L164" s="45">
        <f t="shared" si="87"/>
        <v>1.6282957214225312E-2</v>
      </c>
      <c r="M164" s="56">
        <f t="shared" si="88"/>
        <v>1.6042153296222583E-3</v>
      </c>
      <c r="N164" s="47">
        <f t="shared" si="89"/>
        <v>5.2667444048056893E-3</v>
      </c>
      <c r="O164" s="48">
        <f t="shared" si="90"/>
        <v>124.0187878602087</v>
      </c>
      <c r="P164" s="48">
        <f t="shared" si="91"/>
        <v>0.65317525705353796</v>
      </c>
      <c r="Q164" s="19">
        <v>124.02</v>
      </c>
      <c r="R164" s="19">
        <v>124.02</v>
      </c>
      <c r="S164" s="30">
        <v>1050</v>
      </c>
      <c r="T164" s="30">
        <v>66985851.979999997</v>
      </c>
      <c r="U164" s="30">
        <v>67943114.640000001</v>
      </c>
    </row>
    <row r="165" spans="1:21" ht="15" customHeight="1">
      <c r="A165" s="13">
        <v>134</v>
      </c>
      <c r="B165" s="14" t="s">
        <v>201</v>
      </c>
      <c r="C165" s="14" t="s">
        <v>49</v>
      </c>
      <c r="D165" s="19">
        <v>2088202117</v>
      </c>
      <c r="E165" s="19">
        <v>25941586</v>
      </c>
      <c r="F165" s="19">
        <v>4742193</v>
      </c>
      <c r="G165" s="16">
        <v>21199393</v>
      </c>
      <c r="H165" s="19">
        <v>2475201700</v>
      </c>
      <c r="I165" s="45">
        <f t="shared" si="92"/>
        <v>9.8725990888515497E-2</v>
      </c>
      <c r="J165" s="19">
        <v>2981596095</v>
      </c>
      <c r="K165" s="45">
        <f t="shared" si="93"/>
        <v>0.11699128178915126</v>
      </c>
      <c r="L165" s="45">
        <f t="shared" si="87"/>
        <v>0.20458712314232816</v>
      </c>
      <c r="M165" s="56">
        <f t="shared" si="88"/>
        <v>1.5904880637429195E-3</v>
      </c>
      <c r="N165" s="47">
        <f t="shared" si="89"/>
        <v>7.1100820917864797E-3</v>
      </c>
      <c r="O165" s="48">
        <f t="shared" si="90"/>
        <v>1.155125808683849</v>
      </c>
      <c r="P165" s="48">
        <f t="shared" si="91"/>
        <v>8.2130393260834104E-3</v>
      </c>
      <c r="Q165" s="16">
        <v>1.1599999999999999</v>
      </c>
      <c r="R165" s="16">
        <v>1.1599999999999999</v>
      </c>
      <c r="S165" s="30">
        <v>177</v>
      </c>
      <c r="T165" s="30">
        <v>2125388374</v>
      </c>
      <c r="U165" s="30">
        <v>2581187324</v>
      </c>
    </row>
    <row r="166" spans="1:21" ht="15" customHeight="1">
      <c r="A166" s="113" t="s">
        <v>50</v>
      </c>
      <c r="B166" s="114"/>
      <c r="C166" s="114"/>
      <c r="D166" s="114"/>
      <c r="E166" s="114"/>
      <c r="F166" s="114"/>
      <c r="G166" s="115"/>
      <c r="H166" s="32">
        <f>SUM(H155:H165)</f>
        <v>25071429293.579597</v>
      </c>
      <c r="I166" s="53">
        <f>(H166/$H$167)</f>
        <v>1.5484488974220089E-2</v>
      </c>
      <c r="J166" s="32">
        <f>SUM(J155:J165)</f>
        <v>25485626359.523201</v>
      </c>
      <c r="K166" s="53">
        <f>(J166/$J$167)</f>
        <v>1.5638127909100422E-2</v>
      </c>
      <c r="L166" s="54">
        <f t="shared" si="87"/>
        <v>1.6520680217049808E-2</v>
      </c>
      <c r="M166" s="56"/>
      <c r="N166" s="58"/>
      <c r="O166" s="63"/>
      <c r="P166" s="63"/>
      <c r="Q166" s="32"/>
      <c r="R166" s="32"/>
      <c r="S166" s="49">
        <f>SUM(S155:S165)</f>
        <v>33383</v>
      </c>
      <c r="T166" s="49"/>
      <c r="U166" s="49"/>
    </row>
    <row r="167" spans="1:21" ht="15.75" customHeight="1">
      <c r="A167" s="116" t="s">
        <v>202</v>
      </c>
      <c r="B167" s="117"/>
      <c r="C167" s="117"/>
      <c r="D167" s="117"/>
      <c r="E167" s="117"/>
      <c r="F167" s="117"/>
      <c r="G167" s="118"/>
      <c r="H167" s="102">
        <f>SUM(H21,H53,H86,H111,H118,H145,H151,H166)</f>
        <v>1619131850932.9351</v>
      </c>
      <c r="I167" s="103"/>
      <c r="J167" s="102">
        <f>SUM(J21,J53,J86,J111,J118,J145,J151,J166)</f>
        <v>1629710826491.7148</v>
      </c>
      <c r="K167" s="103"/>
      <c r="L167" s="103"/>
      <c r="M167" s="104"/>
      <c r="N167" s="105"/>
      <c r="O167" s="106"/>
      <c r="P167" s="106"/>
      <c r="Q167" s="102"/>
      <c r="R167" s="102"/>
      <c r="S167" s="107">
        <f>SUM(S21,S53,S86,S111,S118,S145,S151,S166)</f>
        <v>503287</v>
      </c>
      <c r="T167" s="107"/>
      <c r="U167" s="107"/>
    </row>
    <row r="168" spans="1:21" ht="5.25" customHeight="1">
      <c r="A168" s="5"/>
      <c r="B168" s="5"/>
      <c r="C168" s="5"/>
      <c r="D168" s="6"/>
      <c r="E168" s="6"/>
      <c r="F168" s="6"/>
      <c r="G168" s="7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</row>
    <row r="169" spans="1:21" ht="15.75">
      <c r="A169" s="11" t="s">
        <v>204</v>
      </c>
      <c r="B169" s="12" t="s">
        <v>212</v>
      </c>
      <c r="C169" s="8"/>
      <c r="D169" s="6"/>
      <c r="E169" s="6"/>
      <c r="F169" s="6"/>
      <c r="G169" s="7"/>
      <c r="H169" s="9"/>
      <c r="I169" s="6"/>
      <c r="J169" s="9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10"/>
    </row>
  </sheetData>
  <sheetProtection algorithmName="SHA-512" hashValue="4VaB2K6Nm9eFvD7pJewbZgxNstVc7sO1CTu3ffYe39DaPk2c2jNDKc0DdpKInll4va6JLt/+LSIJRGDDhhPXZA==" saltValue="pCzLVCCA1LBdEqE1ipQraA==" spinCount="100000" sheet="1" objects="1" scenarios="1"/>
  <mergeCells count="32">
    <mergeCell ref="A1:U1"/>
    <mergeCell ref="A3:U3"/>
    <mergeCell ref="A4:U4"/>
    <mergeCell ref="A22:U22"/>
    <mergeCell ref="A54:U54"/>
    <mergeCell ref="A21:G21"/>
    <mergeCell ref="A23:U23"/>
    <mergeCell ref="A113:U113"/>
    <mergeCell ref="A120:U120"/>
    <mergeCell ref="A87:U87"/>
    <mergeCell ref="A112:U112"/>
    <mergeCell ref="A119:U119"/>
    <mergeCell ref="A111:G111"/>
    <mergeCell ref="A100:U100"/>
    <mergeCell ref="A118:G118"/>
    <mergeCell ref="A55:U55"/>
    <mergeCell ref="A88:U88"/>
    <mergeCell ref="A89:U89"/>
    <mergeCell ref="A101:U101"/>
    <mergeCell ref="A53:G53"/>
    <mergeCell ref="A86:G86"/>
    <mergeCell ref="A145:G145"/>
    <mergeCell ref="A151:G151"/>
    <mergeCell ref="A166:G166"/>
    <mergeCell ref="A167:G167"/>
    <mergeCell ref="A157:U157"/>
    <mergeCell ref="A158:U158"/>
    <mergeCell ref="A154:U154"/>
    <mergeCell ref="A147:U147"/>
    <mergeCell ref="A153:U153"/>
    <mergeCell ref="A146:U146"/>
    <mergeCell ref="A152:U152"/>
  </mergeCells>
  <pageMargins left="0.7" right="0.7" top="0.75" bottom="0.75" header="0.3" footer="0.3"/>
  <ignoredErrors>
    <ignoredError sqref="I21 I53 I86 I111 I118 I145 I151 I166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8"/>
  <sheetViews>
    <sheetView workbookViewId="0">
      <selection activeCell="M3" sqref="M3"/>
    </sheetView>
  </sheetViews>
  <sheetFormatPr defaultRowHeight="15"/>
  <cols>
    <col min="1" max="1" width="34" customWidth="1"/>
    <col min="2" max="2" width="13.7109375" customWidth="1"/>
    <col min="3" max="3" width="15.85546875" customWidth="1"/>
  </cols>
  <sheetData>
    <row r="1" spans="1:4">
      <c r="A1" s="1"/>
      <c r="B1" s="1"/>
      <c r="C1" s="1"/>
      <c r="D1" s="1"/>
    </row>
    <row r="2" spans="1:4">
      <c r="A2" s="1"/>
      <c r="B2" s="1"/>
      <c r="C2" s="1"/>
      <c r="D2" s="1"/>
    </row>
    <row r="3" spans="1:4">
      <c r="A3" s="1"/>
      <c r="B3" s="1"/>
      <c r="C3" s="1"/>
      <c r="D3" s="1"/>
    </row>
    <row r="4" spans="1:4" ht="33" customHeight="1">
      <c r="A4" s="89" t="s">
        <v>5</v>
      </c>
      <c r="B4" s="90" t="s">
        <v>218</v>
      </c>
      <c r="C4" s="90" t="s">
        <v>219</v>
      </c>
      <c r="D4" s="1"/>
    </row>
    <row r="5" spans="1:4" ht="19.5" customHeight="1">
      <c r="A5" s="91" t="s">
        <v>0</v>
      </c>
      <c r="B5" s="67">
        <f>17025818154.79/1000000000</f>
        <v>17.025818154790002</v>
      </c>
      <c r="C5" s="92">
        <f>18395824731.344/1000000000</f>
        <v>18.395824731344003</v>
      </c>
      <c r="D5" s="1"/>
    </row>
    <row r="6" spans="1:4" ht="15.75">
      <c r="A6" s="89" t="s">
        <v>1</v>
      </c>
      <c r="B6" s="67">
        <f>793022132206.29/1000000000</f>
        <v>793.02213220629005</v>
      </c>
      <c r="C6" s="92">
        <f>749900598862.71/1000000000</f>
        <v>749.90059886271001</v>
      </c>
      <c r="D6" s="1"/>
    </row>
    <row r="7" spans="1:4" ht="15.75">
      <c r="A7" s="89" t="s">
        <v>6</v>
      </c>
      <c r="B7" s="67">
        <f>324976065625.26/1000000000</f>
        <v>324.97606562525999</v>
      </c>
      <c r="C7" s="92">
        <f>324257293662.39/1000000000</f>
        <v>324.25729366239</v>
      </c>
      <c r="D7" s="1"/>
    </row>
    <row r="8" spans="1:4" ht="15.75">
      <c r="A8" s="89" t="s">
        <v>2</v>
      </c>
      <c r="B8" s="67">
        <f>331276784520.635/1000000000</f>
        <v>331.27678452063503</v>
      </c>
      <c r="C8" s="92">
        <f>329523427075.088/1000000000</f>
        <v>329.52342707508802</v>
      </c>
      <c r="D8" s="1"/>
    </row>
    <row r="9" spans="1:4" ht="15.75">
      <c r="A9" s="89" t="s">
        <v>7</v>
      </c>
      <c r="B9" s="67">
        <f>93619984415.46/1000000000</f>
        <v>93.61998441546001</v>
      </c>
      <c r="C9" s="92">
        <f>92979365311.57/1000000000</f>
        <v>92.979365311570007</v>
      </c>
      <c r="D9" s="1"/>
    </row>
    <row r="10" spans="1:4" ht="15.75">
      <c r="A10" s="89" t="s">
        <v>3</v>
      </c>
      <c r="B10" s="67">
        <f>31120467757.33/1000000000</f>
        <v>31.120467757330001</v>
      </c>
      <c r="C10" s="92">
        <f>33483827699.67/1000000000</f>
        <v>33.483827699670002</v>
      </c>
      <c r="D10" s="1"/>
    </row>
    <row r="11" spans="1:4" ht="15.75">
      <c r="A11" s="89" t="s">
        <v>4</v>
      </c>
      <c r="B11" s="67">
        <f>3019168959.59/1000000000</f>
        <v>3.01916895959</v>
      </c>
      <c r="C11" s="92">
        <f>3211014587.77/1000000000</f>
        <v>3.2110145877699998</v>
      </c>
      <c r="D11" s="1"/>
    </row>
    <row r="12" spans="1:4" ht="15.75">
      <c r="A12" s="89" t="s">
        <v>8</v>
      </c>
      <c r="B12" s="67">
        <f>25071429293.5796/1000000000</f>
        <v>25.071429293579602</v>
      </c>
      <c r="C12" s="92">
        <f>25485626359.5232/1000000000</f>
        <v>25.485626359523202</v>
      </c>
      <c r="D12" s="1"/>
    </row>
    <row r="13" spans="1:4">
      <c r="A13" s="1"/>
      <c r="B13" s="1"/>
      <c r="C13" s="1"/>
      <c r="D13" s="1"/>
    </row>
    <row r="14" spans="1:4">
      <c r="A14" s="1"/>
      <c r="B14" s="1"/>
      <c r="C14" s="1"/>
      <c r="D14" s="1"/>
    </row>
    <row r="15" spans="1:4">
      <c r="A15" s="1"/>
      <c r="B15" s="1"/>
      <c r="C15" s="1"/>
      <c r="D15" s="1"/>
    </row>
    <row r="16" spans="1:4" ht="16.5">
      <c r="A16" s="1"/>
      <c r="B16" s="93"/>
      <c r="C16" s="94">
        <v>18395824731.344002</v>
      </c>
      <c r="D16" s="1"/>
    </row>
    <row r="17" spans="1:4" ht="16.5">
      <c r="A17" s="95"/>
      <c r="B17" s="96"/>
      <c r="C17" s="97">
        <v>749900598862.70996</v>
      </c>
      <c r="D17" s="1"/>
    </row>
    <row r="18" spans="1:4" ht="16.5">
      <c r="A18" s="89"/>
      <c r="B18" s="98"/>
      <c r="C18" s="99">
        <v>324257293662.39001</v>
      </c>
      <c r="D18" s="1"/>
    </row>
    <row r="19" spans="1:4" ht="16.5">
      <c r="A19" s="69"/>
      <c r="B19" s="96"/>
      <c r="C19" s="100">
        <v>329523427075.08801</v>
      </c>
      <c r="D19" s="1"/>
    </row>
    <row r="20" spans="1:4" ht="16.5">
      <c r="A20" s="69"/>
      <c r="B20" s="98"/>
      <c r="C20" s="99">
        <v>92979365311.570007</v>
      </c>
      <c r="D20" s="1"/>
    </row>
    <row r="21" spans="1:4" ht="16.5">
      <c r="A21" s="69"/>
      <c r="B21" s="96"/>
      <c r="C21" s="100">
        <v>33483827699.669998</v>
      </c>
      <c r="D21" s="1"/>
    </row>
    <row r="22" spans="1:4" ht="16.5">
      <c r="A22" s="69"/>
      <c r="B22" s="70"/>
      <c r="C22" s="71">
        <v>3211014587.77</v>
      </c>
      <c r="D22" s="1"/>
    </row>
    <row r="23" spans="1:4" ht="16.5">
      <c r="A23" s="69"/>
      <c r="B23" s="96"/>
      <c r="C23" s="100">
        <v>25485626359.523201</v>
      </c>
      <c r="D23" s="1"/>
    </row>
    <row r="24" spans="1:4" ht="16.5">
      <c r="A24" s="69"/>
      <c r="B24" s="96"/>
      <c r="C24" s="96"/>
      <c r="D24" s="1"/>
    </row>
    <row r="25" spans="1:4" ht="16.5">
      <c r="A25" s="69"/>
      <c r="B25" s="96"/>
      <c r="C25" s="96"/>
      <c r="D25" s="1"/>
    </row>
    <row r="26" spans="1:4" ht="16.5">
      <c r="A26" s="69"/>
      <c r="B26" s="96"/>
      <c r="C26" s="96"/>
      <c r="D26" s="1"/>
    </row>
    <row r="27" spans="1:4">
      <c r="B27" s="2"/>
      <c r="C27" s="2"/>
    </row>
    <row r="28" spans="1:4">
      <c r="B28" s="2"/>
      <c r="C28" s="2"/>
    </row>
  </sheetData>
  <sheetProtection algorithmName="SHA-512" hashValue="9hKy0zTFbTeIno+2bhahjKxjVzyuH5OFXSE1B1XkUMWWYvfKeL0JbopSNW0zG7AYf78EwumIiPR8OTiB+Hk5tA==" saltValue="Qq3Xi7mGTOL6+tTzbkU3EA==" spinCount="100000" sheet="1" objects="1" scenarios="1"/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33"/>
  <sheetViews>
    <sheetView zoomScale="85" zoomScaleNormal="85" workbookViewId="0">
      <selection activeCell="M3" sqref="M3"/>
    </sheetView>
  </sheetViews>
  <sheetFormatPr defaultRowHeight="15"/>
  <cols>
    <col min="1" max="1" width="26.7109375" customWidth="1"/>
    <col min="2" max="2" width="21.28515625" customWidth="1"/>
  </cols>
  <sheetData>
    <row r="1" spans="1:3">
      <c r="A1" s="72" t="s">
        <v>5</v>
      </c>
      <c r="B1" s="73" t="s">
        <v>219</v>
      </c>
      <c r="C1" s="1"/>
    </row>
    <row r="2" spans="1:3">
      <c r="A2" s="72" t="s">
        <v>4</v>
      </c>
      <c r="B2" s="74">
        <v>3211014587.77</v>
      </c>
      <c r="C2" s="1"/>
    </row>
    <row r="3" spans="1:3">
      <c r="A3" s="72" t="s">
        <v>0</v>
      </c>
      <c r="B3" s="75">
        <v>18395824731.344002</v>
      </c>
      <c r="C3" s="1"/>
    </row>
    <row r="4" spans="1:3">
      <c r="A4" s="72" t="s">
        <v>8</v>
      </c>
      <c r="B4" s="76">
        <v>25485626359.523201</v>
      </c>
      <c r="C4" s="1"/>
    </row>
    <row r="5" spans="1:3">
      <c r="A5" s="72" t="s">
        <v>3</v>
      </c>
      <c r="B5" s="76">
        <v>33483827699.669998</v>
      </c>
      <c r="C5" s="1"/>
    </row>
    <row r="6" spans="1:3">
      <c r="A6" s="72" t="s">
        <v>7</v>
      </c>
      <c r="B6" s="77">
        <v>92979365311.570007</v>
      </c>
      <c r="C6" s="1"/>
    </row>
    <row r="7" spans="1:3">
      <c r="A7" s="72" t="s">
        <v>6</v>
      </c>
      <c r="B7" s="77">
        <v>324257293662.39001</v>
      </c>
      <c r="C7" s="1"/>
    </row>
    <row r="8" spans="1:3">
      <c r="A8" s="72" t="s">
        <v>2</v>
      </c>
      <c r="B8" s="76">
        <v>329523427075.08801</v>
      </c>
      <c r="C8" s="1"/>
    </row>
    <row r="9" spans="1:3">
      <c r="A9" s="72" t="s">
        <v>1</v>
      </c>
      <c r="B9" s="78">
        <v>749900598862.70996</v>
      </c>
      <c r="C9" s="1"/>
    </row>
    <row r="10" spans="1:3">
      <c r="A10" s="1"/>
      <c r="B10" s="1"/>
      <c r="C10" s="1"/>
    </row>
    <row r="11" spans="1:3" ht="16.5">
      <c r="A11" s="79"/>
      <c r="B11" s="1"/>
      <c r="C11" s="1"/>
    </row>
    <row r="12" spans="1:3">
      <c r="A12" s="80">
        <v>18395824731.344002</v>
      </c>
      <c r="B12" s="1"/>
      <c r="C12" s="1"/>
    </row>
    <row r="13" spans="1:3" ht="15.75" customHeight="1">
      <c r="A13" s="81">
        <v>3211014587.77</v>
      </c>
      <c r="B13" s="82"/>
      <c r="C13" s="1"/>
    </row>
    <row r="14" spans="1:3">
      <c r="A14" s="83">
        <v>25485626359.523201</v>
      </c>
      <c r="B14" s="82"/>
      <c r="C14" s="1"/>
    </row>
    <row r="15" spans="1:3">
      <c r="A15" s="83">
        <v>33483827699.669998</v>
      </c>
      <c r="B15" s="82"/>
      <c r="C15" s="1"/>
    </row>
    <row r="16" spans="1:3">
      <c r="A16" s="84">
        <v>92979365311.570007</v>
      </c>
      <c r="B16" s="82"/>
      <c r="C16" s="1"/>
    </row>
    <row r="17" spans="1:17">
      <c r="A17" s="84">
        <v>324257293662.39001</v>
      </c>
      <c r="B17" s="82"/>
      <c r="C17" s="1"/>
    </row>
    <row r="18" spans="1:17">
      <c r="A18" s="83">
        <v>329523427075.08801</v>
      </c>
      <c r="B18" s="82"/>
      <c r="C18" s="1"/>
    </row>
    <row r="19" spans="1:17" ht="15" customHeight="1">
      <c r="A19" s="68">
        <v>749900598862.70996</v>
      </c>
      <c r="B19" s="82"/>
      <c r="C19" s="1"/>
    </row>
    <row r="20" spans="1:17" ht="16.5">
      <c r="A20" s="85"/>
      <c r="B20" s="82"/>
      <c r="C20" s="1"/>
    </row>
    <row r="21" spans="1:17" ht="16.5">
      <c r="A21" s="69"/>
      <c r="B21" s="86"/>
      <c r="C21" s="1"/>
    </row>
    <row r="22" spans="1:17" ht="16.5">
      <c r="B22" s="4"/>
    </row>
    <row r="32" spans="1:17" ht="16.5" customHeight="1">
      <c r="A32" s="134" t="s">
        <v>205</v>
      </c>
      <c r="B32" s="134"/>
      <c r="C32" s="134"/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4"/>
      <c r="O32" s="134"/>
      <c r="P32" s="134"/>
      <c r="Q32" s="3"/>
    </row>
    <row r="33" spans="1:17" ht="15" customHeight="1">
      <c r="A33" s="134"/>
      <c r="B33" s="134"/>
      <c r="C33" s="134"/>
      <c r="D33" s="134"/>
      <c r="E33" s="134"/>
      <c r="F33" s="134"/>
      <c r="G33" s="134"/>
      <c r="H33" s="134"/>
      <c r="I33" s="134"/>
      <c r="J33" s="134"/>
      <c r="K33" s="134"/>
      <c r="L33" s="134"/>
      <c r="M33" s="134"/>
      <c r="N33" s="134"/>
      <c r="O33" s="134"/>
      <c r="P33" s="134"/>
      <c r="Q33" s="3"/>
    </row>
  </sheetData>
  <sheetProtection algorithmName="SHA-512" hashValue="qgOtGxkmpxVBPM0xp6j57tnHbIIEOuIrafqldc226qRoS5540RfYt81sGzeRnidwZBNP8ovdCbvcb8Q495Le5w==" saltValue="cOlWr5pa/TrA5bTW0JhwaQ==" spinCount="100000" sheet="1" objects="1" scenarios="1"/>
  <sortState xmlns:xlrd2="http://schemas.microsoft.com/office/spreadsheetml/2017/richdata2" ref="A13:A19">
    <sortCondition ref="A12:A19"/>
  </sortState>
  <mergeCells count="1">
    <mergeCell ref="A32:P33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80FCE2-DF19-46A7-82E6-668A9D444BD6}">
  <dimension ref="A4:B15"/>
  <sheetViews>
    <sheetView workbookViewId="0">
      <selection activeCell="G3" sqref="G3"/>
    </sheetView>
  </sheetViews>
  <sheetFormatPr defaultRowHeight="15"/>
  <cols>
    <col min="1" max="1" width="34.7109375" customWidth="1"/>
    <col min="2" max="2" width="15" customWidth="1"/>
  </cols>
  <sheetData>
    <row r="4" spans="1:2">
      <c r="A4" s="1"/>
      <c r="B4" s="1"/>
    </row>
    <row r="5" spans="1:2" ht="15.75">
      <c r="A5" s="66" t="s">
        <v>5</v>
      </c>
      <c r="B5" s="87" t="s">
        <v>9</v>
      </c>
    </row>
    <row r="6" spans="1:2" ht="16.5">
      <c r="A6" s="79" t="s">
        <v>0</v>
      </c>
      <c r="B6" s="88">
        <v>40812</v>
      </c>
    </row>
    <row r="7" spans="1:2" ht="16.5">
      <c r="A7" s="79" t="s">
        <v>1</v>
      </c>
      <c r="B7" s="88">
        <v>271559</v>
      </c>
    </row>
    <row r="8" spans="1:2" ht="16.5">
      <c r="A8" s="79" t="s">
        <v>6</v>
      </c>
      <c r="B8" s="88">
        <v>50142</v>
      </c>
    </row>
    <row r="9" spans="1:2" ht="16.5">
      <c r="A9" s="79" t="s">
        <v>2</v>
      </c>
      <c r="B9" s="88">
        <v>11055</v>
      </c>
    </row>
    <row r="10" spans="1:2" ht="16.5">
      <c r="A10" s="79" t="s">
        <v>7</v>
      </c>
      <c r="B10" s="88">
        <v>37324</v>
      </c>
    </row>
    <row r="11" spans="1:2" ht="16.5">
      <c r="A11" s="79" t="s">
        <v>3</v>
      </c>
      <c r="B11" s="88">
        <v>47945</v>
      </c>
    </row>
    <row r="12" spans="1:2" ht="16.5">
      <c r="A12" s="79" t="s">
        <v>4</v>
      </c>
      <c r="B12" s="88">
        <v>11067</v>
      </c>
    </row>
    <row r="13" spans="1:2" ht="16.5">
      <c r="A13" s="79" t="s">
        <v>8</v>
      </c>
      <c r="B13" s="88">
        <v>33383</v>
      </c>
    </row>
    <row r="14" spans="1:2">
      <c r="A14" s="1"/>
      <c r="B14" s="1"/>
    </row>
    <row r="15" spans="1:2">
      <c r="A15" s="1"/>
      <c r="B15" s="1"/>
    </row>
  </sheetData>
  <sheetProtection algorithmName="SHA-512" hashValue="gvj90Cbzxc8m7DqSjacEHDnpTKjRbuIUR81MPmNRlSbDK8mb25XFzt1XzH+VJMQc7NHiRQvS1hq1Yc3xYbldww==" saltValue="+NRRdVkDz2QZTeCCe7M4Jw==" spinCount="100000" sheet="1" objects="1" scenarios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May 2023</vt:lpstr>
      <vt:lpstr>NAV Comparison</vt:lpstr>
      <vt:lpstr>Market Share</vt:lpstr>
      <vt:lpstr>Unitholders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 RV</dc:creator>
  <cp:lastModifiedBy>Isaac, Tunde</cp:lastModifiedBy>
  <dcterms:created xsi:type="dcterms:W3CDTF">2023-10-09T09:40:10Z</dcterms:created>
  <dcterms:modified xsi:type="dcterms:W3CDTF">2024-05-09T10:08:53Z</dcterms:modified>
</cp:coreProperties>
</file>