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Monthly Spreadsheet of Mutual Funds\Monthly Mutal Fund Updates 2023\"/>
    </mc:Choice>
  </mc:AlternateContent>
  <xr:revisionPtr revIDLastSave="0" documentId="13_ncr:1_{7DFB20F8-4548-4630-9EF0-9E847A3D10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cember 2023" sheetId="7" r:id="rId1"/>
    <sheet name="NAV Comparison" sheetId="2" r:id="rId2"/>
    <sheet name="Market Share" sheetId="3" r:id="rId3"/>
    <sheet name="Unitholders" sheetId="6" r:id="rId4"/>
  </sheets>
  <calcPr calcId="181029"/>
</workbook>
</file>

<file path=xl/calcChain.xml><?xml version="1.0" encoding="utf-8"?>
<calcChain xmlns="http://schemas.openxmlformats.org/spreadsheetml/2006/main">
  <c r="M163" i="7" l="1"/>
  <c r="N163" i="7"/>
  <c r="O163" i="7"/>
  <c r="P163" i="7"/>
  <c r="M164" i="7"/>
  <c r="N164" i="7"/>
  <c r="O164" i="7"/>
  <c r="P164" i="7"/>
  <c r="M165" i="7"/>
  <c r="N165" i="7"/>
  <c r="O165" i="7"/>
  <c r="P165" i="7"/>
  <c r="M166" i="7"/>
  <c r="N166" i="7"/>
  <c r="O166" i="7"/>
  <c r="P166" i="7"/>
  <c r="M167" i="7"/>
  <c r="N167" i="7"/>
  <c r="O167" i="7"/>
  <c r="P167" i="7"/>
  <c r="M168" i="7"/>
  <c r="N168" i="7"/>
  <c r="O168" i="7"/>
  <c r="P168" i="7"/>
  <c r="M169" i="7"/>
  <c r="N169" i="7"/>
  <c r="O169" i="7"/>
  <c r="P169" i="7"/>
  <c r="M170" i="7"/>
  <c r="N170" i="7"/>
  <c r="O170" i="7"/>
  <c r="P170" i="7"/>
  <c r="M171" i="7"/>
  <c r="N171" i="7"/>
  <c r="O171" i="7"/>
  <c r="P171" i="7"/>
  <c r="M172" i="7"/>
  <c r="N172" i="7"/>
  <c r="O172" i="7"/>
  <c r="P172" i="7"/>
  <c r="M159" i="7"/>
  <c r="N159" i="7"/>
  <c r="O159" i="7"/>
  <c r="P159" i="7"/>
  <c r="M152" i="7"/>
  <c r="N152" i="7"/>
  <c r="O152" i="7"/>
  <c r="P152" i="7"/>
  <c r="M153" i="7"/>
  <c r="N153" i="7"/>
  <c r="O153" i="7"/>
  <c r="P153" i="7"/>
  <c r="M125" i="7"/>
  <c r="N125" i="7"/>
  <c r="O125" i="7"/>
  <c r="P125" i="7"/>
  <c r="M126" i="7"/>
  <c r="N126" i="7"/>
  <c r="O126" i="7"/>
  <c r="P126" i="7"/>
  <c r="M127" i="7"/>
  <c r="N127" i="7"/>
  <c r="O127" i="7"/>
  <c r="P127" i="7"/>
  <c r="M128" i="7"/>
  <c r="N128" i="7"/>
  <c r="O128" i="7"/>
  <c r="P128" i="7"/>
  <c r="M129" i="7"/>
  <c r="N129" i="7"/>
  <c r="O129" i="7"/>
  <c r="P129" i="7"/>
  <c r="M130" i="7"/>
  <c r="N130" i="7"/>
  <c r="O130" i="7"/>
  <c r="P130" i="7"/>
  <c r="M131" i="7"/>
  <c r="N131" i="7"/>
  <c r="O131" i="7"/>
  <c r="P131" i="7"/>
  <c r="M132" i="7"/>
  <c r="N132" i="7"/>
  <c r="O132" i="7"/>
  <c r="P132" i="7"/>
  <c r="M133" i="7"/>
  <c r="N133" i="7"/>
  <c r="O133" i="7"/>
  <c r="P133" i="7"/>
  <c r="M134" i="7"/>
  <c r="N134" i="7"/>
  <c r="O134" i="7"/>
  <c r="P134" i="7"/>
  <c r="M135" i="7"/>
  <c r="N135" i="7"/>
  <c r="O135" i="7"/>
  <c r="P135" i="7"/>
  <c r="M136" i="7"/>
  <c r="N136" i="7"/>
  <c r="O136" i="7"/>
  <c r="P136" i="7"/>
  <c r="M137" i="7"/>
  <c r="N137" i="7"/>
  <c r="O137" i="7"/>
  <c r="P137" i="7"/>
  <c r="M138" i="7"/>
  <c r="N138" i="7"/>
  <c r="O138" i="7"/>
  <c r="P138" i="7"/>
  <c r="M139" i="7"/>
  <c r="N139" i="7"/>
  <c r="O139" i="7"/>
  <c r="P139" i="7"/>
  <c r="M140" i="7"/>
  <c r="N140" i="7"/>
  <c r="O140" i="7"/>
  <c r="P140" i="7"/>
  <c r="M141" i="7"/>
  <c r="N141" i="7"/>
  <c r="O141" i="7"/>
  <c r="P141" i="7"/>
  <c r="M142" i="7"/>
  <c r="N142" i="7"/>
  <c r="O142" i="7"/>
  <c r="P142" i="7"/>
  <c r="M143" i="7"/>
  <c r="N143" i="7"/>
  <c r="O143" i="7"/>
  <c r="P143" i="7"/>
  <c r="M144" i="7"/>
  <c r="N144" i="7"/>
  <c r="O144" i="7"/>
  <c r="P144" i="7"/>
  <c r="M145" i="7"/>
  <c r="N145" i="7"/>
  <c r="O145" i="7"/>
  <c r="P145" i="7"/>
  <c r="M146" i="7"/>
  <c r="N146" i="7"/>
  <c r="O146" i="7"/>
  <c r="P146" i="7"/>
  <c r="M147" i="7"/>
  <c r="N147" i="7"/>
  <c r="O147" i="7"/>
  <c r="P147" i="7"/>
  <c r="M117" i="7"/>
  <c r="N117" i="7"/>
  <c r="O117" i="7"/>
  <c r="P117" i="7"/>
  <c r="M118" i="7"/>
  <c r="N118" i="7"/>
  <c r="O118" i="7"/>
  <c r="P118" i="7"/>
  <c r="M119" i="7"/>
  <c r="N119" i="7"/>
  <c r="O119" i="7"/>
  <c r="P119" i="7"/>
  <c r="M120" i="7"/>
  <c r="N120" i="7"/>
  <c r="O120" i="7"/>
  <c r="P120" i="7"/>
  <c r="P116" i="7"/>
  <c r="O116" i="7"/>
  <c r="N116" i="7"/>
  <c r="M116" i="7"/>
  <c r="O107" i="7"/>
  <c r="O108" i="7"/>
  <c r="M111" i="7"/>
  <c r="N111" i="7"/>
  <c r="O111" i="7"/>
  <c r="P111" i="7"/>
  <c r="O91" i="7"/>
  <c r="M93" i="7"/>
  <c r="N93" i="7"/>
  <c r="O93" i="7"/>
  <c r="P93" i="7"/>
  <c r="M94" i="7"/>
  <c r="N94" i="7"/>
  <c r="O94" i="7"/>
  <c r="P94" i="7"/>
  <c r="M95" i="7"/>
  <c r="N95" i="7"/>
  <c r="O95" i="7"/>
  <c r="P95" i="7"/>
  <c r="M100" i="7"/>
  <c r="N100" i="7"/>
  <c r="O100" i="7"/>
  <c r="P100" i="7"/>
  <c r="M101" i="7"/>
  <c r="N101" i="7"/>
  <c r="O101" i="7"/>
  <c r="P101" i="7"/>
  <c r="M57" i="7"/>
  <c r="N57" i="7"/>
  <c r="O57" i="7"/>
  <c r="P57" i="7"/>
  <c r="M58" i="7"/>
  <c r="N58" i="7"/>
  <c r="O58" i="7"/>
  <c r="P58" i="7"/>
  <c r="M59" i="7"/>
  <c r="N59" i="7"/>
  <c r="O59" i="7"/>
  <c r="P59" i="7"/>
  <c r="M60" i="7"/>
  <c r="N60" i="7"/>
  <c r="O60" i="7"/>
  <c r="P60" i="7"/>
  <c r="M61" i="7"/>
  <c r="N61" i="7"/>
  <c r="O61" i="7"/>
  <c r="P61" i="7"/>
  <c r="M74" i="7"/>
  <c r="N74" i="7"/>
  <c r="O74" i="7"/>
  <c r="P74" i="7"/>
  <c r="M62" i="7"/>
  <c r="N62" i="7"/>
  <c r="O62" i="7"/>
  <c r="P62" i="7"/>
  <c r="M63" i="7"/>
  <c r="N63" i="7"/>
  <c r="O63" i="7"/>
  <c r="P63" i="7"/>
  <c r="M64" i="7"/>
  <c r="N64" i="7"/>
  <c r="O64" i="7"/>
  <c r="P64" i="7"/>
  <c r="M65" i="7"/>
  <c r="N65" i="7"/>
  <c r="O65" i="7"/>
  <c r="P65" i="7"/>
  <c r="M66" i="7"/>
  <c r="N66" i="7"/>
  <c r="O66" i="7"/>
  <c r="P66" i="7"/>
  <c r="M67" i="7"/>
  <c r="N67" i="7"/>
  <c r="O67" i="7"/>
  <c r="P67" i="7"/>
  <c r="M68" i="7"/>
  <c r="N68" i="7"/>
  <c r="O68" i="7"/>
  <c r="P68" i="7"/>
  <c r="M69" i="7"/>
  <c r="N69" i="7"/>
  <c r="O69" i="7"/>
  <c r="P69" i="7"/>
  <c r="M70" i="7"/>
  <c r="N70" i="7"/>
  <c r="O70" i="7"/>
  <c r="P70" i="7"/>
  <c r="M72" i="7"/>
  <c r="N72" i="7"/>
  <c r="O72" i="7"/>
  <c r="P72" i="7"/>
  <c r="M73" i="7"/>
  <c r="N73" i="7"/>
  <c r="O73" i="7"/>
  <c r="P73" i="7"/>
  <c r="M75" i="7"/>
  <c r="N75" i="7"/>
  <c r="O75" i="7"/>
  <c r="P75" i="7"/>
  <c r="M76" i="7"/>
  <c r="N76" i="7"/>
  <c r="O76" i="7"/>
  <c r="P76" i="7"/>
  <c r="M77" i="7"/>
  <c r="N77" i="7"/>
  <c r="O77" i="7"/>
  <c r="P77" i="7"/>
  <c r="M78" i="7"/>
  <c r="N78" i="7"/>
  <c r="O78" i="7"/>
  <c r="P78" i="7"/>
  <c r="M79" i="7"/>
  <c r="N79" i="7"/>
  <c r="O79" i="7"/>
  <c r="P79" i="7"/>
  <c r="M80" i="7"/>
  <c r="N80" i="7"/>
  <c r="O80" i="7"/>
  <c r="P80" i="7"/>
  <c r="M81" i="7"/>
  <c r="N81" i="7"/>
  <c r="O81" i="7"/>
  <c r="P81" i="7"/>
  <c r="M82" i="7"/>
  <c r="N82" i="7"/>
  <c r="O82" i="7"/>
  <c r="P82" i="7"/>
  <c r="M83" i="7"/>
  <c r="N83" i="7"/>
  <c r="O83" i="7"/>
  <c r="P83" i="7"/>
  <c r="M84" i="7"/>
  <c r="N84" i="7"/>
  <c r="O84" i="7"/>
  <c r="P84" i="7"/>
  <c r="M71" i="7"/>
  <c r="N71" i="7"/>
  <c r="O71" i="7"/>
  <c r="P71" i="7"/>
  <c r="M85" i="7"/>
  <c r="N85" i="7"/>
  <c r="O85" i="7"/>
  <c r="P85" i="7"/>
  <c r="M25" i="7"/>
  <c r="N25" i="7"/>
  <c r="O25" i="7"/>
  <c r="P25" i="7"/>
  <c r="M26" i="7"/>
  <c r="N26" i="7"/>
  <c r="O26" i="7"/>
  <c r="P26" i="7"/>
  <c r="M27" i="7"/>
  <c r="N27" i="7"/>
  <c r="O27" i="7"/>
  <c r="P27" i="7"/>
  <c r="M28" i="7"/>
  <c r="N28" i="7"/>
  <c r="O28" i="7"/>
  <c r="P28" i="7"/>
  <c r="M29" i="7"/>
  <c r="N29" i="7"/>
  <c r="O29" i="7"/>
  <c r="P29" i="7"/>
  <c r="M30" i="7"/>
  <c r="N30" i="7"/>
  <c r="O30" i="7"/>
  <c r="P30" i="7"/>
  <c r="M31" i="7"/>
  <c r="N31" i="7"/>
  <c r="O31" i="7"/>
  <c r="P31" i="7"/>
  <c r="M32" i="7"/>
  <c r="N32" i="7"/>
  <c r="O32" i="7"/>
  <c r="P32" i="7"/>
  <c r="M33" i="7"/>
  <c r="N33" i="7"/>
  <c r="O33" i="7"/>
  <c r="P33" i="7"/>
  <c r="M34" i="7"/>
  <c r="N34" i="7"/>
  <c r="O34" i="7"/>
  <c r="P34" i="7"/>
  <c r="M35" i="7"/>
  <c r="N35" i="7"/>
  <c r="O35" i="7"/>
  <c r="P35" i="7"/>
  <c r="M36" i="7"/>
  <c r="N36" i="7"/>
  <c r="O36" i="7"/>
  <c r="P36" i="7"/>
  <c r="M37" i="7"/>
  <c r="N37" i="7"/>
  <c r="O37" i="7"/>
  <c r="P37" i="7"/>
  <c r="M38" i="7"/>
  <c r="N38" i="7"/>
  <c r="O38" i="7"/>
  <c r="P38" i="7"/>
  <c r="M39" i="7"/>
  <c r="N39" i="7"/>
  <c r="O39" i="7"/>
  <c r="P39" i="7"/>
  <c r="M40" i="7"/>
  <c r="N40" i="7"/>
  <c r="O40" i="7"/>
  <c r="P40" i="7"/>
  <c r="M41" i="7"/>
  <c r="N41" i="7"/>
  <c r="O41" i="7"/>
  <c r="P41" i="7"/>
  <c r="M42" i="7"/>
  <c r="N42" i="7"/>
  <c r="O42" i="7"/>
  <c r="P42" i="7"/>
  <c r="M43" i="7"/>
  <c r="N43" i="7"/>
  <c r="O43" i="7"/>
  <c r="P43" i="7"/>
  <c r="M44" i="7"/>
  <c r="N44" i="7"/>
  <c r="O44" i="7"/>
  <c r="P44" i="7"/>
  <c r="M45" i="7"/>
  <c r="N45" i="7"/>
  <c r="O45" i="7"/>
  <c r="P45" i="7"/>
  <c r="M46" i="7"/>
  <c r="N46" i="7"/>
  <c r="O46" i="7"/>
  <c r="P46" i="7"/>
  <c r="M47" i="7"/>
  <c r="N47" i="7"/>
  <c r="O47" i="7"/>
  <c r="P47" i="7"/>
  <c r="M48" i="7"/>
  <c r="N48" i="7"/>
  <c r="O48" i="7"/>
  <c r="P48" i="7"/>
  <c r="M49" i="7"/>
  <c r="N49" i="7"/>
  <c r="O49" i="7"/>
  <c r="P49" i="7"/>
  <c r="M50" i="7"/>
  <c r="N50" i="7"/>
  <c r="O50" i="7"/>
  <c r="P50" i="7"/>
  <c r="M51" i="7"/>
  <c r="N51" i="7"/>
  <c r="O51" i="7"/>
  <c r="P51" i="7"/>
  <c r="M52" i="7"/>
  <c r="N52" i="7"/>
  <c r="O52" i="7"/>
  <c r="P52" i="7"/>
  <c r="M6" i="7"/>
  <c r="N6" i="7"/>
  <c r="O6" i="7"/>
  <c r="P6" i="7"/>
  <c r="M7" i="7"/>
  <c r="N7" i="7"/>
  <c r="O7" i="7"/>
  <c r="P7" i="7"/>
  <c r="M8" i="7"/>
  <c r="N8" i="7"/>
  <c r="O8" i="7"/>
  <c r="P8" i="7"/>
  <c r="M9" i="7"/>
  <c r="N9" i="7"/>
  <c r="O9" i="7"/>
  <c r="P9" i="7"/>
  <c r="M10" i="7"/>
  <c r="N10" i="7"/>
  <c r="O10" i="7"/>
  <c r="P10" i="7"/>
  <c r="M11" i="7"/>
  <c r="N11" i="7"/>
  <c r="O11" i="7"/>
  <c r="P11" i="7"/>
  <c r="M12" i="7"/>
  <c r="N12" i="7"/>
  <c r="O12" i="7"/>
  <c r="P12" i="7"/>
  <c r="M13" i="7"/>
  <c r="N13" i="7"/>
  <c r="O13" i="7"/>
  <c r="P13" i="7"/>
  <c r="M14" i="7"/>
  <c r="N14" i="7"/>
  <c r="O14" i="7"/>
  <c r="P14" i="7"/>
  <c r="M15" i="7"/>
  <c r="N15" i="7"/>
  <c r="O15" i="7"/>
  <c r="P15" i="7"/>
  <c r="M16" i="7"/>
  <c r="N16" i="7"/>
  <c r="O16" i="7"/>
  <c r="P16" i="7"/>
  <c r="M17" i="7"/>
  <c r="N17" i="7"/>
  <c r="O17" i="7"/>
  <c r="P17" i="7"/>
  <c r="M18" i="7"/>
  <c r="N18" i="7"/>
  <c r="O18" i="7"/>
  <c r="P18" i="7"/>
  <c r="M19" i="7"/>
  <c r="N19" i="7"/>
  <c r="O19" i="7"/>
  <c r="P19" i="7"/>
  <c r="M20" i="7"/>
  <c r="N20" i="7"/>
  <c r="O20" i="7"/>
  <c r="P20" i="7"/>
  <c r="L163" i="7"/>
  <c r="L164" i="7"/>
  <c r="L165" i="7"/>
  <c r="L166" i="7"/>
  <c r="L167" i="7"/>
  <c r="L168" i="7"/>
  <c r="L169" i="7"/>
  <c r="L170" i="7"/>
  <c r="L171" i="7"/>
  <c r="L172" i="7"/>
  <c r="L159" i="7"/>
  <c r="L152" i="7"/>
  <c r="L153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17" i="7"/>
  <c r="L118" i="7"/>
  <c r="L119" i="7"/>
  <c r="L120" i="7"/>
  <c r="L116" i="7"/>
  <c r="L107" i="7"/>
  <c r="L108" i="7"/>
  <c r="L93" i="7"/>
  <c r="L94" i="7"/>
  <c r="L95" i="7"/>
  <c r="L100" i="7"/>
  <c r="L101" i="7"/>
  <c r="L57" i="7"/>
  <c r="L58" i="7"/>
  <c r="L59" i="7"/>
  <c r="L60" i="7"/>
  <c r="L61" i="7"/>
  <c r="L74" i="7"/>
  <c r="L62" i="7"/>
  <c r="L63" i="7"/>
  <c r="L64" i="7"/>
  <c r="L65" i="7"/>
  <c r="L66" i="7"/>
  <c r="L67" i="7"/>
  <c r="L68" i="7"/>
  <c r="L69" i="7"/>
  <c r="L70" i="7"/>
  <c r="L72" i="7"/>
  <c r="L73" i="7"/>
  <c r="L75" i="7"/>
  <c r="L76" i="7"/>
  <c r="L77" i="7"/>
  <c r="L78" i="7"/>
  <c r="L79" i="7"/>
  <c r="L80" i="7"/>
  <c r="L81" i="7"/>
  <c r="L82" i="7"/>
  <c r="L83" i="7"/>
  <c r="L84" i="7"/>
  <c r="L71" i="7"/>
  <c r="L85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R112" i="7"/>
  <c r="Q112" i="7"/>
  <c r="J112" i="7"/>
  <c r="G112" i="7"/>
  <c r="F112" i="7"/>
  <c r="M112" i="7" s="1"/>
  <c r="E112" i="7"/>
  <c r="D112" i="7"/>
  <c r="R110" i="7"/>
  <c r="Q110" i="7"/>
  <c r="J110" i="7"/>
  <c r="G110" i="7"/>
  <c r="F110" i="7"/>
  <c r="M110" i="7" s="1"/>
  <c r="E110" i="7"/>
  <c r="D110" i="7"/>
  <c r="R109" i="7"/>
  <c r="Q109" i="7"/>
  <c r="J109" i="7"/>
  <c r="G109" i="7"/>
  <c r="F109" i="7"/>
  <c r="M109" i="7" s="1"/>
  <c r="E109" i="7"/>
  <c r="D109" i="7"/>
  <c r="G108" i="7"/>
  <c r="F108" i="7"/>
  <c r="M108" i="7" s="1"/>
  <c r="E108" i="7"/>
  <c r="D108" i="7"/>
  <c r="G107" i="7"/>
  <c r="F107" i="7"/>
  <c r="M107" i="7" s="1"/>
  <c r="E107" i="7"/>
  <c r="D107" i="7"/>
  <c r="R106" i="7"/>
  <c r="Q106" i="7"/>
  <c r="J106" i="7"/>
  <c r="G106" i="7"/>
  <c r="F106" i="7"/>
  <c r="M106" i="7" s="1"/>
  <c r="E106" i="7"/>
  <c r="D106" i="7"/>
  <c r="R105" i="7"/>
  <c r="Q105" i="7"/>
  <c r="J105" i="7"/>
  <c r="G105" i="7"/>
  <c r="F105" i="7"/>
  <c r="M105" i="7" s="1"/>
  <c r="E105" i="7"/>
  <c r="D105" i="7"/>
  <c r="R104" i="7"/>
  <c r="Q104" i="7"/>
  <c r="J104" i="7"/>
  <c r="G104" i="7"/>
  <c r="F104" i="7"/>
  <c r="E104" i="7"/>
  <c r="D104" i="7"/>
  <c r="R99" i="7"/>
  <c r="Q99" i="7"/>
  <c r="J99" i="7"/>
  <c r="G99" i="7"/>
  <c r="F99" i="7"/>
  <c r="M99" i="7" s="1"/>
  <c r="E99" i="7"/>
  <c r="D99" i="7"/>
  <c r="R98" i="7"/>
  <c r="Q98" i="7"/>
  <c r="J98" i="7"/>
  <c r="H98" i="7"/>
  <c r="G98" i="7"/>
  <c r="F98" i="7"/>
  <c r="M98" i="7" s="1"/>
  <c r="E98" i="7"/>
  <c r="D98" i="7"/>
  <c r="R97" i="7"/>
  <c r="Q97" i="7"/>
  <c r="J97" i="7"/>
  <c r="G97" i="7"/>
  <c r="F97" i="7"/>
  <c r="M97" i="7" s="1"/>
  <c r="E97" i="7"/>
  <c r="D97" i="7"/>
  <c r="R96" i="7"/>
  <c r="Q96" i="7"/>
  <c r="J96" i="7"/>
  <c r="G96" i="7"/>
  <c r="F96" i="7"/>
  <c r="M96" i="7" s="1"/>
  <c r="D96" i="7"/>
  <c r="R93" i="7"/>
  <c r="Q93" i="7"/>
  <c r="R92" i="7"/>
  <c r="Q92" i="7"/>
  <c r="J92" i="7"/>
  <c r="G92" i="7"/>
  <c r="F92" i="7"/>
  <c r="M92" i="7" s="1"/>
  <c r="E92" i="7"/>
  <c r="D92" i="7"/>
  <c r="G91" i="7"/>
  <c r="F91" i="7"/>
  <c r="M91" i="7" s="1"/>
  <c r="D91" i="7"/>
  <c r="E91" i="7"/>
  <c r="S129" i="7"/>
  <c r="H112" i="7"/>
  <c r="H111" i="7"/>
  <c r="H110" i="7"/>
  <c r="H105" i="7"/>
  <c r="H104" i="7"/>
  <c r="H99" i="7"/>
  <c r="H96" i="7"/>
  <c r="H91" i="7"/>
  <c r="L91" i="7" l="1"/>
  <c r="L111" i="7"/>
  <c r="N91" i="7"/>
  <c r="P91" i="7"/>
  <c r="N92" i="7"/>
  <c r="P92" i="7"/>
  <c r="O92" i="7"/>
  <c r="L92" i="7"/>
  <c r="N96" i="7"/>
  <c r="P96" i="7"/>
  <c r="O96" i="7"/>
  <c r="L96" i="7"/>
  <c r="N97" i="7"/>
  <c r="P97" i="7"/>
  <c r="O97" i="7"/>
  <c r="L97" i="7"/>
  <c r="N98" i="7"/>
  <c r="P98" i="7"/>
  <c r="O98" i="7"/>
  <c r="L98" i="7"/>
  <c r="N99" i="7"/>
  <c r="P99" i="7"/>
  <c r="O99" i="7"/>
  <c r="L99" i="7"/>
  <c r="N105" i="7"/>
  <c r="P105" i="7"/>
  <c r="O105" i="7"/>
  <c r="L105" i="7"/>
  <c r="N106" i="7"/>
  <c r="P106" i="7"/>
  <c r="O106" i="7"/>
  <c r="L106" i="7"/>
  <c r="N107" i="7"/>
  <c r="P107" i="7"/>
  <c r="N108" i="7"/>
  <c r="P108" i="7"/>
  <c r="N109" i="7"/>
  <c r="P109" i="7"/>
  <c r="O109" i="7"/>
  <c r="L109" i="7"/>
  <c r="N110" i="7"/>
  <c r="P110" i="7"/>
  <c r="O110" i="7"/>
  <c r="L110" i="7"/>
  <c r="N112" i="7"/>
  <c r="P112" i="7"/>
  <c r="O112" i="7"/>
  <c r="L112" i="7"/>
  <c r="R90" i="7"/>
  <c r="Q90" i="7"/>
  <c r="R94" i="7" l="1"/>
  <c r="Q94" i="7"/>
  <c r="R95" i="7" l="1"/>
  <c r="Q95" i="7"/>
  <c r="S173" i="7" l="1"/>
  <c r="B13" i="6" s="1"/>
  <c r="J173" i="7"/>
  <c r="H173" i="7"/>
  <c r="P162" i="7"/>
  <c r="O162" i="7"/>
  <c r="N162" i="7"/>
  <c r="M162" i="7"/>
  <c r="L162" i="7"/>
  <c r="I162" i="7"/>
  <c r="P158" i="7"/>
  <c r="O158" i="7"/>
  <c r="N158" i="7"/>
  <c r="M158" i="7"/>
  <c r="L158" i="7"/>
  <c r="I158" i="7"/>
  <c r="S154" i="7"/>
  <c r="J154" i="7"/>
  <c r="H154" i="7"/>
  <c r="P151" i="7"/>
  <c r="O151" i="7"/>
  <c r="N151" i="7"/>
  <c r="M151" i="7"/>
  <c r="L151" i="7"/>
  <c r="S148" i="7"/>
  <c r="B11" i="6" s="1"/>
  <c r="J148" i="7"/>
  <c r="H148" i="7"/>
  <c r="P124" i="7"/>
  <c r="O124" i="7"/>
  <c r="N124" i="7"/>
  <c r="M124" i="7"/>
  <c r="L124" i="7"/>
  <c r="S121" i="7"/>
  <c r="B10" i="6" s="1"/>
  <c r="J121" i="7"/>
  <c r="H121" i="7"/>
  <c r="S113" i="7"/>
  <c r="B9" i="6" s="1"/>
  <c r="P104" i="7"/>
  <c r="P90" i="7"/>
  <c r="O90" i="7"/>
  <c r="N90" i="7"/>
  <c r="M90" i="7"/>
  <c r="L90" i="7"/>
  <c r="S86" i="7"/>
  <c r="B8" i="6" s="1"/>
  <c r="J86" i="7"/>
  <c r="H86" i="7"/>
  <c r="P56" i="7"/>
  <c r="O56" i="7"/>
  <c r="N56" i="7"/>
  <c r="M56" i="7"/>
  <c r="L56" i="7"/>
  <c r="S53" i="7"/>
  <c r="B7" i="6" s="1"/>
  <c r="H53" i="7"/>
  <c r="P24" i="7"/>
  <c r="O24" i="7"/>
  <c r="N24" i="7"/>
  <c r="M24" i="7"/>
  <c r="L24" i="7"/>
  <c r="S21" i="7"/>
  <c r="B6" i="6" s="1"/>
  <c r="J21" i="7"/>
  <c r="H21" i="7"/>
  <c r="P5" i="7"/>
  <c r="O5" i="7"/>
  <c r="N5" i="7"/>
  <c r="M5" i="7"/>
  <c r="L5" i="7"/>
  <c r="I6" i="7" l="1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B3" i="3"/>
  <c r="D5" i="2"/>
  <c r="L21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7" i="7"/>
  <c r="I58" i="7"/>
  <c r="I59" i="7"/>
  <c r="I60" i="7"/>
  <c r="I61" i="7"/>
  <c r="I74" i="7"/>
  <c r="I62" i="7"/>
  <c r="I63" i="7"/>
  <c r="I64" i="7"/>
  <c r="I65" i="7"/>
  <c r="I66" i="7"/>
  <c r="I67" i="7"/>
  <c r="I68" i="7"/>
  <c r="I69" i="7"/>
  <c r="I70" i="7"/>
  <c r="I72" i="7"/>
  <c r="I73" i="7"/>
  <c r="I75" i="7"/>
  <c r="I76" i="7"/>
  <c r="I77" i="7"/>
  <c r="I78" i="7"/>
  <c r="I79" i="7"/>
  <c r="I80" i="7"/>
  <c r="I81" i="7"/>
  <c r="I82" i="7"/>
  <c r="I83" i="7"/>
  <c r="I84" i="7"/>
  <c r="I71" i="7"/>
  <c r="I85" i="7"/>
  <c r="B7" i="3"/>
  <c r="D7" i="2"/>
  <c r="L86" i="7"/>
  <c r="K57" i="7"/>
  <c r="K58" i="7"/>
  <c r="K59" i="7"/>
  <c r="K60" i="7"/>
  <c r="K61" i="7"/>
  <c r="K74" i="7"/>
  <c r="K62" i="7"/>
  <c r="K63" i="7"/>
  <c r="K64" i="7"/>
  <c r="K65" i="7"/>
  <c r="K66" i="7"/>
  <c r="K67" i="7"/>
  <c r="K68" i="7"/>
  <c r="K69" i="7"/>
  <c r="K70" i="7"/>
  <c r="K72" i="7"/>
  <c r="K73" i="7"/>
  <c r="K75" i="7"/>
  <c r="K76" i="7"/>
  <c r="K77" i="7"/>
  <c r="K78" i="7"/>
  <c r="K79" i="7"/>
  <c r="K80" i="7"/>
  <c r="K81" i="7"/>
  <c r="K82" i="7"/>
  <c r="K83" i="7"/>
  <c r="K84" i="7"/>
  <c r="K71" i="7"/>
  <c r="K85" i="7"/>
  <c r="I117" i="7"/>
  <c r="I118" i="7"/>
  <c r="I119" i="7"/>
  <c r="I120" i="7"/>
  <c r="I116" i="7"/>
  <c r="B6" i="3"/>
  <c r="D9" i="2"/>
  <c r="L121" i="7"/>
  <c r="K117" i="7"/>
  <c r="K118" i="7"/>
  <c r="K119" i="7"/>
  <c r="K120" i="7"/>
  <c r="K116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B4" i="3"/>
  <c r="D10" i="2"/>
  <c r="L148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I152" i="7"/>
  <c r="I153" i="7"/>
  <c r="B2" i="3"/>
  <c r="D11" i="2"/>
  <c r="L154" i="7"/>
  <c r="K152" i="7"/>
  <c r="K153" i="7"/>
  <c r="I163" i="7"/>
  <c r="I164" i="7"/>
  <c r="I165" i="7"/>
  <c r="I166" i="7"/>
  <c r="I167" i="7"/>
  <c r="I168" i="7"/>
  <c r="I169" i="7"/>
  <c r="I170" i="7"/>
  <c r="I171" i="7"/>
  <c r="I172" i="7"/>
  <c r="I159" i="7"/>
  <c r="B5" i="3"/>
  <c r="D12" i="2"/>
  <c r="L173" i="7"/>
  <c r="K163" i="7"/>
  <c r="K164" i="7"/>
  <c r="K165" i="7"/>
  <c r="K166" i="7"/>
  <c r="K167" i="7"/>
  <c r="K168" i="7"/>
  <c r="K169" i="7"/>
  <c r="K170" i="7"/>
  <c r="K171" i="7"/>
  <c r="K172" i="7"/>
  <c r="K159" i="7"/>
  <c r="I5" i="7"/>
  <c r="I24" i="7"/>
  <c r="I124" i="7"/>
  <c r="K162" i="7"/>
  <c r="K158" i="7"/>
  <c r="K124" i="7"/>
  <c r="I56" i="7"/>
  <c r="K56" i="7"/>
  <c r="H113" i="7"/>
  <c r="O104" i="7"/>
  <c r="N104" i="7"/>
  <c r="K5" i="7"/>
  <c r="S174" i="7"/>
  <c r="J113" i="7"/>
  <c r="M104" i="7"/>
  <c r="L104" i="7"/>
  <c r="K151" i="7"/>
  <c r="I151" i="7"/>
  <c r="B8" i="3" l="1"/>
  <c r="D8" i="2"/>
  <c r="L113" i="7"/>
  <c r="K107" i="7"/>
  <c r="K108" i="7"/>
  <c r="K111" i="7"/>
  <c r="K91" i="7"/>
  <c r="K93" i="7"/>
  <c r="K94" i="7"/>
  <c r="K95" i="7"/>
  <c r="K100" i="7"/>
  <c r="K101" i="7"/>
  <c r="K92" i="7"/>
  <c r="K96" i="7"/>
  <c r="K97" i="7"/>
  <c r="K98" i="7"/>
  <c r="K99" i="7"/>
  <c r="K105" i="7"/>
  <c r="K106" i="7"/>
  <c r="K109" i="7"/>
  <c r="K110" i="7"/>
  <c r="K112" i="7"/>
  <c r="I106" i="7"/>
  <c r="I107" i="7"/>
  <c r="I108" i="7"/>
  <c r="I109" i="7"/>
  <c r="I92" i="7"/>
  <c r="I93" i="7"/>
  <c r="I94" i="7"/>
  <c r="I95" i="7"/>
  <c r="I97" i="7"/>
  <c r="I100" i="7"/>
  <c r="I101" i="7"/>
  <c r="I91" i="7"/>
  <c r="I96" i="7"/>
  <c r="I99" i="7"/>
  <c r="I105" i="7"/>
  <c r="I110" i="7"/>
  <c r="I111" i="7"/>
  <c r="I112" i="7"/>
  <c r="I98" i="7"/>
  <c r="J53" i="7"/>
  <c r="I104" i="7"/>
  <c r="I90" i="7"/>
  <c r="K90" i="7"/>
  <c r="K104" i="7"/>
  <c r="H174" i="7"/>
  <c r="I113" i="7" s="1"/>
  <c r="J174" i="7"/>
  <c r="B9" i="3" l="1"/>
  <c r="D6" i="2"/>
  <c r="L53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24" i="7"/>
  <c r="K173" i="7"/>
  <c r="K148" i="7"/>
  <c r="K121" i="7"/>
  <c r="K86" i="7"/>
  <c r="K154" i="7"/>
  <c r="K53" i="7"/>
  <c r="K21" i="7"/>
  <c r="I173" i="7"/>
  <c r="I148" i="7"/>
  <c r="I121" i="7"/>
  <c r="I86" i="7"/>
  <c r="I21" i="7"/>
  <c r="I53" i="7"/>
  <c r="I154" i="7"/>
  <c r="K113" i="7"/>
</calcChain>
</file>

<file path=xl/sharedStrings.xml><?xml version="1.0" encoding="utf-8"?>
<sst xmlns="http://schemas.openxmlformats.org/spreadsheetml/2006/main" count="373" uniqueCount="252">
  <si>
    <t>S/N</t>
  </si>
  <si>
    <t>FUND</t>
  </si>
  <si>
    <t>FUND MANAGER</t>
  </si>
  <si>
    <t>TOTAL VALUE OF INVESTMENT (N)</t>
  </si>
  <si>
    <t>TOTAL INCOME (N)</t>
  </si>
  <si>
    <t>TOTAL EXPENSES (N)</t>
  </si>
  <si>
    <t>NET INCOME/LOSS (N)</t>
  </si>
  <si>
    <t>% ON TOTAL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</si>
  <si>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</si>
  <si>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</si>
  <si>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</si>
  <si>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</si>
  <si>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</si>
  <si>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</si>
  <si>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</si>
  <si>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</si>
  <si>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</si>
  <si>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</si>
  <si>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</si>
  <si>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</si>
  <si>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</si>
  <si>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</si>
  <si>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</si>
  <si>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</si>
  <si>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</si>
  <si>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</si>
  <si>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</si>
  <si>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</si>
  <si>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</si>
  <si>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</si>
  <si>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</si>
  <si>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</si>
  <si>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</si>
  <si>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</si>
  <si>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</si>
  <si>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</si>
  <si>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</si>
  <si>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</si>
  <si>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</si>
  <si>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</si>
  <si>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</si>
  <si>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</si>
  <si>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</si>
  <si>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</si>
  <si>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</si>
  <si>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</si>
  <si>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</si>
  <si>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</si>
  <si>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</si>
  <si>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</si>
  <si>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</si>
  <si>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</si>
  <si>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</si>
  <si>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</si>
  <si>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</si>
  <si>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</si>
  <si>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</si>
  <si>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</si>
  <si>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 xml:space="preserve">AXA Mansard Investments Limited 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</si>
  <si>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</si>
  <si>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</si>
  <si>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</si>
  <si>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</si>
  <si>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</si>
  <si>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</si>
  <si>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</si>
  <si>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</si>
  <si>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</si>
  <si>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</si>
  <si>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</si>
  <si>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</si>
  <si>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</si>
  <si>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</si>
  <si>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</si>
  <si>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</si>
  <si>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</si>
  <si>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</si>
  <si>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</si>
  <si>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</si>
  <si>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</si>
  <si>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</si>
  <si>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</si>
  <si>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</si>
  <si>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</si>
  <si>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</si>
  <si>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</si>
  <si>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</si>
  <si>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</si>
  <si>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</si>
  <si>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</si>
  <si>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</si>
  <si>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</si>
  <si>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</si>
  <si>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</si>
  <si>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</si>
  <si>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</si>
  <si>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</si>
  <si>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</si>
  <si>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</si>
  <si>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</si>
  <si>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</si>
  <si>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</si>
  <si>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</si>
  <si>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</si>
  <si>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</si>
  <si>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</si>
  <si>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</si>
  <si>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</si>
  <si>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</si>
  <si>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</si>
  <si>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</si>
  <si>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</si>
  <si>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</si>
  <si>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</si>
  <si>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</si>
  <si>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</si>
  <si>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</si>
  <si>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</si>
  <si>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</si>
  <si>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</si>
  <si>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</si>
  <si>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</si>
  <si>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</si>
  <si>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</si>
  <si>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</si>
  <si>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</si>
  <si>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</si>
  <si>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</si>
  <si>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</si>
  <si>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</si>
  <si>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</si>
  <si>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</si>
  <si>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</si>
  <si>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</si>
  <si>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</si>
  <si>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</si>
  <si>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</si>
  <si>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</si>
  <si>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</si>
  <si>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</si>
  <si>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</si>
  <si>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</si>
  <si>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</si>
  <si>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 xml:space="preserve">Nigerian Eurobond Fund </t>
  </si>
  <si>
    <t>Norrenberger Dollar Fund</t>
  </si>
  <si>
    <t>Norrenberger Investment &amp; Capital Management Limited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</si>
  <si>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</si>
  <si>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</si>
  <si>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</si>
  <si>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</si>
  <si>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</si>
  <si>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</si>
  <si>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</si>
  <si>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</si>
  <si>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</si>
  <si>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</si>
  <si>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</si>
  <si>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</si>
  <si>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</si>
  <si>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</si>
  <si>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</si>
  <si>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</si>
  <si>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</si>
  <si>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</si>
  <si>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</si>
  <si>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</si>
  <si>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</si>
  <si>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</si>
  <si>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</si>
  <si>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</si>
  <si>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</si>
  <si>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</si>
  <si>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</si>
  <si>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</si>
  <si>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</si>
  <si>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</si>
  <si>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</si>
  <si>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</si>
  <si>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</si>
  <si>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</si>
  <si>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</si>
  <si>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</si>
  <si>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</si>
  <si>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</si>
  <si>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</si>
  <si>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</si>
  <si>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</si>
  <si>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</si>
  <si>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</si>
  <si>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</si>
  <si>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</si>
  <si>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</si>
  <si>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</si>
  <si>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</si>
  <si>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</si>
  <si>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</si>
  <si>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</si>
  <si>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 xml:space="preserve">Capital Trust Investments &amp; Asset Mgt. Ltd 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</si>
  <si>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</si>
  <si>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</si>
  <si>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</si>
  <si>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</si>
  <si>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</si>
  <si>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</si>
  <si>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</si>
  <si>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</si>
  <si>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</si>
  <si>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</si>
  <si>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</si>
  <si>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</si>
  <si>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</si>
  <si>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</si>
  <si>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 xml:space="preserve">      7,353,201.43</t>
  </si>
  <si>
    <t>1,336,080</t>
  </si>
  <si>
    <t xml:space="preserve"> </t>
  </si>
  <si>
    <t>NET ASSET VALUE (N) PREVIOUS - NOVEMBER</t>
  </si>
  <si>
    <t xml:space="preserve">Lead Dollar Fixed Income Fund </t>
  </si>
  <si>
    <t xml:space="preserve">Lead Fixed Income Fund </t>
  </si>
  <si>
    <t>EDC Nigeria Dollar Fund</t>
  </si>
  <si>
    <t xml:space="preserve">Growth and Development Asset Mgt Limited </t>
  </si>
  <si>
    <t>19195216.83</t>
  </si>
  <si>
    <t>MONTHLY UPDATE ON REGISTERED MUTUAL FUNDS AS AT 31ST DECEMBER, 2023</t>
  </si>
  <si>
    <t>Cowry Equity Fund</t>
  </si>
  <si>
    <t>Chapel Hill Denham Money Market Fund</t>
  </si>
  <si>
    <t>Coral Money Market Fund</t>
  </si>
  <si>
    <t>Norrenberger Investment &amp; Capital Mg Ltd</t>
  </si>
  <si>
    <t>Guaranty Trust Fixed Income Fund</t>
  </si>
  <si>
    <t>Cowry Fixed Income Fund</t>
  </si>
  <si>
    <t>FBN Bond Fund</t>
  </si>
  <si>
    <t>Utica Custodian Assured Fixed Income Fund</t>
  </si>
  <si>
    <t>Utica Capital Limited</t>
  </si>
  <si>
    <t>Housing Solution Fund</t>
  </si>
  <si>
    <t>Fundco Capital Managers Limited</t>
  </si>
  <si>
    <t>Cowry Balanced Fund</t>
  </si>
  <si>
    <t>678,430,711.42</t>
  </si>
  <si>
    <t>FSDH Halal Fund</t>
  </si>
  <si>
    <t>Marble Halal Commodities Fund</t>
  </si>
  <si>
    <t>Marble Halal Fixed Income Fund</t>
  </si>
  <si>
    <t>2,177,566,684.09</t>
  </si>
  <si>
    <t>24,391,360.66</t>
  </si>
  <si>
    <t>3,153,272.63</t>
  </si>
  <si>
    <t>24,591,274.69</t>
  </si>
  <si>
    <t>2,173,858,585.36</t>
  </si>
  <si>
    <t>102.44</t>
  </si>
  <si>
    <t>2,149,914,392.74</t>
  </si>
  <si>
    <t>November 2023</t>
  </si>
  <si>
    <t>December 2023</t>
  </si>
  <si>
    <r>
      <t>US$/NG</t>
    </r>
    <r>
      <rPr>
        <strike/>
        <sz val="10"/>
        <color theme="0"/>
        <rFont val="Times New Roman"/>
        <family val="1"/>
      </rPr>
      <t>N</t>
    </r>
    <r>
      <rPr>
        <sz val="10"/>
        <color theme="0"/>
        <rFont val="Times New Roman"/>
        <family val="1"/>
      </rPr>
      <t xml:space="preserve"> CBN Rate as at 31st December, 2023 = N825.494</t>
    </r>
  </si>
  <si>
    <t>October 2023</t>
  </si>
  <si>
    <t>Nigeria Bond Fund</t>
  </si>
  <si>
    <t xml:space="preserve">Marble Capital Limited </t>
  </si>
  <si>
    <t>The chart above shows that the Money Market Fund has the highest share of the Aggregate Net Asset Value (NAV) at 42.09%, followed by Dollar Fund (Eurobonds and Fixed Income) with 33.79%, Bond/Fixed Income Fund with 13.90%,  Real Estate Investment Trust at 4.54%.  Next is Shari'ah Compliant Fund at 2.24%, Balanced Fund at 2.03%, Equity Fund at 1.19% and Ethical Fund at 0.21%.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</si>
</sst>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 &quot;* #,##0.00&quot; &quot;;&quot;-&quot;* #,##0.00&quot; &quot;;&quot; &quot;* &quot;-&quot;??&quot; &quot;"/>
    <numFmt numFmtId="167" formatCode="&quot; &quot;* #,##0&quot; &quot;;&quot;-&quot;* #,##0&quot; &quot;;&quot; &quot;* &quot;-&quot;??&quot; &quot;"/>
    <numFmt numFmtId="168" formatCode="&quot; &quot;* #,##0.00&quot; &quot;;&quot; &quot;* \(#,##0.00\);&quot; &quot;* &quot;-&quot;??&quot; &quot;"/>
    <numFmt numFmtId="169" formatCode="&quot;Yes&quot;;&quot;Yes&quot;;&quot;No&quot;"/>
    <numFmt numFmtId="170" formatCode="[$-409]d\-mmm\-yy;@"/>
    <numFmt numFmtId="171" formatCode="0.00_)"/>
    <numFmt numFmtId="172" formatCode="mmm\-yyyy"/>
    <numFmt numFmtId="173" formatCode="0;[Red]0"/>
    <numFmt numFmtId="174" formatCode="dd/mm/yy;@"/>
  </numFmts>
  <fonts count="6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  <font>
      <sz val="8"/>
      <color theme="0"/>
      <name val="Century Gothic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sz val="10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0"/>
      <name val="Times New Roman"/>
      <family val="1"/>
    </font>
    <font>
      <strike/>
      <sz val="10"/>
      <color theme="0"/>
      <name val="Times New Roman"/>
      <family val="1"/>
    </font>
    <font>
      <sz val="10"/>
      <color indexed="8"/>
      <name val="Arial Narro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i/>
      <sz val="16"/>
      <name val="Helv"/>
    </font>
    <font>
      <b/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10"/>
      <name val="Arial Narrow"/>
      <family val="2"/>
    </font>
    <font>
      <sz val="8"/>
      <name val="Arial Narrow"/>
      <family val="2"/>
    </font>
    <font>
      <sz val="8"/>
      <name val="Century Gothic"/>
      <family val="2"/>
    </font>
    <font>
      <b/>
      <sz val="32"/>
      <color indexed="9"/>
      <name val="Segoe UI Black"/>
      <family val="2"/>
    </font>
    <font>
      <sz val="8"/>
      <color indexed="8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b/>
      <sz val="8"/>
      <color rgb="FF00B050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b/>
      <sz val="8"/>
      <color rgb="FFFF0000"/>
      <name val="Century Gothic"/>
      <family val="2"/>
    </font>
    <font>
      <sz val="8"/>
      <color rgb="FFFF0000"/>
      <name val="Century Gothic"/>
      <family val="2"/>
    </font>
    <font>
      <sz val="8"/>
      <color rgb="FF000000"/>
      <name val="Century Gothic"/>
      <family val="2"/>
    </font>
    <font>
      <sz val="11"/>
      <name val="Calibri"/>
      <family val="2"/>
      <scheme val="minor"/>
    </font>
    <font>
      <b/>
      <sz val="12"/>
      <color theme="0"/>
      <name val="Arial Narrow"/>
      <family val="2"/>
    </font>
    <font>
      <sz val="12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</borders>
  <cellStyleXfs count="503">
    <xf numFmtId="0" fontId="0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4" fillId="0" borderId="0"/>
    <xf numFmtId="9" fontId="12" fillId="0" borderId="0" applyFon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6" applyNumberFormat="0" applyAlignment="0" applyProtection="0"/>
    <xf numFmtId="0" fontId="30" fillId="13" borderId="7" applyNumberFormat="0" applyAlignment="0" applyProtection="0"/>
    <xf numFmtId="0" fontId="31" fillId="13" borderId="6" applyNumberFormat="0" applyAlignment="0" applyProtection="0"/>
    <xf numFmtId="0" fontId="32" fillId="0" borderId="8" applyNumberFormat="0" applyFill="0" applyAlignment="0" applyProtection="0"/>
    <xf numFmtId="0" fontId="4" fillId="14" borderId="9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3" fillId="39" borderId="0" applyNumberFormat="0" applyBorder="0" applyAlignment="0" applyProtection="0"/>
    <xf numFmtId="0" fontId="36" fillId="0" borderId="0"/>
    <xf numFmtId="43" fontId="13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5" fontId="38" fillId="0" borderId="0" applyFont="0" applyFill="0" applyBorder="0" applyAlignment="0" applyProtection="0"/>
    <xf numFmtId="5" fontId="38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1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49" fontId="13" fillId="0" borderId="0"/>
    <xf numFmtId="49" fontId="13" fillId="0" borderId="0"/>
    <xf numFmtId="49" fontId="13" fillId="0" borderId="0"/>
    <xf numFmtId="0" fontId="13" fillId="0" borderId="0"/>
    <xf numFmtId="0" fontId="2" fillId="0" borderId="0"/>
    <xf numFmtId="0" fontId="2" fillId="0" borderId="0"/>
    <xf numFmtId="0" fontId="38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41" fillId="11" borderId="0" applyNumberFormat="0" applyBorder="0" applyAlignment="0" applyProtection="0"/>
    <xf numFmtId="0" fontId="2" fillId="0" borderId="0"/>
    <xf numFmtId="0" fontId="2" fillId="0" borderId="0"/>
    <xf numFmtId="0" fontId="2" fillId="15" borderId="10" applyNumberFormat="0" applyFont="0" applyAlignment="0" applyProtection="0"/>
    <xf numFmtId="0" fontId="2" fillId="0" borderId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5" borderId="10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2" fillId="0" borderId="0"/>
    <xf numFmtId="0" fontId="13" fillId="0" borderId="0"/>
    <xf numFmtId="49" fontId="13" fillId="0" borderId="0"/>
    <xf numFmtId="0" fontId="2" fillId="0" borderId="0"/>
    <xf numFmtId="0" fontId="2" fillId="0" borderId="0"/>
    <xf numFmtId="0" fontId="38" fillId="0" borderId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9" fontId="13" fillId="0" borderId="0" applyFont="0" applyFill="0" applyBorder="0" applyAlignment="0" applyProtection="0"/>
    <xf numFmtId="0" fontId="13" fillId="0" borderId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1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10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10" applyNumberFormat="0" applyFont="0" applyAlignment="0" applyProtection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10" applyNumberFormat="0" applyFont="0" applyAlignment="0" applyProtection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5" borderId="10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1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5" borderId="10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10" applyNumberFormat="0" applyFont="0" applyAlignment="0" applyProtection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10" applyNumberFormat="0" applyFont="0" applyAlignment="0" applyProtection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7" fontId="13" fillId="0" borderId="0"/>
    <xf numFmtId="37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/>
    <xf numFmtId="0" fontId="1" fillId="0" borderId="0"/>
  </cellStyleXfs>
  <cellXfs count="157">
    <xf numFmtId="0" fontId="0" fillId="0" borderId="0" xfId="0"/>
    <xf numFmtId="0" fontId="3" fillId="0" borderId="0" xfId="0" applyFont="1"/>
    <xf numFmtId="43" fontId="3" fillId="0" borderId="0" xfId="3" applyFont="1"/>
    <xf numFmtId="4" fontId="6" fillId="2" borderId="2" xfId="0" applyNumberFormat="1" applyFont="1" applyFill="1" applyBorder="1"/>
    <xf numFmtId="4" fontId="6" fillId="2" borderId="2" xfId="0" applyNumberFormat="1" applyFont="1" applyFill="1" applyBorder="1" applyAlignment="1">
      <alignment horizontal="right"/>
    </xf>
    <xf numFmtId="166" fontId="7" fillId="2" borderId="2" xfId="0" applyNumberFormat="1" applyFont="1" applyFill="1" applyBorder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wrapText="1"/>
    </xf>
    <xf numFmtId="4" fontId="8" fillId="2" borderId="0" xfId="0" applyNumberFormat="1" applyFont="1" applyFill="1"/>
    <xf numFmtId="4" fontId="8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/>
    <xf numFmtId="164" fontId="8" fillId="2" borderId="0" xfId="1" applyFont="1" applyFill="1" applyBorder="1" applyAlignment="1">
      <alignment horizontal="right" vertical="top" wrapText="1"/>
    </xf>
    <xf numFmtId="164" fontId="6" fillId="2" borderId="0" xfId="1" applyFont="1" applyFill="1" applyBorder="1" applyAlignment="1">
      <alignment horizontal="right" vertical="top" wrapText="1"/>
    </xf>
    <xf numFmtId="0" fontId="11" fillId="0" borderId="0" xfId="0" applyFont="1"/>
    <xf numFmtId="0" fontId="15" fillId="0" borderId="0" xfId="0" applyFont="1"/>
    <xf numFmtId="0" fontId="18" fillId="2" borderId="0" xfId="0" applyFont="1" applyFill="1"/>
    <xf numFmtId="0" fontId="15" fillId="2" borderId="0" xfId="0" applyFont="1" applyFill="1"/>
    <xf numFmtId="164" fontId="15" fillId="2" borderId="0" xfId="1" applyFont="1" applyFill="1" applyBorder="1" applyAlignment="1"/>
    <xf numFmtId="0" fontId="19" fillId="7" borderId="0" xfId="0" applyFont="1" applyFill="1" applyAlignment="1">
      <alignment horizontal="right" vertical="center"/>
    </xf>
    <xf numFmtId="0" fontId="19" fillId="7" borderId="0" xfId="0" applyFont="1" applyFill="1" applyAlignment="1">
      <alignment horizontal="left"/>
    </xf>
    <xf numFmtId="0" fontId="21" fillId="2" borderId="0" xfId="0" applyFont="1" applyFill="1"/>
    <xf numFmtId="166" fontId="17" fillId="2" borderId="0" xfId="0" applyNumberFormat="1" applyFont="1" applyFill="1"/>
    <xf numFmtId="168" fontId="17" fillId="2" borderId="0" xfId="0" applyNumberFormat="1" applyFont="1" applyFill="1"/>
    <xf numFmtId="0" fontId="42" fillId="0" borderId="2" xfId="0" applyFont="1" applyBorder="1" applyAlignment="1">
      <alignment horizontal="right"/>
    </xf>
    <xf numFmtId="43" fontId="11" fillId="0" borderId="0" xfId="3" applyFont="1"/>
    <xf numFmtId="4" fontId="43" fillId="2" borderId="2" xfId="0" applyNumberFormat="1" applyFont="1" applyFill="1" applyBorder="1"/>
    <xf numFmtId="164" fontId="44" fillId="2" borderId="2" xfId="1" applyFont="1" applyFill="1" applyBorder="1" applyAlignment="1">
      <alignment horizontal="left"/>
    </xf>
    <xf numFmtId="164" fontId="44" fillId="0" borderId="2" xfId="1" applyFont="1" applyBorder="1"/>
    <xf numFmtId="164" fontId="44" fillId="8" borderId="2" xfId="1" applyFont="1" applyFill="1" applyBorder="1" applyAlignment="1">
      <alignment horizontal="left"/>
    </xf>
    <xf numFmtId="164" fontId="44" fillId="2" borderId="2" xfId="1" applyFont="1" applyFill="1" applyBorder="1"/>
    <xf numFmtId="164" fontId="44" fillId="2" borderId="2" xfId="1" applyFont="1" applyFill="1" applyBorder="1" applyAlignment="1"/>
    <xf numFmtId="164" fontId="44" fillId="8" borderId="2" xfId="1" applyFont="1" applyFill="1" applyBorder="1"/>
    <xf numFmtId="164" fontId="44" fillId="2" borderId="2" xfId="1" applyFont="1" applyFill="1" applyBorder="1" applyAlignment="1">
      <alignment horizontal="right"/>
    </xf>
    <xf numFmtId="164" fontId="44" fillId="2" borderId="2" xfId="1" applyFont="1" applyFill="1" applyBorder="1" applyAlignment="1">
      <alignment wrapText="1"/>
    </xf>
    <xf numFmtId="164" fontId="44" fillId="0" borderId="2" xfId="1" applyFont="1" applyBorder="1" applyAlignment="1">
      <alignment horizontal="right"/>
    </xf>
    <xf numFmtId="164" fontId="44" fillId="2" borderId="2" xfId="1" applyFont="1" applyFill="1" applyBorder="1" applyAlignment="1">
      <alignment horizontal="right" vertical="top" wrapText="1"/>
    </xf>
    <xf numFmtId="49" fontId="16" fillId="5" borderId="2" xfId="0" applyNumberFormat="1" applyFont="1" applyFill="1" applyBorder="1" applyAlignment="1">
      <alignment horizontal="center" vertical="top" wrapText="1"/>
    </xf>
    <xf numFmtId="164" fontId="16" fillId="5" borderId="2" xfId="1" applyFont="1" applyFill="1" applyBorder="1" applyAlignment="1">
      <alignment horizontal="center" vertical="top" wrapText="1"/>
    </xf>
    <xf numFmtId="49" fontId="44" fillId="0" borderId="2" xfId="0" applyNumberFormat="1" applyFont="1" applyBorder="1" applyAlignment="1">
      <alignment horizontal="center"/>
    </xf>
    <xf numFmtId="49" fontId="44" fillId="0" borderId="2" xfId="0" applyNumberFormat="1" applyFont="1" applyBorder="1"/>
    <xf numFmtId="164" fontId="46" fillId="2" borderId="2" xfId="1" applyFont="1" applyFill="1" applyBorder="1" applyAlignment="1"/>
    <xf numFmtId="10" fontId="46" fillId="2" borderId="2" xfId="0" applyNumberFormat="1" applyFont="1" applyFill="1" applyBorder="1" applyAlignment="1">
      <alignment horizontal="center"/>
    </xf>
    <xf numFmtId="10" fontId="47" fillId="6" borderId="2" xfId="0" applyNumberFormat="1" applyFont="1" applyFill="1" applyBorder="1" applyAlignment="1">
      <alignment horizontal="center" vertical="center"/>
    </xf>
    <xf numFmtId="10" fontId="46" fillId="6" borderId="2" xfId="0" applyNumberFormat="1" applyFont="1" applyFill="1" applyBorder="1" applyAlignment="1">
      <alignment horizontal="center" vertical="center"/>
    </xf>
    <xf numFmtId="166" fontId="46" fillId="6" borderId="2" xfId="0" applyNumberFormat="1" applyFont="1" applyFill="1" applyBorder="1" applyAlignment="1">
      <alignment horizontal="right" vertical="center"/>
    </xf>
    <xf numFmtId="164" fontId="46" fillId="2" borderId="2" xfId="1" applyFont="1" applyFill="1" applyBorder="1"/>
    <xf numFmtId="49" fontId="44" fillId="2" borderId="2" xfId="0" applyNumberFormat="1" applyFont="1" applyFill="1" applyBorder="1" applyAlignment="1">
      <alignment horizontal="center"/>
    </xf>
    <xf numFmtId="49" fontId="44" fillId="2" borderId="2" xfId="0" applyNumberFormat="1" applyFont="1" applyFill="1" applyBorder="1"/>
    <xf numFmtId="164" fontId="46" fillId="2" borderId="2" xfId="1" applyFont="1" applyFill="1" applyBorder="1" applyAlignment="1">
      <alignment horizontal="right"/>
    </xf>
    <xf numFmtId="10" fontId="49" fillId="2" borderId="2" xfId="0" applyNumberFormat="1" applyFont="1" applyFill="1" applyBorder="1" applyAlignment="1">
      <alignment horizontal="center"/>
    </xf>
    <xf numFmtId="10" fontId="49" fillId="6" borderId="2" xfId="0" applyNumberFormat="1" applyFont="1" applyFill="1" applyBorder="1" applyAlignment="1">
      <alignment horizontal="center" vertical="center"/>
    </xf>
    <xf numFmtId="166" fontId="49" fillId="6" borderId="2" xfId="0" applyNumberFormat="1" applyFont="1" applyFill="1" applyBorder="1" applyAlignment="1">
      <alignment horizontal="right" vertical="center"/>
    </xf>
    <xf numFmtId="164" fontId="47" fillId="2" borderId="2" xfId="1" applyFont="1" applyFill="1" applyBorder="1"/>
    <xf numFmtId="164" fontId="49" fillId="2" borderId="2" xfId="1" applyFont="1" applyFill="1" applyBorder="1"/>
    <xf numFmtId="166" fontId="46" fillId="6" borderId="2" xfId="0" applyNumberFormat="1" applyFont="1" applyFill="1" applyBorder="1" applyAlignment="1">
      <alignment horizontal="center" vertical="center"/>
    </xf>
    <xf numFmtId="164" fontId="50" fillId="2" borderId="2" xfId="1" applyFont="1" applyFill="1" applyBorder="1"/>
    <xf numFmtId="164" fontId="54" fillId="8" borderId="2" xfId="1" applyFont="1" applyFill="1" applyBorder="1" applyAlignment="1">
      <alignment horizontal="right"/>
    </xf>
    <xf numFmtId="166" fontId="51" fillId="2" borderId="2" xfId="0" applyNumberFormat="1" applyFont="1" applyFill="1" applyBorder="1"/>
    <xf numFmtId="10" fontId="52" fillId="6" borderId="2" xfId="0" applyNumberFormat="1" applyFont="1" applyFill="1" applyBorder="1" applyAlignment="1">
      <alignment horizontal="center" vertical="center"/>
    </xf>
    <xf numFmtId="10" fontId="51" fillId="6" borderId="2" xfId="0" applyNumberFormat="1" applyFont="1" applyFill="1" applyBorder="1" applyAlignment="1">
      <alignment horizontal="center" vertical="center"/>
    </xf>
    <xf numFmtId="166" fontId="51" fillId="6" borderId="2" xfId="0" applyNumberFormat="1" applyFont="1" applyFill="1" applyBorder="1" applyAlignment="1">
      <alignment horizontal="center" vertical="center"/>
    </xf>
    <xf numFmtId="164" fontId="51" fillId="2" borderId="2" xfId="1" applyFont="1" applyFill="1" applyBorder="1"/>
    <xf numFmtId="49" fontId="44" fillId="2" borderId="2" xfId="0" applyNumberFormat="1" applyFont="1" applyFill="1" applyBorder="1" applyAlignment="1">
      <alignment wrapText="1"/>
    </xf>
    <xf numFmtId="10" fontId="48" fillId="6" borderId="2" xfId="0" applyNumberFormat="1" applyFont="1" applyFill="1" applyBorder="1" applyAlignment="1">
      <alignment horizontal="center" vertical="center"/>
    </xf>
    <xf numFmtId="49" fontId="44" fillId="0" borderId="2" xfId="0" applyNumberFormat="1" applyFont="1" applyBorder="1" applyAlignment="1">
      <alignment wrapText="1"/>
    </xf>
    <xf numFmtId="164" fontId="46" fillId="0" borderId="2" xfId="1" applyFont="1" applyFill="1" applyBorder="1" applyAlignment="1"/>
    <xf numFmtId="164" fontId="44" fillId="0" borderId="2" xfId="1" applyFont="1" applyBorder="1" applyAlignment="1"/>
    <xf numFmtId="164" fontId="46" fillId="2" borderId="2" xfId="1" applyFont="1" applyFill="1" applyBorder="1" applyAlignment="1">
      <alignment horizontal="left"/>
    </xf>
    <xf numFmtId="4" fontId="44" fillId="0" borderId="2" xfId="0" applyNumberFormat="1" applyFont="1" applyBorder="1" applyAlignment="1">
      <alignment wrapText="1"/>
    </xf>
    <xf numFmtId="0" fontId="44" fillId="0" borderId="2" xfId="0" applyFont="1" applyBorder="1" applyAlignment="1">
      <alignment wrapText="1"/>
    </xf>
    <xf numFmtId="166" fontId="51" fillId="6" borderId="2" xfId="0" applyNumberFormat="1" applyFont="1" applyFill="1" applyBorder="1" applyAlignment="1">
      <alignment horizontal="right" vertical="center"/>
    </xf>
    <xf numFmtId="164" fontId="51" fillId="2" borderId="2" xfId="1" applyFont="1" applyFill="1" applyBorder="1" applyAlignment="1"/>
    <xf numFmtId="4" fontId="44" fillId="2" borderId="2" xfId="0" applyNumberFormat="1" applyFont="1" applyFill="1" applyBorder="1" applyAlignment="1">
      <alignment wrapText="1"/>
    </xf>
    <xf numFmtId="0" fontId="44" fillId="2" borderId="2" xfId="0" applyFont="1" applyFill="1" applyBorder="1" applyAlignment="1">
      <alignment wrapText="1"/>
    </xf>
    <xf numFmtId="0" fontId="44" fillId="0" borderId="2" xfId="0" applyFont="1" applyBorder="1"/>
    <xf numFmtId="49" fontId="44" fillId="0" borderId="2" xfId="0" applyNumberFormat="1" applyFont="1" applyBorder="1" applyAlignment="1">
      <alignment vertical="top" wrapText="1"/>
    </xf>
    <xf numFmtId="164" fontId="51" fillId="2" borderId="2" xfId="1" applyFont="1" applyFill="1" applyBorder="1" applyAlignment="1">
      <alignment wrapText="1"/>
    </xf>
    <xf numFmtId="10" fontId="51" fillId="6" borderId="2" xfId="0" applyNumberFormat="1" applyFont="1" applyFill="1" applyBorder="1" applyAlignment="1">
      <alignment horizontal="right" vertical="center"/>
    </xf>
    <xf numFmtId="10" fontId="46" fillId="2" borderId="2" xfId="0" applyNumberFormat="1" applyFont="1" applyFill="1" applyBorder="1"/>
    <xf numFmtId="164" fontId="50" fillId="2" borderId="2" xfId="1" applyFont="1" applyFill="1" applyBorder="1" applyAlignment="1"/>
    <xf numFmtId="10" fontId="51" fillId="5" borderId="2" xfId="0" applyNumberFormat="1" applyFont="1" applyFill="1" applyBorder="1"/>
    <xf numFmtId="10" fontId="52" fillId="5" borderId="2" xfId="0" applyNumberFormat="1" applyFont="1" applyFill="1" applyBorder="1" applyAlignment="1">
      <alignment horizontal="right" vertical="center"/>
    </xf>
    <xf numFmtId="10" fontId="51" fillId="5" borderId="2" xfId="0" applyNumberFormat="1" applyFont="1" applyFill="1" applyBorder="1" applyAlignment="1">
      <alignment horizontal="right" vertical="center"/>
    </xf>
    <xf numFmtId="166" fontId="51" fillId="5" borderId="2" xfId="0" applyNumberFormat="1" applyFont="1" applyFill="1" applyBorder="1" applyAlignment="1">
      <alignment horizontal="right" vertical="center"/>
    </xf>
    <xf numFmtId="164" fontId="51" fillId="5" borderId="2" xfId="1" applyFont="1" applyFill="1" applyBorder="1"/>
    <xf numFmtId="0" fontId="0" fillId="2" borderId="0" xfId="0" applyFill="1"/>
    <xf numFmtId="166" fontId="16" fillId="5" borderId="2" xfId="0" applyNumberFormat="1" applyFont="1" applyFill="1" applyBorder="1"/>
    <xf numFmtId="10" fontId="16" fillId="5" borderId="2" xfId="0" applyNumberFormat="1" applyFont="1" applyFill="1" applyBorder="1"/>
    <xf numFmtId="164" fontId="54" fillId="0" borderId="2" xfId="1" applyFont="1" applyBorder="1"/>
    <xf numFmtId="164" fontId="54" fillId="0" borderId="2" xfId="1" applyFont="1" applyBorder="1" applyAlignment="1">
      <alignment horizontal="right"/>
    </xf>
    <xf numFmtId="164" fontId="50" fillId="0" borderId="2" xfId="1" applyFont="1" applyBorder="1"/>
    <xf numFmtId="164" fontId="46" fillId="0" borderId="2" xfId="1" applyFont="1" applyBorder="1"/>
    <xf numFmtId="164" fontId="54" fillId="0" borderId="2" xfId="1" applyFont="1" applyBorder="1" applyAlignment="1">
      <alignment vertical="center"/>
    </xf>
    <xf numFmtId="164" fontId="46" fillId="0" borderId="2" xfId="1" applyFont="1" applyBorder="1" applyAlignment="1">
      <alignment horizontal="right"/>
    </xf>
    <xf numFmtId="164" fontId="46" fillId="0" borderId="2" xfId="1" applyFont="1" applyFill="1" applyBorder="1" applyAlignment="1">
      <alignment horizontal="right"/>
    </xf>
    <xf numFmtId="164" fontId="50" fillId="0" borderId="2" xfId="1" applyFont="1" applyBorder="1" applyAlignment="1">
      <alignment vertical="center"/>
    </xf>
    <xf numFmtId="164" fontId="50" fillId="0" borderId="2" xfId="1" applyFont="1" applyBorder="1" applyAlignment="1">
      <alignment horizontal="right"/>
    </xf>
    <xf numFmtId="164" fontId="50" fillId="0" borderId="2" xfId="1" applyFont="1" applyBorder="1" applyAlignment="1">
      <alignment horizontal="right" vertical="center"/>
    </xf>
    <xf numFmtId="164" fontId="54" fillId="2" borderId="2" xfId="1" applyFont="1" applyFill="1" applyBorder="1"/>
    <xf numFmtId="164" fontId="54" fillId="8" borderId="2" xfId="1" applyFont="1" applyFill="1" applyBorder="1"/>
    <xf numFmtId="164" fontId="54" fillId="0" borderId="2" xfId="1" applyFont="1" applyBorder="1" applyAlignment="1"/>
    <xf numFmtId="164" fontId="47" fillId="2" borderId="2" xfId="1" applyFont="1" applyFill="1" applyBorder="1" applyAlignment="1">
      <alignment horizontal="left"/>
    </xf>
    <xf numFmtId="164" fontId="54" fillId="2" borderId="2" xfId="1" applyFont="1" applyFill="1" applyBorder="1" applyAlignment="1">
      <alignment horizontal="right"/>
    </xf>
    <xf numFmtId="164" fontId="50" fillId="0" borderId="2" xfId="1" applyFont="1" applyBorder="1" applyAlignment="1"/>
    <xf numFmtId="164" fontId="46" fillId="2" borderId="2" xfId="1" applyFont="1" applyFill="1" applyBorder="1" applyAlignment="1">
      <alignment horizontal="right" wrapText="1"/>
    </xf>
    <xf numFmtId="164" fontId="44" fillId="2" borderId="2" xfId="1" applyFont="1" applyFill="1" applyBorder="1" applyAlignment="1" applyProtection="1"/>
    <xf numFmtId="0" fontId="55" fillId="0" borderId="0" xfId="0" applyFont="1"/>
    <xf numFmtId="0" fontId="44" fillId="0" borderId="2" xfId="1" applyNumberFormat="1" applyFont="1" applyBorder="1" applyAlignment="1">
      <alignment horizontal="center"/>
    </xf>
    <xf numFmtId="0" fontId="44" fillId="2" borderId="2" xfId="1" applyNumberFormat="1" applyFont="1" applyFill="1" applyBorder="1" applyAlignment="1">
      <alignment horizontal="center"/>
    </xf>
    <xf numFmtId="0" fontId="44" fillId="2" borderId="2" xfId="0" applyFont="1" applyFill="1" applyBorder="1" applyAlignment="1">
      <alignment horizontal="center" wrapText="1"/>
    </xf>
    <xf numFmtId="0" fontId="44" fillId="0" borderId="2" xfId="0" applyFont="1" applyBorder="1" applyAlignment="1">
      <alignment horizontal="center" wrapText="1"/>
    </xf>
    <xf numFmtId="4" fontId="44" fillId="2" borderId="12" xfId="0" applyNumberFormat="1" applyFont="1" applyFill="1" applyBorder="1" applyAlignment="1">
      <alignment wrapText="1"/>
    </xf>
    <xf numFmtId="4" fontId="44" fillId="2" borderId="12" xfId="502" applyNumberFormat="1" applyFont="1" applyFill="1" applyBorder="1" applyAlignment="1">
      <alignment wrapText="1"/>
    </xf>
    <xf numFmtId="0" fontId="44" fillId="2" borderId="12" xfId="502" applyFont="1" applyFill="1" applyBorder="1" applyAlignment="1">
      <alignment wrapText="1"/>
    </xf>
    <xf numFmtId="49" fontId="44" fillId="2" borderId="12" xfId="0" applyNumberFormat="1" applyFont="1" applyFill="1" applyBorder="1" applyAlignment="1">
      <alignment wrapText="1"/>
    </xf>
    <xf numFmtId="49" fontId="51" fillId="2" borderId="2" xfId="0" applyNumberFormat="1" applyFont="1" applyFill="1" applyBorder="1" applyAlignment="1">
      <alignment horizontal="right"/>
    </xf>
    <xf numFmtId="49" fontId="16" fillId="5" borderId="2" xfId="0" applyNumberFormat="1" applyFont="1" applyFill="1" applyBorder="1" applyAlignment="1">
      <alignment horizontal="right"/>
    </xf>
    <xf numFmtId="167" fontId="53" fillId="2" borderId="2" xfId="0" applyNumberFormat="1" applyFont="1" applyFill="1" applyBorder="1" applyAlignment="1">
      <alignment horizontal="center" wrapText="1"/>
    </xf>
    <xf numFmtId="49" fontId="48" fillId="2" borderId="2" xfId="0" applyNumberFormat="1" applyFont="1" applyFill="1" applyBorder="1" applyAlignment="1">
      <alignment horizontal="center" vertical="top" wrapText="1"/>
    </xf>
    <xf numFmtId="0" fontId="48" fillId="2" borderId="2" xfId="0" applyFont="1" applyFill="1" applyBorder="1" applyAlignment="1">
      <alignment horizontal="center" wrapText="1"/>
    </xf>
    <xf numFmtId="49" fontId="48" fillId="2" borderId="2" xfId="0" applyNumberFormat="1" applyFont="1" applyFill="1" applyBorder="1" applyAlignment="1">
      <alignment horizontal="right"/>
    </xf>
    <xf numFmtId="167" fontId="52" fillId="2" borderId="2" xfId="0" applyNumberFormat="1" applyFont="1" applyFill="1" applyBorder="1" applyAlignment="1">
      <alignment horizontal="center" wrapText="1"/>
    </xf>
    <xf numFmtId="49" fontId="52" fillId="2" borderId="2" xfId="0" applyNumberFormat="1" applyFont="1" applyFill="1" applyBorder="1" applyAlignment="1">
      <alignment horizontal="center" wrapText="1"/>
    </xf>
    <xf numFmtId="166" fontId="48" fillId="2" borderId="2" xfId="0" applyNumberFormat="1" applyFont="1" applyFill="1" applyBorder="1" applyAlignment="1">
      <alignment horizontal="center" wrapText="1"/>
    </xf>
    <xf numFmtId="49" fontId="47" fillId="2" borderId="2" xfId="0" applyNumberFormat="1" applyFont="1" applyFill="1" applyBorder="1" applyAlignment="1">
      <alignment horizontal="center" vertical="top" wrapText="1"/>
    </xf>
    <xf numFmtId="49" fontId="45" fillId="4" borderId="2" xfId="0" applyNumberFormat="1" applyFont="1" applyFill="1" applyBorder="1" applyAlignment="1">
      <alignment horizontal="center"/>
    </xf>
    <xf numFmtId="0" fontId="45" fillId="4" borderId="2" xfId="0" applyFont="1" applyFill="1" applyBorder="1" applyAlignment="1">
      <alignment horizontal="center"/>
    </xf>
    <xf numFmtId="49" fontId="16" fillId="2" borderId="2" xfId="0" applyNumberFormat="1" applyFont="1" applyFill="1" applyBorder="1" applyAlignment="1">
      <alignment horizontal="center" vertical="top" wrapText="1"/>
    </xf>
    <xf numFmtId="164" fontId="48" fillId="2" borderId="2" xfId="1" applyFont="1" applyFill="1" applyBorder="1" applyAlignment="1">
      <alignment horizontal="right"/>
    </xf>
    <xf numFmtId="167" fontId="48" fillId="2" borderId="2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 wrapText="1"/>
    </xf>
    <xf numFmtId="0" fontId="56" fillId="0" borderId="0" xfId="0" applyFont="1" applyAlignment="1">
      <alignment horizontal="right"/>
    </xf>
    <xf numFmtId="16" fontId="56" fillId="2" borderId="0" xfId="0" quotePrefix="1" applyNumberFormat="1" applyFont="1" applyFill="1" applyAlignment="1">
      <alignment horizontal="right" wrapText="1"/>
    </xf>
    <xf numFmtId="0" fontId="56" fillId="0" borderId="0" xfId="0" applyFont="1" applyAlignment="1">
      <alignment horizontal="right" wrapText="1"/>
    </xf>
    <xf numFmtId="43" fontId="3" fillId="0" borderId="0" xfId="3" applyFont="1" applyBorder="1"/>
    <xf numFmtId="43" fontId="57" fillId="0" borderId="0" xfId="3" applyFont="1" applyBorder="1"/>
    <xf numFmtId="16" fontId="5" fillId="2" borderId="0" xfId="0" applyNumberFormat="1" applyFont="1" applyFill="1"/>
    <xf numFmtId="164" fontId="6" fillId="2" borderId="0" xfId="1" applyFont="1" applyFill="1" applyBorder="1"/>
    <xf numFmtId="164" fontId="3" fillId="0" borderId="0" xfId="1" applyFont="1" applyBorder="1"/>
    <xf numFmtId="166" fontId="7" fillId="2" borderId="0" xfId="0" applyNumberFormat="1" applyFont="1" applyFill="1"/>
    <xf numFmtId="164" fontId="43" fillId="2" borderId="13" xfId="1" applyFont="1" applyFill="1" applyBorder="1"/>
    <xf numFmtId="4" fontId="8" fillId="2" borderId="0" xfId="0" applyNumberFormat="1" applyFont="1" applyFill="1" applyBorder="1" applyAlignment="1">
      <alignment horizontal="right"/>
    </xf>
    <xf numFmtId="0" fontId="58" fillId="0" borderId="2" xfId="0" applyFont="1" applyBorder="1" applyAlignment="1">
      <alignment horizontal="right"/>
    </xf>
    <xf numFmtId="16" fontId="58" fillId="2" borderId="2" xfId="0" quotePrefix="1" applyNumberFormat="1" applyFont="1" applyFill="1" applyBorder="1" applyAlignment="1">
      <alignment horizontal="right"/>
    </xf>
    <xf numFmtId="164" fontId="59" fillId="2" borderId="2" xfId="1" applyFont="1" applyFill="1" applyBorder="1" applyAlignment="1">
      <alignment horizontal="right" vertical="top" wrapText="1"/>
    </xf>
    <xf numFmtId="164" fontId="59" fillId="2" borderId="2" xfId="1" applyFont="1" applyFill="1" applyBorder="1"/>
    <xf numFmtId="4" fontId="59" fillId="2" borderId="2" xfId="0" applyNumberFormat="1" applyFont="1" applyFill="1" applyBorder="1"/>
    <xf numFmtId="4" fontId="59" fillId="2" borderId="2" xfId="0" applyNumberFormat="1" applyFont="1" applyFill="1" applyBorder="1" applyAlignment="1">
      <alignment horizontal="right"/>
    </xf>
    <xf numFmtId="166" fontId="59" fillId="2" borderId="2" xfId="0" applyNumberFormat="1" applyFont="1" applyFill="1" applyBorder="1"/>
    <xf numFmtId="0" fontId="5" fillId="0" borderId="0" xfId="0" applyFont="1" applyBorder="1" applyAlignment="1">
      <alignment horizontal="right"/>
    </xf>
    <xf numFmtId="0" fontId="56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165" fontId="3" fillId="0" borderId="0" xfId="3" applyNumberFormat="1" applyFont="1"/>
  </cellXfs>
  <cellStyles count="503">
    <cellStyle name="20% - Accent1" xfId="24" builtinId="30" customBuiltin="1"/>
    <cellStyle name="20% - Accent1 2" xfId="116" xr:uid="{00000000-0005-0000-0000-000001000000}"/>
    <cellStyle name="20% - Accent1 2 2" xfId="387" xr:uid="{00000000-0005-0000-0000-000002000000}"/>
    <cellStyle name="20% - Accent1 2 3" xfId="231" xr:uid="{00000000-0005-0000-0000-000003000000}"/>
    <cellStyle name="20% - Accent1 3" xfId="146" xr:uid="{00000000-0005-0000-0000-000004000000}"/>
    <cellStyle name="20% - Accent1 3 2" xfId="419" xr:uid="{00000000-0005-0000-0000-000005000000}"/>
    <cellStyle name="20% - Accent1 3 3" xfId="263" xr:uid="{00000000-0005-0000-0000-000006000000}"/>
    <cellStyle name="20% - Accent1 4" xfId="307" xr:uid="{00000000-0005-0000-0000-000007000000}"/>
    <cellStyle name="20% - Accent1 4 2" xfId="463" xr:uid="{00000000-0005-0000-0000-000008000000}"/>
    <cellStyle name="20% - Accent1 5" xfId="352" xr:uid="{00000000-0005-0000-0000-000009000000}"/>
    <cellStyle name="20% - Accent1 6" xfId="196" xr:uid="{00000000-0005-0000-0000-00000A000000}"/>
    <cellStyle name="20% - Accent2" xfId="28" builtinId="34" customBuiltin="1"/>
    <cellStyle name="20% - Accent2 2" xfId="120" xr:uid="{00000000-0005-0000-0000-00000C000000}"/>
    <cellStyle name="20% - Accent2 2 2" xfId="390" xr:uid="{00000000-0005-0000-0000-00000D000000}"/>
    <cellStyle name="20% - Accent2 2 3" xfId="234" xr:uid="{00000000-0005-0000-0000-00000E000000}"/>
    <cellStyle name="20% - Accent2 3" xfId="149" xr:uid="{00000000-0005-0000-0000-00000F000000}"/>
    <cellStyle name="20% - Accent2 3 2" xfId="422" xr:uid="{00000000-0005-0000-0000-000010000000}"/>
    <cellStyle name="20% - Accent2 3 3" xfId="266" xr:uid="{00000000-0005-0000-0000-000011000000}"/>
    <cellStyle name="20% - Accent2 4" xfId="310" xr:uid="{00000000-0005-0000-0000-000012000000}"/>
    <cellStyle name="20% - Accent2 4 2" xfId="466" xr:uid="{00000000-0005-0000-0000-000013000000}"/>
    <cellStyle name="20% - Accent2 5" xfId="355" xr:uid="{00000000-0005-0000-0000-000014000000}"/>
    <cellStyle name="20% - Accent2 6" xfId="199" xr:uid="{00000000-0005-0000-0000-000015000000}"/>
    <cellStyle name="20% - Accent3" xfId="32" builtinId="38" customBuiltin="1"/>
    <cellStyle name="20% - Accent3 2" xfId="124" xr:uid="{00000000-0005-0000-0000-000017000000}"/>
    <cellStyle name="20% - Accent3 2 2" xfId="393" xr:uid="{00000000-0005-0000-0000-000018000000}"/>
    <cellStyle name="20% - Accent3 2 3" xfId="237" xr:uid="{00000000-0005-0000-0000-000019000000}"/>
    <cellStyle name="20% - Accent3 3" xfId="152" xr:uid="{00000000-0005-0000-0000-00001A000000}"/>
    <cellStyle name="20% - Accent3 3 2" xfId="426" xr:uid="{00000000-0005-0000-0000-00001B000000}"/>
    <cellStyle name="20% - Accent3 3 3" xfId="270" xr:uid="{00000000-0005-0000-0000-00001C000000}"/>
    <cellStyle name="20% - Accent3 4" xfId="313" xr:uid="{00000000-0005-0000-0000-00001D000000}"/>
    <cellStyle name="20% - Accent3 4 2" xfId="469" xr:uid="{00000000-0005-0000-0000-00001E000000}"/>
    <cellStyle name="20% - Accent3 5" xfId="358" xr:uid="{00000000-0005-0000-0000-00001F000000}"/>
    <cellStyle name="20% - Accent3 6" xfId="202" xr:uid="{00000000-0005-0000-0000-000020000000}"/>
    <cellStyle name="20% - Accent4" xfId="36" builtinId="42" customBuiltin="1"/>
    <cellStyle name="20% - Accent4 2" xfId="127" xr:uid="{00000000-0005-0000-0000-000022000000}"/>
    <cellStyle name="20% - Accent4 2 2" xfId="396" xr:uid="{00000000-0005-0000-0000-000023000000}"/>
    <cellStyle name="20% - Accent4 2 3" xfId="240" xr:uid="{00000000-0005-0000-0000-000024000000}"/>
    <cellStyle name="20% - Accent4 3" xfId="155" xr:uid="{00000000-0005-0000-0000-000025000000}"/>
    <cellStyle name="20% - Accent4 3 2" xfId="430" xr:uid="{00000000-0005-0000-0000-000026000000}"/>
    <cellStyle name="20% - Accent4 3 3" xfId="274" xr:uid="{00000000-0005-0000-0000-000027000000}"/>
    <cellStyle name="20% - Accent4 4" xfId="317" xr:uid="{00000000-0005-0000-0000-000028000000}"/>
    <cellStyle name="20% - Accent4 4 2" xfId="473" xr:uid="{00000000-0005-0000-0000-000029000000}"/>
    <cellStyle name="20% - Accent4 5" xfId="361" xr:uid="{00000000-0005-0000-0000-00002A000000}"/>
    <cellStyle name="20% - Accent4 6" xfId="205" xr:uid="{00000000-0005-0000-0000-00002B000000}"/>
    <cellStyle name="20% - Accent5" xfId="40" builtinId="46" customBuiltin="1"/>
    <cellStyle name="20% - Accent5 2" xfId="131" xr:uid="{00000000-0005-0000-0000-00002D000000}"/>
    <cellStyle name="20% - Accent5 2 2" xfId="399" xr:uid="{00000000-0005-0000-0000-00002E000000}"/>
    <cellStyle name="20% - Accent5 2 3" xfId="243" xr:uid="{00000000-0005-0000-0000-00002F000000}"/>
    <cellStyle name="20% - Accent5 3" xfId="158" xr:uid="{00000000-0005-0000-0000-000030000000}"/>
    <cellStyle name="20% - Accent5 3 2" xfId="433" xr:uid="{00000000-0005-0000-0000-000031000000}"/>
    <cellStyle name="20% - Accent5 3 3" xfId="277" xr:uid="{00000000-0005-0000-0000-000032000000}"/>
    <cellStyle name="20% - Accent5 4" xfId="321" xr:uid="{00000000-0005-0000-0000-000033000000}"/>
    <cellStyle name="20% - Accent5 4 2" xfId="477" xr:uid="{00000000-0005-0000-0000-000034000000}"/>
    <cellStyle name="20% - Accent5 5" xfId="364" xr:uid="{00000000-0005-0000-0000-000035000000}"/>
    <cellStyle name="20% - Accent5 6" xfId="208" xr:uid="{00000000-0005-0000-0000-000036000000}"/>
    <cellStyle name="20% - Accent6" xfId="44" builtinId="50" customBuiltin="1"/>
    <cellStyle name="20% - Accent6 2" xfId="135" xr:uid="{00000000-0005-0000-0000-000038000000}"/>
    <cellStyle name="20% - Accent6 2 2" xfId="402" xr:uid="{00000000-0005-0000-0000-000039000000}"/>
    <cellStyle name="20% - Accent6 2 3" xfId="246" xr:uid="{00000000-0005-0000-0000-00003A000000}"/>
    <cellStyle name="20% - Accent6 3" xfId="161" xr:uid="{00000000-0005-0000-0000-00003B000000}"/>
    <cellStyle name="20% - Accent6 3 2" xfId="437" xr:uid="{00000000-0005-0000-0000-00003C000000}"/>
    <cellStyle name="20% - Accent6 3 3" xfId="281" xr:uid="{00000000-0005-0000-0000-00003D000000}"/>
    <cellStyle name="20% - Accent6 4" xfId="324" xr:uid="{00000000-0005-0000-0000-00003E000000}"/>
    <cellStyle name="20% - Accent6 4 2" xfId="480" xr:uid="{00000000-0005-0000-0000-00003F000000}"/>
    <cellStyle name="20% - Accent6 5" xfId="367" xr:uid="{00000000-0005-0000-0000-000040000000}"/>
    <cellStyle name="20% - Accent6 6" xfId="211" xr:uid="{00000000-0005-0000-0000-000041000000}"/>
    <cellStyle name="40% - Accent1" xfId="25" builtinId="31" customBuiltin="1"/>
    <cellStyle name="40% - Accent1 2" xfId="117" xr:uid="{00000000-0005-0000-0000-000043000000}"/>
    <cellStyle name="40% - Accent1 2 2" xfId="388" xr:uid="{00000000-0005-0000-0000-000044000000}"/>
    <cellStyle name="40% - Accent1 2 3" xfId="232" xr:uid="{00000000-0005-0000-0000-000045000000}"/>
    <cellStyle name="40% - Accent1 3" xfId="147" xr:uid="{00000000-0005-0000-0000-000046000000}"/>
    <cellStyle name="40% - Accent1 3 2" xfId="420" xr:uid="{00000000-0005-0000-0000-000047000000}"/>
    <cellStyle name="40% - Accent1 3 3" xfId="264" xr:uid="{00000000-0005-0000-0000-000048000000}"/>
    <cellStyle name="40% - Accent1 4" xfId="308" xr:uid="{00000000-0005-0000-0000-000049000000}"/>
    <cellStyle name="40% - Accent1 4 2" xfId="464" xr:uid="{00000000-0005-0000-0000-00004A000000}"/>
    <cellStyle name="40% - Accent1 5" xfId="353" xr:uid="{00000000-0005-0000-0000-00004B000000}"/>
    <cellStyle name="40% - Accent1 6" xfId="197" xr:uid="{00000000-0005-0000-0000-00004C000000}"/>
    <cellStyle name="40% - Accent2" xfId="29" builtinId="35" customBuiltin="1"/>
    <cellStyle name="40% - Accent2 2" xfId="121" xr:uid="{00000000-0005-0000-0000-00004E000000}"/>
    <cellStyle name="40% - Accent2 2 2" xfId="391" xr:uid="{00000000-0005-0000-0000-00004F000000}"/>
    <cellStyle name="40% - Accent2 2 3" xfId="235" xr:uid="{00000000-0005-0000-0000-000050000000}"/>
    <cellStyle name="40% - Accent2 3" xfId="150" xr:uid="{00000000-0005-0000-0000-000051000000}"/>
    <cellStyle name="40% - Accent2 3 2" xfId="423" xr:uid="{00000000-0005-0000-0000-000052000000}"/>
    <cellStyle name="40% - Accent2 3 3" xfId="267" xr:uid="{00000000-0005-0000-0000-000053000000}"/>
    <cellStyle name="40% - Accent2 4" xfId="311" xr:uid="{00000000-0005-0000-0000-000054000000}"/>
    <cellStyle name="40% - Accent2 4 2" xfId="467" xr:uid="{00000000-0005-0000-0000-000055000000}"/>
    <cellStyle name="40% - Accent2 5" xfId="356" xr:uid="{00000000-0005-0000-0000-000056000000}"/>
    <cellStyle name="40% - Accent2 6" xfId="200" xr:uid="{00000000-0005-0000-0000-000057000000}"/>
    <cellStyle name="40% - Accent3" xfId="33" builtinId="39" customBuiltin="1"/>
    <cellStyle name="40% - Accent3 2" xfId="125" xr:uid="{00000000-0005-0000-0000-000059000000}"/>
    <cellStyle name="40% - Accent3 2 2" xfId="394" xr:uid="{00000000-0005-0000-0000-00005A000000}"/>
    <cellStyle name="40% - Accent3 2 3" xfId="238" xr:uid="{00000000-0005-0000-0000-00005B000000}"/>
    <cellStyle name="40% - Accent3 3" xfId="153" xr:uid="{00000000-0005-0000-0000-00005C000000}"/>
    <cellStyle name="40% - Accent3 3 2" xfId="427" xr:uid="{00000000-0005-0000-0000-00005D000000}"/>
    <cellStyle name="40% - Accent3 3 3" xfId="271" xr:uid="{00000000-0005-0000-0000-00005E000000}"/>
    <cellStyle name="40% - Accent3 4" xfId="314" xr:uid="{00000000-0005-0000-0000-00005F000000}"/>
    <cellStyle name="40% - Accent3 4 2" xfId="470" xr:uid="{00000000-0005-0000-0000-000060000000}"/>
    <cellStyle name="40% - Accent3 5" xfId="359" xr:uid="{00000000-0005-0000-0000-000061000000}"/>
    <cellStyle name="40% - Accent3 6" xfId="203" xr:uid="{00000000-0005-0000-0000-000062000000}"/>
    <cellStyle name="40% - Accent4" xfId="37" builtinId="43" customBuiltin="1"/>
    <cellStyle name="40% - Accent4 2" xfId="128" xr:uid="{00000000-0005-0000-0000-000064000000}"/>
    <cellStyle name="40% - Accent4 2 2" xfId="397" xr:uid="{00000000-0005-0000-0000-000065000000}"/>
    <cellStyle name="40% - Accent4 2 3" xfId="241" xr:uid="{00000000-0005-0000-0000-000066000000}"/>
    <cellStyle name="40% - Accent4 3" xfId="156" xr:uid="{00000000-0005-0000-0000-000067000000}"/>
    <cellStyle name="40% - Accent4 3 2" xfId="431" xr:uid="{00000000-0005-0000-0000-000068000000}"/>
    <cellStyle name="40% - Accent4 3 3" xfId="275" xr:uid="{00000000-0005-0000-0000-000069000000}"/>
    <cellStyle name="40% - Accent4 4" xfId="318" xr:uid="{00000000-0005-0000-0000-00006A000000}"/>
    <cellStyle name="40% - Accent4 4 2" xfId="474" xr:uid="{00000000-0005-0000-0000-00006B000000}"/>
    <cellStyle name="40% - Accent4 5" xfId="362" xr:uid="{00000000-0005-0000-0000-00006C000000}"/>
    <cellStyle name="40% - Accent4 6" xfId="206" xr:uid="{00000000-0005-0000-0000-00006D000000}"/>
    <cellStyle name="40% - Accent5" xfId="41" builtinId="47" customBuiltin="1"/>
    <cellStyle name="40% - Accent5 2" xfId="132" xr:uid="{00000000-0005-0000-0000-00006F000000}"/>
    <cellStyle name="40% - Accent5 2 2" xfId="400" xr:uid="{00000000-0005-0000-0000-000070000000}"/>
    <cellStyle name="40% - Accent5 2 3" xfId="244" xr:uid="{00000000-0005-0000-0000-000071000000}"/>
    <cellStyle name="40% - Accent5 3" xfId="159" xr:uid="{00000000-0005-0000-0000-000072000000}"/>
    <cellStyle name="40% - Accent5 3 2" xfId="434" xr:uid="{00000000-0005-0000-0000-000073000000}"/>
    <cellStyle name="40% - Accent5 3 3" xfId="278" xr:uid="{00000000-0005-0000-0000-000074000000}"/>
    <cellStyle name="40% - Accent5 4" xfId="322" xr:uid="{00000000-0005-0000-0000-000075000000}"/>
    <cellStyle name="40% - Accent5 4 2" xfId="478" xr:uid="{00000000-0005-0000-0000-000076000000}"/>
    <cellStyle name="40% - Accent5 5" xfId="365" xr:uid="{00000000-0005-0000-0000-000077000000}"/>
    <cellStyle name="40% - Accent5 6" xfId="209" xr:uid="{00000000-0005-0000-0000-000078000000}"/>
    <cellStyle name="40% - Accent6" xfId="45" builtinId="51" customBuiltin="1"/>
    <cellStyle name="40% - Accent6 2" xfId="136" xr:uid="{00000000-0005-0000-0000-00007A000000}"/>
    <cellStyle name="40% - Accent6 2 2" xfId="403" xr:uid="{00000000-0005-0000-0000-00007B000000}"/>
    <cellStyle name="40% - Accent6 2 3" xfId="247" xr:uid="{00000000-0005-0000-0000-00007C000000}"/>
    <cellStyle name="40% - Accent6 3" xfId="162" xr:uid="{00000000-0005-0000-0000-00007D000000}"/>
    <cellStyle name="40% - Accent6 3 2" xfId="438" xr:uid="{00000000-0005-0000-0000-00007E000000}"/>
    <cellStyle name="40% - Accent6 3 3" xfId="282" xr:uid="{00000000-0005-0000-0000-00007F000000}"/>
    <cellStyle name="40% - Accent6 4" xfId="325" xr:uid="{00000000-0005-0000-0000-000080000000}"/>
    <cellStyle name="40% - Accent6 4 2" xfId="481" xr:uid="{00000000-0005-0000-0000-000081000000}"/>
    <cellStyle name="40% - Accent6 5" xfId="368" xr:uid="{00000000-0005-0000-0000-000082000000}"/>
    <cellStyle name="40% - Accent6 6" xfId="212" xr:uid="{00000000-0005-0000-0000-000083000000}"/>
    <cellStyle name="60% - Accent1" xfId="26" builtinId="32" customBuiltin="1"/>
    <cellStyle name="60% - Accent1 2" xfId="118" xr:uid="{00000000-0005-0000-0000-000085000000}"/>
    <cellStyle name="60% - Accent1 2 2" xfId="389" xr:uid="{00000000-0005-0000-0000-000086000000}"/>
    <cellStyle name="60% - Accent1 2 3" xfId="233" xr:uid="{00000000-0005-0000-0000-000087000000}"/>
    <cellStyle name="60% - Accent1 3" xfId="148" xr:uid="{00000000-0005-0000-0000-000088000000}"/>
    <cellStyle name="60% - Accent1 3 2" xfId="421" xr:uid="{00000000-0005-0000-0000-000089000000}"/>
    <cellStyle name="60% - Accent1 3 3" xfId="265" xr:uid="{00000000-0005-0000-0000-00008A000000}"/>
    <cellStyle name="60% - Accent1 4" xfId="309" xr:uid="{00000000-0005-0000-0000-00008B000000}"/>
    <cellStyle name="60% - Accent1 4 2" xfId="465" xr:uid="{00000000-0005-0000-0000-00008C000000}"/>
    <cellStyle name="60% - Accent1 5" xfId="354" xr:uid="{00000000-0005-0000-0000-00008D000000}"/>
    <cellStyle name="60% - Accent1 6" xfId="198" xr:uid="{00000000-0005-0000-0000-00008E000000}"/>
    <cellStyle name="60% - Accent2" xfId="30" builtinId="36" customBuiltin="1"/>
    <cellStyle name="60% - Accent2 2" xfId="122" xr:uid="{00000000-0005-0000-0000-000090000000}"/>
    <cellStyle name="60% - Accent2 2 2" xfId="392" xr:uid="{00000000-0005-0000-0000-000091000000}"/>
    <cellStyle name="60% - Accent2 2 3" xfId="236" xr:uid="{00000000-0005-0000-0000-000092000000}"/>
    <cellStyle name="60% - Accent2 3" xfId="151" xr:uid="{00000000-0005-0000-0000-000093000000}"/>
    <cellStyle name="60% - Accent2 3 2" xfId="424" xr:uid="{00000000-0005-0000-0000-000094000000}"/>
    <cellStyle name="60% - Accent2 3 3" xfId="268" xr:uid="{00000000-0005-0000-0000-000095000000}"/>
    <cellStyle name="60% - Accent2 4" xfId="312" xr:uid="{00000000-0005-0000-0000-000096000000}"/>
    <cellStyle name="60% - Accent2 4 2" xfId="468" xr:uid="{00000000-0005-0000-0000-000097000000}"/>
    <cellStyle name="60% - Accent2 5" xfId="357" xr:uid="{00000000-0005-0000-0000-000098000000}"/>
    <cellStyle name="60% - Accent2 6" xfId="201" xr:uid="{00000000-0005-0000-0000-000099000000}"/>
    <cellStyle name="60% - Accent3" xfId="34" builtinId="40" customBuiltin="1"/>
    <cellStyle name="60% - Accent3 2" xfId="126" xr:uid="{00000000-0005-0000-0000-00009B000000}"/>
    <cellStyle name="60% - Accent3 2 2" xfId="395" xr:uid="{00000000-0005-0000-0000-00009C000000}"/>
    <cellStyle name="60% - Accent3 2 3" xfId="239" xr:uid="{00000000-0005-0000-0000-00009D000000}"/>
    <cellStyle name="60% - Accent3 3" xfId="154" xr:uid="{00000000-0005-0000-0000-00009E000000}"/>
    <cellStyle name="60% - Accent3 3 2" xfId="428" xr:uid="{00000000-0005-0000-0000-00009F000000}"/>
    <cellStyle name="60% - Accent3 3 3" xfId="272" xr:uid="{00000000-0005-0000-0000-0000A0000000}"/>
    <cellStyle name="60% - Accent3 4" xfId="315" xr:uid="{00000000-0005-0000-0000-0000A1000000}"/>
    <cellStyle name="60% - Accent3 4 2" xfId="471" xr:uid="{00000000-0005-0000-0000-0000A2000000}"/>
    <cellStyle name="60% - Accent3 5" xfId="360" xr:uid="{00000000-0005-0000-0000-0000A3000000}"/>
    <cellStyle name="60% - Accent3 6" xfId="204" xr:uid="{00000000-0005-0000-0000-0000A4000000}"/>
    <cellStyle name="60% - Accent4" xfId="38" builtinId="44" customBuiltin="1"/>
    <cellStyle name="60% - Accent4 2" xfId="129" xr:uid="{00000000-0005-0000-0000-0000A6000000}"/>
    <cellStyle name="60% - Accent4 2 2" xfId="398" xr:uid="{00000000-0005-0000-0000-0000A7000000}"/>
    <cellStyle name="60% - Accent4 2 3" xfId="242" xr:uid="{00000000-0005-0000-0000-0000A8000000}"/>
    <cellStyle name="60% - Accent4 3" xfId="157" xr:uid="{00000000-0005-0000-0000-0000A9000000}"/>
    <cellStyle name="60% - Accent4 3 2" xfId="432" xr:uid="{00000000-0005-0000-0000-0000AA000000}"/>
    <cellStyle name="60% - Accent4 3 3" xfId="276" xr:uid="{00000000-0005-0000-0000-0000AB000000}"/>
    <cellStyle name="60% - Accent4 4" xfId="319" xr:uid="{00000000-0005-0000-0000-0000AC000000}"/>
    <cellStyle name="60% - Accent4 4 2" xfId="475" xr:uid="{00000000-0005-0000-0000-0000AD000000}"/>
    <cellStyle name="60% - Accent4 5" xfId="363" xr:uid="{00000000-0005-0000-0000-0000AE000000}"/>
    <cellStyle name="60% - Accent4 6" xfId="207" xr:uid="{00000000-0005-0000-0000-0000AF000000}"/>
    <cellStyle name="60% - Accent5" xfId="42" builtinId="48" customBuiltin="1"/>
    <cellStyle name="60% - Accent5 2" xfId="133" xr:uid="{00000000-0005-0000-0000-0000B1000000}"/>
    <cellStyle name="60% - Accent5 2 2" xfId="401" xr:uid="{00000000-0005-0000-0000-0000B2000000}"/>
    <cellStyle name="60% - Accent5 2 3" xfId="245" xr:uid="{00000000-0005-0000-0000-0000B3000000}"/>
    <cellStyle name="60% - Accent5 3" xfId="160" xr:uid="{00000000-0005-0000-0000-0000B4000000}"/>
    <cellStyle name="60% - Accent5 3 2" xfId="435" xr:uid="{00000000-0005-0000-0000-0000B5000000}"/>
    <cellStyle name="60% - Accent5 3 3" xfId="279" xr:uid="{00000000-0005-0000-0000-0000B6000000}"/>
    <cellStyle name="60% - Accent5 4" xfId="323" xr:uid="{00000000-0005-0000-0000-0000B7000000}"/>
    <cellStyle name="60% - Accent5 4 2" xfId="479" xr:uid="{00000000-0005-0000-0000-0000B8000000}"/>
    <cellStyle name="60% - Accent5 5" xfId="366" xr:uid="{00000000-0005-0000-0000-0000B9000000}"/>
    <cellStyle name="60% - Accent5 6" xfId="210" xr:uid="{00000000-0005-0000-0000-0000BA000000}"/>
    <cellStyle name="60% - Accent6" xfId="46" builtinId="52" customBuiltin="1"/>
    <cellStyle name="60% - Accent6 2" xfId="137" xr:uid="{00000000-0005-0000-0000-0000BC000000}"/>
    <cellStyle name="60% - Accent6 2 2" xfId="404" xr:uid="{00000000-0005-0000-0000-0000BD000000}"/>
    <cellStyle name="60% - Accent6 2 3" xfId="248" xr:uid="{00000000-0005-0000-0000-0000BE000000}"/>
    <cellStyle name="60% - Accent6 3" xfId="163" xr:uid="{00000000-0005-0000-0000-0000BF000000}"/>
    <cellStyle name="60% - Accent6 3 2" xfId="439" xr:uid="{00000000-0005-0000-0000-0000C0000000}"/>
    <cellStyle name="60% - Accent6 3 3" xfId="283" xr:uid="{00000000-0005-0000-0000-0000C1000000}"/>
    <cellStyle name="60% - Accent6 4" xfId="326" xr:uid="{00000000-0005-0000-0000-0000C2000000}"/>
    <cellStyle name="60% - Accent6 4 2" xfId="482" xr:uid="{00000000-0005-0000-0000-0000C3000000}"/>
    <cellStyle name="60% - Accent6 5" xfId="369" xr:uid="{00000000-0005-0000-0000-0000C4000000}"/>
    <cellStyle name="60% - Accent6 6" xfId="213" xr:uid="{00000000-0005-0000-0000-0000C5000000}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1" builtinId="3"/>
    <cellStyle name="Comma 10" xfId="49" xr:uid="{00000000-0005-0000-0000-0000D0000000}"/>
    <cellStyle name="Comma 10 13" xfId="2" xr:uid="{00000000-0005-0000-0000-0000D1000000}"/>
    <cellStyle name="Comma 11" xfId="50" xr:uid="{00000000-0005-0000-0000-0000D2000000}"/>
    <cellStyle name="Comma 12" xfId="51" xr:uid="{00000000-0005-0000-0000-0000D3000000}"/>
    <cellStyle name="Comma 12 2" xfId="371" xr:uid="{00000000-0005-0000-0000-0000D4000000}"/>
    <cellStyle name="Comma 12 3" xfId="215" xr:uid="{00000000-0005-0000-0000-0000D5000000}"/>
    <cellStyle name="Comma 13" xfId="109" xr:uid="{00000000-0005-0000-0000-0000D6000000}"/>
    <cellStyle name="Comma 13 2" xfId="384" xr:uid="{00000000-0005-0000-0000-0000D7000000}"/>
    <cellStyle name="Comma 13 3" xfId="228" xr:uid="{00000000-0005-0000-0000-0000D8000000}"/>
    <cellStyle name="Comma 14" xfId="52" xr:uid="{00000000-0005-0000-0000-0000D9000000}"/>
    <cellStyle name="Comma 15" xfId="142" xr:uid="{00000000-0005-0000-0000-0000DA000000}"/>
    <cellStyle name="Comma 15 2" xfId="406" xr:uid="{00000000-0005-0000-0000-0000DB000000}"/>
    <cellStyle name="Comma 15 3" xfId="250" xr:uid="{00000000-0005-0000-0000-0000DC000000}"/>
    <cellStyle name="Comma 16" xfId="144" xr:uid="{00000000-0005-0000-0000-0000DD000000}"/>
    <cellStyle name="Comma 16 2" xfId="453" xr:uid="{00000000-0005-0000-0000-0000DE000000}"/>
    <cellStyle name="Comma 16 3" xfId="297" xr:uid="{00000000-0005-0000-0000-0000DF000000}"/>
    <cellStyle name="Comma 17" xfId="498" xr:uid="{00000000-0005-0000-0000-0000E0000000}"/>
    <cellStyle name="Comma 18" xfId="48" xr:uid="{00000000-0005-0000-0000-0000E1000000}"/>
    <cellStyle name="Comma 2" xfId="3" xr:uid="{00000000-0005-0000-0000-0000E2000000}"/>
    <cellStyle name="Comma 2 10" xfId="54" xr:uid="{00000000-0005-0000-0000-0000E3000000}"/>
    <cellStyle name="Comma 2 10 2" xfId="165" xr:uid="{00000000-0005-0000-0000-0000E4000000}"/>
    <cellStyle name="Comma 2 11" xfId="55" xr:uid="{00000000-0005-0000-0000-0000E5000000}"/>
    <cellStyle name="Comma 2 11 2" xfId="166" xr:uid="{00000000-0005-0000-0000-0000E6000000}"/>
    <cellStyle name="Comma 2 12" xfId="497" xr:uid="{00000000-0005-0000-0000-0000E7000000}"/>
    <cellStyle name="Comma 2 13" xfId="53" xr:uid="{00000000-0005-0000-0000-0000E8000000}"/>
    <cellStyle name="Comma 2 2" xfId="56" xr:uid="{00000000-0005-0000-0000-0000E9000000}"/>
    <cellStyle name="Comma 2 2 2" xfId="57" xr:uid="{00000000-0005-0000-0000-0000EA000000}"/>
    <cellStyle name="Comma 2 2 2 2" xfId="58" xr:uid="{00000000-0005-0000-0000-0000EB000000}"/>
    <cellStyle name="Comma 2 2 2 2 2" xfId="169" xr:uid="{00000000-0005-0000-0000-0000EC000000}"/>
    <cellStyle name="Comma 2 2 2 2 3" xfId="168" xr:uid="{00000000-0005-0000-0000-0000ED000000}"/>
    <cellStyle name="Comma 2 2 2 3" xfId="167" xr:uid="{00000000-0005-0000-0000-0000EE000000}"/>
    <cellStyle name="Comma 2 3" xfId="59" xr:uid="{00000000-0005-0000-0000-0000EF000000}"/>
    <cellStyle name="Comma 2 3 2" xfId="170" xr:uid="{00000000-0005-0000-0000-0000F0000000}"/>
    <cellStyle name="Comma 2 4" xfId="60" xr:uid="{00000000-0005-0000-0000-0000F1000000}"/>
    <cellStyle name="Comma 2 4 2" xfId="171" xr:uid="{00000000-0005-0000-0000-0000F2000000}"/>
    <cellStyle name="Comma 2 5" xfId="61" xr:uid="{00000000-0005-0000-0000-0000F3000000}"/>
    <cellStyle name="Comma 2 5 2" xfId="172" xr:uid="{00000000-0005-0000-0000-0000F4000000}"/>
    <cellStyle name="Comma 2 6" xfId="62" xr:uid="{00000000-0005-0000-0000-0000F5000000}"/>
    <cellStyle name="Comma 2 6 2" xfId="173" xr:uid="{00000000-0005-0000-0000-0000F6000000}"/>
    <cellStyle name="Comma 2 7" xfId="63" xr:uid="{00000000-0005-0000-0000-0000F7000000}"/>
    <cellStyle name="Comma 2 7 2" xfId="174" xr:uid="{00000000-0005-0000-0000-0000F8000000}"/>
    <cellStyle name="Comma 2 8" xfId="64" xr:uid="{00000000-0005-0000-0000-0000F9000000}"/>
    <cellStyle name="Comma 2 8 2" xfId="175" xr:uid="{00000000-0005-0000-0000-0000FA000000}"/>
    <cellStyle name="Comma 2 9" xfId="65" xr:uid="{00000000-0005-0000-0000-0000FB000000}"/>
    <cellStyle name="Comma 2 9 2" xfId="176" xr:uid="{00000000-0005-0000-0000-0000FC000000}"/>
    <cellStyle name="Comma 3" xfId="66" xr:uid="{00000000-0005-0000-0000-0000FD000000}"/>
    <cellStyle name="Comma 3 2" xfId="4" xr:uid="{00000000-0005-0000-0000-0000FE000000}"/>
    <cellStyle name="Comma 3 2 2" xfId="339" xr:uid="{00000000-0005-0000-0000-0000FF000000}"/>
    <cellStyle name="Comma 3 3" xfId="177" xr:uid="{00000000-0005-0000-0000-000000010000}"/>
    <cellStyle name="Comma 3 4" xfId="495" xr:uid="{00000000-0005-0000-0000-000001010000}"/>
    <cellStyle name="Comma 3 4 3" xfId="499" xr:uid="{00000000-0005-0000-0000-000002010000}"/>
    <cellStyle name="Comma 3 4 4" xfId="500" xr:uid="{00000000-0005-0000-0000-000003010000}"/>
    <cellStyle name="Comma 4" xfId="67" xr:uid="{00000000-0005-0000-0000-000004010000}"/>
    <cellStyle name="Comma 4 2" xfId="68" xr:uid="{00000000-0005-0000-0000-000005010000}"/>
    <cellStyle name="Comma 4 3" xfId="178" xr:uid="{00000000-0005-0000-0000-000006010000}"/>
    <cellStyle name="Comma 5" xfId="69" xr:uid="{00000000-0005-0000-0000-000007010000}"/>
    <cellStyle name="Comma 6" xfId="70" xr:uid="{00000000-0005-0000-0000-000008010000}"/>
    <cellStyle name="Comma 7" xfId="71" xr:uid="{00000000-0005-0000-0000-000009010000}"/>
    <cellStyle name="Comma 8" xfId="72" xr:uid="{00000000-0005-0000-0000-00000A010000}"/>
    <cellStyle name="Comma 8 2" xfId="73" xr:uid="{00000000-0005-0000-0000-00000B010000}"/>
    <cellStyle name="Comma 9" xfId="74" xr:uid="{00000000-0005-0000-0000-00000C010000}"/>
    <cellStyle name="Explanatory Text" xfId="21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eutral 2" xfId="111" xr:uid="{00000000-0005-0000-0000-000017010000}"/>
    <cellStyle name="Normal" xfId="0" builtinId="0"/>
    <cellStyle name="Normal - Style1" xfId="75" xr:uid="{00000000-0005-0000-0000-000019010000}"/>
    <cellStyle name="Normal 10" xfId="76" xr:uid="{00000000-0005-0000-0000-00001A010000}"/>
    <cellStyle name="Normal 10 2" xfId="376" xr:uid="{00000000-0005-0000-0000-00001B010000}"/>
    <cellStyle name="Normal 10 3" xfId="220" xr:uid="{00000000-0005-0000-0000-00001C010000}"/>
    <cellStyle name="Normal 11" xfId="77" xr:uid="{00000000-0005-0000-0000-00001D010000}"/>
    <cellStyle name="Normal 11 2" xfId="380" xr:uid="{00000000-0005-0000-0000-00001E010000}"/>
    <cellStyle name="Normal 11 3" xfId="224" xr:uid="{00000000-0005-0000-0000-00001F010000}"/>
    <cellStyle name="Normal 12" xfId="78" xr:uid="{00000000-0005-0000-0000-000020010000}"/>
    <cellStyle name="Normal 12 2" xfId="79" xr:uid="{00000000-0005-0000-0000-000021010000}"/>
    <cellStyle name="Normal 12 2 2" xfId="340" xr:uid="{00000000-0005-0000-0000-000022010000}"/>
    <cellStyle name="Normal 12 2 3" xfId="179" xr:uid="{00000000-0005-0000-0000-000023010000}"/>
    <cellStyle name="Normal 12 3" xfId="377" xr:uid="{00000000-0005-0000-0000-000024010000}"/>
    <cellStyle name="Normal 12 4" xfId="221" xr:uid="{00000000-0005-0000-0000-000025010000}"/>
    <cellStyle name="Normal 13" xfId="80" xr:uid="{00000000-0005-0000-0000-000026010000}"/>
    <cellStyle name="Normal 13 2" xfId="382" xr:uid="{00000000-0005-0000-0000-000027010000}"/>
    <cellStyle name="Normal 13 3" xfId="226" xr:uid="{00000000-0005-0000-0000-000028010000}"/>
    <cellStyle name="Normal 14" xfId="81" xr:uid="{00000000-0005-0000-0000-000029010000}"/>
    <cellStyle name="Normal 14 2" xfId="180" xr:uid="{00000000-0005-0000-0000-00002A010000}"/>
    <cellStyle name="Normal 15" xfId="108" xr:uid="{00000000-0005-0000-0000-00002B010000}"/>
    <cellStyle name="Normal 15 2" xfId="378" xr:uid="{00000000-0005-0000-0000-00002C010000}"/>
    <cellStyle name="Normal 15 3" xfId="222" xr:uid="{00000000-0005-0000-0000-00002D010000}"/>
    <cellStyle name="Normal 16" xfId="113" xr:uid="{00000000-0005-0000-0000-00002E010000}"/>
    <cellStyle name="Normal 16 2" xfId="381" xr:uid="{00000000-0005-0000-0000-00002F010000}"/>
    <cellStyle name="Normal 16 3" xfId="225" xr:uid="{00000000-0005-0000-0000-000030010000}"/>
    <cellStyle name="Normal 17" xfId="130" xr:uid="{00000000-0005-0000-0000-000031010000}"/>
    <cellStyle name="Normal 17 2" xfId="379" xr:uid="{00000000-0005-0000-0000-000032010000}"/>
    <cellStyle name="Normal 17 3" xfId="223" xr:uid="{00000000-0005-0000-0000-000033010000}"/>
    <cellStyle name="Normal 18" xfId="134" xr:uid="{00000000-0005-0000-0000-000034010000}"/>
    <cellStyle name="Normal 18 2" xfId="383" xr:uid="{00000000-0005-0000-0000-000035010000}"/>
    <cellStyle name="Normal 18 3" xfId="227" xr:uid="{00000000-0005-0000-0000-000036010000}"/>
    <cellStyle name="Normal 19" xfId="115" xr:uid="{00000000-0005-0000-0000-000037010000}"/>
    <cellStyle name="Normal 19 2" xfId="385" xr:uid="{00000000-0005-0000-0000-000038010000}"/>
    <cellStyle name="Normal 19 3" xfId="229" xr:uid="{00000000-0005-0000-0000-000039010000}"/>
    <cellStyle name="Normal 2" xfId="5" xr:uid="{00000000-0005-0000-0000-00003A010000}"/>
    <cellStyle name="Normal 2 2" xfId="83" xr:uid="{00000000-0005-0000-0000-00003B010000}"/>
    <cellStyle name="Normal 2 2 2" xfId="181" xr:uid="{00000000-0005-0000-0000-00003C010000}"/>
    <cellStyle name="Normal 2 3" xfId="84" xr:uid="{00000000-0005-0000-0000-00003D010000}"/>
    <cellStyle name="Normal 2 4" xfId="85" xr:uid="{00000000-0005-0000-0000-00003E010000}"/>
    <cellStyle name="Normal 2 5" xfId="86" xr:uid="{00000000-0005-0000-0000-00003F010000}"/>
    <cellStyle name="Normal 2 6" xfId="496" xr:uid="{00000000-0005-0000-0000-000040010000}"/>
    <cellStyle name="Normal 20" xfId="119" xr:uid="{00000000-0005-0000-0000-000041010000}"/>
    <cellStyle name="Normal 20 2" xfId="405" xr:uid="{00000000-0005-0000-0000-000042010000}"/>
    <cellStyle name="Normal 20 3" xfId="249" xr:uid="{00000000-0005-0000-0000-000043010000}"/>
    <cellStyle name="Normal 21" xfId="140" xr:uid="{00000000-0005-0000-0000-000044010000}"/>
    <cellStyle name="Normal 21 2" xfId="415" xr:uid="{00000000-0005-0000-0000-000045010000}"/>
    <cellStyle name="Normal 21 3" xfId="259" xr:uid="{00000000-0005-0000-0000-000046010000}"/>
    <cellStyle name="Normal 22" xfId="139" xr:uid="{00000000-0005-0000-0000-000047010000}"/>
    <cellStyle name="Normal 22 2" xfId="411" xr:uid="{00000000-0005-0000-0000-000048010000}"/>
    <cellStyle name="Normal 22 3" xfId="255" xr:uid="{00000000-0005-0000-0000-000049010000}"/>
    <cellStyle name="Normal 23" xfId="138" xr:uid="{00000000-0005-0000-0000-00004A010000}"/>
    <cellStyle name="Normal 23 2" xfId="449" xr:uid="{00000000-0005-0000-0000-00004B010000}"/>
    <cellStyle name="Normal 23 3" xfId="293" xr:uid="{00000000-0005-0000-0000-00004C010000}"/>
    <cellStyle name="Normal 24" xfId="112" xr:uid="{00000000-0005-0000-0000-00004D010000}"/>
    <cellStyle name="Normal 24 2" xfId="409" xr:uid="{00000000-0005-0000-0000-00004E010000}"/>
    <cellStyle name="Normal 24 3" xfId="253" xr:uid="{00000000-0005-0000-0000-00004F010000}"/>
    <cellStyle name="Normal 25" xfId="123" xr:uid="{00000000-0005-0000-0000-000050010000}"/>
    <cellStyle name="Normal 25 2" xfId="417" xr:uid="{00000000-0005-0000-0000-000051010000}"/>
    <cellStyle name="Normal 25 3" xfId="261" xr:uid="{00000000-0005-0000-0000-000052010000}"/>
    <cellStyle name="Normal 26" xfId="141" xr:uid="{00000000-0005-0000-0000-000053010000}"/>
    <cellStyle name="Normal 26 2" xfId="407" xr:uid="{00000000-0005-0000-0000-000054010000}"/>
    <cellStyle name="Normal 26 3" xfId="251" xr:uid="{00000000-0005-0000-0000-000055010000}"/>
    <cellStyle name="Normal 27" xfId="143" xr:uid="{00000000-0005-0000-0000-000056010000}"/>
    <cellStyle name="Normal 27 2" xfId="6" xr:uid="{00000000-0005-0000-0000-000057010000}"/>
    <cellStyle name="Normal 27 2 2" xfId="418" xr:uid="{00000000-0005-0000-0000-000058010000}"/>
    <cellStyle name="Normal 27 3" xfId="262" xr:uid="{00000000-0005-0000-0000-000059010000}"/>
    <cellStyle name="Normal 28" xfId="295" xr:uid="{00000000-0005-0000-0000-00005A010000}"/>
    <cellStyle name="Normal 28 2" xfId="451" xr:uid="{00000000-0005-0000-0000-00005B010000}"/>
    <cellStyle name="Normal 29" xfId="285" xr:uid="{00000000-0005-0000-0000-00005C010000}"/>
    <cellStyle name="Normal 29 2" xfId="441" xr:uid="{00000000-0005-0000-0000-00005D010000}"/>
    <cellStyle name="Normal 3" xfId="87" xr:uid="{00000000-0005-0000-0000-00005E010000}"/>
    <cellStyle name="Normal 3 2" xfId="88" xr:uid="{00000000-0005-0000-0000-00005F010000}"/>
    <cellStyle name="Normal 3 2 2" xfId="342" xr:uid="{00000000-0005-0000-0000-000060010000}"/>
    <cellStyle name="Normal 3 2 3" xfId="183" xr:uid="{00000000-0005-0000-0000-000061010000}"/>
    <cellStyle name="Normal 3 3" xfId="341" xr:uid="{00000000-0005-0000-0000-000062010000}"/>
    <cellStyle name="Normal 3 4" xfId="182" xr:uid="{00000000-0005-0000-0000-000063010000}"/>
    <cellStyle name="Normal 30" xfId="294" xr:uid="{00000000-0005-0000-0000-000064010000}"/>
    <cellStyle name="Normal 30 2" xfId="450" xr:uid="{00000000-0005-0000-0000-000065010000}"/>
    <cellStyle name="Normal 31" xfId="289" xr:uid="{00000000-0005-0000-0000-000066010000}"/>
    <cellStyle name="Normal 31 2" xfId="445" xr:uid="{00000000-0005-0000-0000-000067010000}"/>
    <cellStyle name="Normal 32" xfId="288" xr:uid="{00000000-0005-0000-0000-000068010000}"/>
    <cellStyle name="Normal 32 2" xfId="444" xr:uid="{00000000-0005-0000-0000-000069010000}"/>
    <cellStyle name="Normal 33" xfId="273" xr:uid="{00000000-0005-0000-0000-00006A010000}"/>
    <cellStyle name="Normal 33 2" xfId="429" xr:uid="{00000000-0005-0000-0000-00006B010000}"/>
    <cellStyle name="Normal 34" xfId="254" xr:uid="{00000000-0005-0000-0000-00006C010000}"/>
    <cellStyle name="Normal 34 2" xfId="410" xr:uid="{00000000-0005-0000-0000-00006D010000}"/>
    <cellStyle name="Normal 35" xfId="256" xr:uid="{00000000-0005-0000-0000-00006E010000}"/>
    <cellStyle name="Normal 35 2" xfId="412" xr:uid="{00000000-0005-0000-0000-00006F010000}"/>
    <cellStyle name="Normal 36" xfId="280" xr:uid="{00000000-0005-0000-0000-000070010000}"/>
    <cellStyle name="Normal 36 2" xfId="436" xr:uid="{00000000-0005-0000-0000-000071010000}"/>
    <cellStyle name="Normal 37" xfId="258" xr:uid="{00000000-0005-0000-0000-000072010000}"/>
    <cellStyle name="Normal 37 2" xfId="414" xr:uid="{00000000-0005-0000-0000-000073010000}"/>
    <cellStyle name="Normal 38" xfId="287" xr:uid="{00000000-0005-0000-0000-000074010000}"/>
    <cellStyle name="Normal 38 2" xfId="443" xr:uid="{00000000-0005-0000-0000-000075010000}"/>
    <cellStyle name="Normal 39" xfId="252" xr:uid="{00000000-0005-0000-0000-000076010000}"/>
    <cellStyle name="Normal 39 2" xfId="408" xr:uid="{00000000-0005-0000-0000-000077010000}"/>
    <cellStyle name="Normal 4" xfId="89" xr:uid="{00000000-0005-0000-0000-000078010000}"/>
    <cellStyle name="Normal 4 2" xfId="184" xr:uid="{00000000-0005-0000-0000-000079010000}"/>
    <cellStyle name="Normal 40" xfId="257" xr:uid="{00000000-0005-0000-0000-00007A010000}"/>
    <cellStyle name="Normal 40 2" xfId="413" xr:uid="{00000000-0005-0000-0000-00007B010000}"/>
    <cellStyle name="Normal 41" xfId="284" xr:uid="{00000000-0005-0000-0000-00007C010000}"/>
    <cellStyle name="Normal 41 2" xfId="440" xr:uid="{00000000-0005-0000-0000-00007D010000}"/>
    <cellStyle name="Normal 42" xfId="290" xr:uid="{00000000-0005-0000-0000-00007E010000}"/>
    <cellStyle name="Normal 42 2" xfId="446" xr:uid="{00000000-0005-0000-0000-00007F010000}"/>
    <cellStyle name="Normal 43" xfId="269" xr:uid="{00000000-0005-0000-0000-000080010000}"/>
    <cellStyle name="Normal 43 2" xfId="425" xr:uid="{00000000-0005-0000-0000-000081010000}"/>
    <cellStyle name="Normal 44" xfId="292" xr:uid="{00000000-0005-0000-0000-000082010000}"/>
    <cellStyle name="Normal 44 2" xfId="448" xr:uid="{00000000-0005-0000-0000-000083010000}"/>
    <cellStyle name="Normal 45" xfId="286" xr:uid="{00000000-0005-0000-0000-000084010000}"/>
    <cellStyle name="Normal 45 2" xfId="442" xr:uid="{00000000-0005-0000-0000-000085010000}"/>
    <cellStyle name="Normal 46" xfId="291" xr:uid="{00000000-0005-0000-0000-000086010000}"/>
    <cellStyle name="Normal 46 2" xfId="447" xr:uid="{00000000-0005-0000-0000-000087010000}"/>
    <cellStyle name="Normal 47" xfId="296" xr:uid="{00000000-0005-0000-0000-000088010000}"/>
    <cellStyle name="Normal 47 2" xfId="452" xr:uid="{00000000-0005-0000-0000-000089010000}"/>
    <cellStyle name="Normal 48" xfId="303" xr:uid="{00000000-0005-0000-0000-00008A010000}"/>
    <cellStyle name="Normal 48 2" xfId="459" xr:uid="{00000000-0005-0000-0000-00008B010000}"/>
    <cellStyle name="Normal 49" xfId="300" xr:uid="{00000000-0005-0000-0000-00008C010000}"/>
    <cellStyle name="Normal 49 2" xfId="456" xr:uid="{00000000-0005-0000-0000-00008D010000}"/>
    <cellStyle name="Normal 5" xfId="90" xr:uid="{00000000-0005-0000-0000-00008E010000}"/>
    <cellStyle name="Normal 50" xfId="302" xr:uid="{00000000-0005-0000-0000-00008F010000}"/>
    <cellStyle name="Normal 50 2" xfId="458" xr:uid="{00000000-0005-0000-0000-000090010000}"/>
    <cellStyle name="Normal 51" xfId="306" xr:uid="{00000000-0005-0000-0000-000091010000}"/>
    <cellStyle name="Normal 51 2" xfId="462" xr:uid="{00000000-0005-0000-0000-000092010000}"/>
    <cellStyle name="Normal 52" xfId="316" xr:uid="{00000000-0005-0000-0000-000093010000}"/>
    <cellStyle name="Normal 52 2" xfId="472" xr:uid="{00000000-0005-0000-0000-000094010000}"/>
    <cellStyle name="Normal 53" xfId="334" xr:uid="{00000000-0005-0000-0000-000095010000}"/>
    <cellStyle name="Normal 53 2" xfId="490" xr:uid="{00000000-0005-0000-0000-000096010000}"/>
    <cellStyle name="Normal 54" xfId="329" xr:uid="{00000000-0005-0000-0000-000097010000}"/>
    <cellStyle name="Normal 54 2" xfId="485" xr:uid="{00000000-0005-0000-0000-000098010000}"/>
    <cellStyle name="Normal 55" xfId="328" xr:uid="{00000000-0005-0000-0000-000099010000}"/>
    <cellStyle name="Normal 55 2" xfId="484" xr:uid="{00000000-0005-0000-0000-00009A010000}"/>
    <cellStyle name="Normal 56" xfId="331" xr:uid="{00000000-0005-0000-0000-00009B010000}"/>
    <cellStyle name="Normal 56 2" xfId="487" xr:uid="{00000000-0005-0000-0000-00009C010000}"/>
    <cellStyle name="Normal 57" xfId="327" xr:uid="{00000000-0005-0000-0000-00009D010000}"/>
    <cellStyle name="Normal 57 2" xfId="483" xr:uid="{00000000-0005-0000-0000-00009E010000}"/>
    <cellStyle name="Normal 58" xfId="330" xr:uid="{00000000-0005-0000-0000-00009F010000}"/>
    <cellStyle name="Normal 58 2" xfId="486" xr:uid="{00000000-0005-0000-0000-0000A0010000}"/>
    <cellStyle name="Normal 59" xfId="320" xr:uid="{00000000-0005-0000-0000-0000A1010000}"/>
    <cellStyle name="Normal 59 2" xfId="476" xr:uid="{00000000-0005-0000-0000-0000A2010000}"/>
    <cellStyle name="Normal 6" xfId="91" xr:uid="{00000000-0005-0000-0000-0000A3010000}"/>
    <cellStyle name="Normal 6 2" xfId="370" xr:uid="{00000000-0005-0000-0000-0000A4010000}"/>
    <cellStyle name="Normal 6 3" xfId="214" xr:uid="{00000000-0005-0000-0000-0000A5010000}"/>
    <cellStyle name="Normal 60" xfId="301" xr:uid="{00000000-0005-0000-0000-0000A6010000}"/>
    <cellStyle name="Normal 60 2" xfId="457" xr:uid="{00000000-0005-0000-0000-0000A7010000}"/>
    <cellStyle name="Normal 61" xfId="305" xr:uid="{00000000-0005-0000-0000-0000A8010000}"/>
    <cellStyle name="Normal 61 2" xfId="461" xr:uid="{00000000-0005-0000-0000-0000A9010000}"/>
    <cellStyle name="Normal 62" xfId="299" xr:uid="{00000000-0005-0000-0000-0000AA010000}"/>
    <cellStyle name="Normal 62 2" xfId="455" xr:uid="{00000000-0005-0000-0000-0000AB010000}"/>
    <cellStyle name="Normal 63" xfId="337" xr:uid="{00000000-0005-0000-0000-0000AC010000}"/>
    <cellStyle name="Normal 63 2" xfId="493" xr:uid="{00000000-0005-0000-0000-0000AD010000}"/>
    <cellStyle name="Normal 64" xfId="338" xr:uid="{00000000-0005-0000-0000-0000AE010000}"/>
    <cellStyle name="Normal 64 2" xfId="494" xr:uid="{00000000-0005-0000-0000-0000AF010000}"/>
    <cellStyle name="Normal 65" xfId="336" xr:uid="{00000000-0005-0000-0000-0000B0010000}"/>
    <cellStyle name="Normal 65 2" xfId="492" xr:uid="{00000000-0005-0000-0000-0000B1010000}"/>
    <cellStyle name="Normal 66" xfId="335" xr:uid="{00000000-0005-0000-0000-0000B2010000}"/>
    <cellStyle name="Normal 66 2" xfId="491" xr:uid="{00000000-0005-0000-0000-0000B3010000}"/>
    <cellStyle name="Normal 67" xfId="333" xr:uid="{00000000-0005-0000-0000-0000B4010000}"/>
    <cellStyle name="Normal 67 2" xfId="489" xr:uid="{00000000-0005-0000-0000-0000B5010000}"/>
    <cellStyle name="Normal 68" xfId="298" xr:uid="{00000000-0005-0000-0000-0000B6010000}"/>
    <cellStyle name="Normal 68 2" xfId="454" xr:uid="{00000000-0005-0000-0000-0000B7010000}"/>
    <cellStyle name="Normal 69" xfId="332" xr:uid="{00000000-0005-0000-0000-0000B8010000}"/>
    <cellStyle name="Normal 69 2" xfId="488" xr:uid="{00000000-0005-0000-0000-0000B9010000}"/>
    <cellStyle name="Normal 7" xfId="92" xr:uid="{00000000-0005-0000-0000-0000BA010000}"/>
    <cellStyle name="Normal 7 2" xfId="374" xr:uid="{00000000-0005-0000-0000-0000BB010000}"/>
    <cellStyle name="Normal 7 3" xfId="218" xr:uid="{00000000-0005-0000-0000-0000BC010000}"/>
    <cellStyle name="Normal 70" xfId="164" xr:uid="{00000000-0005-0000-0000-0000BD010000}"/>
    <cellStyle name="Normal 71" xfId="195" xr:uid="{00000000-0005-0000-0000-0000BE010000}"/>
    <cellStyle name="Normal 72" xfId="47" xr:uid="{00000000-0005-0000-0000-0000BF010000}"/>
    <cellStyle name="Normal 73" xfId="82" xr:uid="{00000000-0005-0000-0000-0000C0010000}"/>
    <cellStyle name="Normal 74" xfId="501" xr:uid="{00000000-0005-0000-0000-0000C1010000}"/>
    <cellStyle name="Normal 75" xfId="502" xr:uid="{C0069A79-9E0A-40AE-82D9-A37CA7245321}"/>
    <cellStyle name="Normal 8" xfId="93" xr:uid="{00000000-0005-0000-0000-0000C2010000}"/>
    <cellStyle name="Normal 8 2" xfId="372" xr:uid="{00000000-0005-0000-0000-0000C3010000}"/>
    <cellStyle name="Normal 8 3" xfId="216" xr:uid="{00000000-0005-0000-0000-0000C4010000}"/>
    <cellStyle name="Normal 9" xfId="94" xr:uid="{00000000-0005-0000-0000-0000C5010000}"/>
    <cellStyle name="Normal 9 2" xfId="373" xr:uid="{00000000-0005-0000-0000-0000C6010000}"/>
    <cellStyle name="Normal 9 3" xfId="217" xr:uid="{00000000-0005-0000-0000-0000C7010000}"/>
    <cellStyle name="Note 10" xfId="95" xr:uid="{00000000-0005-0000-0000-0000C8010000}"/>
    <cellStyle name="Note 10 2" xfId="343" xr:uid="{00000000-0005-0000-0000-0000C9010000}"/>
    <cellStyle name="Note 10 3" xfId="185" xr:uid="{00000000-0005-0000-0000-0000CA010000}"/>
    <cellStyle name="Note 11" xfId="114" xr:uid="{00000000-0005-0000-0000-0000CB010000}"/>
    <cellStyle name="Note 11 2" xfId="375" xr:uid="{00000000-0005-0000-0000-0000CC010000}"/>
    <cellStyle name="Note 11 3" xfId="219" xr:uid="{00000000-0005-0000-0000-0000CD010000}"/>
    <cellStyle name="Note 12" xfId="145" xr:uid="{00000000-0005-0000-0000-0000CE010000}"/>
    <cellStyle name="Note 12 2" xfId="386" xr:uid="{00000000-0005-0000-0000-0000CF010000}"/>
    <cellStyle name="Note 12 3" xfId="230" xr:uid="{00000000-0005-0000-0000-0000D0010000}"/>
    <cellStyle name="Note 13" xfId="260" xr:uid="{00000000-0005-0000-0000-0000D1010000}"/>
    <cellStyle name="Note 13 2" xfId="416" xr:uid="{00000000-0005-0000-0000-0000D2010000}"/>
    <cellStyle name="Note 14" xfId="304" xr:uid="{00000000-0005-0000-0000-0000D3010000}"/>
    <cellStyle name="Note 14 2" xfId="460" xr:uid="{00000000-0005-0000-0000-0000D4010000}"/>
    <cellStyle name="Note 2" xfId="96" xr:uid="{00000000-0005-0000-0000-0000D5010000}"/>
    <cellStyle name="Note 2 2" xfId="344" xr:uid="{00000000-0005-0000-0000-0000D6010000}"/>
    <cellStyle name="Note 2 3" xfId="186" xr:uid="{00000000-0005-0000-0000-0000D7010000}"/>
    <cellStyle name="Note 3" xfId="97" xr:uid="{00000000-0005-0000-0000-0000D8010000}"/>
    <cellStyle name="Note 3 2" xfId="345" xr:uid="{00000000-0005-0000-0000-0000D9010000}"/>
    <cellStyle name="Note 3 3" xfId="187" xr:uid="{00000000-0005-0000-0000-0000DA010000}"/>
    <cellStyle name="Note 4" xfId="98" xr:uid="{00000000-0005-0000-0000-0000DB010000}"/>
    <cellStyle name="Note 4 2" xfId="346" xr:uid="{00000000-0005-0000-0000-0000DC010000}"/>
    <cellStyle name="Note 4 3" xfId="188" xr:uid="{00000000-0005-0000-0000-0000DD010000}"/>
    <cellStyle name="Note 5" xfId="99" xr:uid="{00000000-0005-0000-0000-0000DE010000}"/>
    <cellStyle name="Note 5 2" xfId="347" xr:uid="{00000000-0005-0000-0000-0000DF010000}"/>
    <cellStyle name="Note 5 3" xfId="189" xr:uid="{00000000-0005-0000-0000-0000E0010000}"/>
    <cellStyle name="Note 6" xfId="100" xr:uid="{00000000-0005-0000-0000-0000E1010000}"/>
    <cellStyle name="Note 6 2" xfId="348" xr:uid="{00000000-0005-0000-0000-0000E2010000}"/>
    <cellStyle name="Note 6 3" xfId="190" xr:uid="{00000000-0005-0000-0000-0000E3010000}"/>
    <cellStyle name="Note 7" xfId="101" xr:uid="{00000000-0005-0000-0000-0000E4010000}"/>
    <cellStyle name="Note 7 2" xfId="349" xr:uid="{00000000-0005-0000-0000-0000E5010000}"/>
    <cellStyle name="Note 7 3" xfId="191" xr:uid="{00000000-0005-0000-0000-0000E6010000}"/>
    <cellStyle name="Note 8" xfId="102" xr:uid="{00000000-0005-0000-0000-0000E7010000}"/>
    <cellStyle name="Note 8 2" xfId="350" xr:uid="{00000000-0005-0000-0000-0000E8010000}"/>
    <cellStyle name="Note 8 3" xfId="192" xr:uid="{00000000-0005-0000-0000-0000E9010000}"/>
    <cellStyle name="Note 9" xfId="103" xr:uid="{00000000-0005-0000-0000-0000EA010000}"/>
    <cellStyle name="Note 9 2" xfId="351" xr:uid="{00000000-0005-0000-0000-0000EB010000}"/>
    <cellStyle name="Note 9 3" xfId="193" xr:uid="{00000000-0005-0000-0000-0000EC010000}"/>
    <cellStyle name="Output" xfId="16" builtinId="21" customBuiltin="1"/>
    <cellStyle name="Percent 2" xfId="105" xr:uid="{00000000-0005-0000-0000-0000EE010000}"/>
    <cellStyle name="Percent 2 2" xfId="7" xr:uid="{00000000-0005-0000-0000-0000EF010000}"/>
    <cellStyle name="Percent 2 2 2" xfId="194" xr:uid="{00000000-0005-0000-0000-0000F0010000}"/>
    <cellStyle name="Percent 3" xfId="106" xr:uid="{00000000-0005-0000-0000-0000F1010000}"/>
    <cellStyle name="Percent 4" xfId="104" xr:uid="{00000000-0005-0000-0000-0000F2010000}"/>
    <cellStyle name="Title 2" xfId="110" xr:uid="{00000000-0005-0000-0000-0000F3010000}"/>
    <cellStyle name="Title 3" xfId="107" xr:uid="{00000000-0005-0000-0000-0000F4010000}"/>
    <cellStyle name="Total" xfId="22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October 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22.54790675089</c:v>
                </c:pt>
                <c:pt idx="1">
                  <c:v>864.77026955073995</c:v>
                </c:pt>
                <c:pt idx="2">
                  <c:v>297.86882694543999</c:v>
                </c:pt>
                <c:pt idx="3">
                  <c:v>648.61294131015234</c:v>
                </c:pt>
                <c:pt idx="4">
                  <c:v>92.89143036821001</c:v>
                </c:pt>
                <c:pt idx="5">
                  <c:v>39.71452184284999</c:v>
                </c:pt>
                <c:pt idx="6">
                  <c:v>3.89449754942</c:v>
                </c:pt>
                <c:pt idx="7">
                  <c:v>46.293023793199723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A-4359-9F0D-FE85636E117C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November 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23.04667578047</c:v>
                </c:pt>
                <c:pt idx="1">
                  <c:v>865.75717689171017</c:v>
                </c:pt>
                <c:pt idx="2">
                  <c:v>292.87024288021001</c:v>
                </c:pt>
                <c:pt idx="3">
                  <c:v>756.91777952978691</c:v>
                </c:pt>
                <c:pt idx="4">
                  <c:v>93.995813289460003</c:v>
                </c:pt>
                <c:pt idx="5">
                  <c:v>40.559468372719998</c:v>
                </c:pt>
                <c:pt idx="6">
                  <c:v>3.4718177890600002</c:v>
                </c:pt>
                <c:pt idx="7">
                  <c:v>46.39761833500841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AA-4359-9F0D-FE85636E117C}"/>
            </c:ext>
          </c:extLst>
        </c:ser>
        <c:ser>
          <c:idx val="2"/>
          <c:order val="2"/>
          <c:tx>
            <c:strRef>
              <c:f>'NAV Comparison'!$D$4</c:f>
              <c:strCache>
                <c:ptCount val="1"/>
                <c:pt idx="0">
                  <c:v>December 2023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Comparison'!$D$5:$D$12</c:f>
              <c:numCache>
                <c:formatCode>_(* #,##0.00_);_(* \(#,##0.00\);_(* "-"??_);_(@_)</c:formatCode>
                <c:ptCount val="8"/>
                <c:pt idx="0">
                  <c:v>24.813480452169998</c:v>
                </c:pt>
                <c:pt idx="1">
                  <c:v>877.05464123596983</c:v>
                </c:pt>
                <c:pt idx="2">
                  <c:v>289.59781149676002</c:v>
                </c:pt>
                <c:pt idx="3">
                  <c:v>704.14775334012222</c:v>
                </c:pt>
                <c:pt idx="4">
                  <c:v>94.621673097889996</c:v>
                </c:pt>
                <c:pt idx="5">
                  <c:v>42.357057102540004</c:v>
                </c:pt>
                <c:pt idx="6">
                  <c:v>4.4074830868200001</c:v>
                </c:pt>
                <c:pt idx="7">
                  <c:v>46.592503181190004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9-4C96-B591-90DE1AE78C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217560112984199"/>
          <c:y val="0.167450900141421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December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EFB-4C10-9AB4-42CC08E056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EFB-4C10-9AB4-42CC08E056A6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EFB-4C10-9AB4-42CC08E056A6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EFB-4C10-9AB4-42CC08E056A6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EFB-4C10-9AB4-42CC08E056A6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EFB-4C10-9AB4-42CC08E056A6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6EFB-4C10-9AB4-42CC08E056A6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6EFB-4C10-9AB4-42CC08E056A6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FB-4C10-9AB4-42CC08E056A6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FB-4C10-9AB4-42CC08E056A6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FB-4C10-9AB4-42CC08E056A6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FB-4C10-9AB4-42CC08E056A6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FB-4C10-9AB4-42CC08E056A6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FB-4C10-9AB4-42CC08E056A6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EFB-4C10-9AB4-42CC08E056A6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EFB-4C10-9AB4-42CC08E056A6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4407483086.8199997</c:v>
                </c:pt>
                <c:pt idx="1">
                  <c:v>24813480452.169998</c:v>
                </c:pt>
                <c:pt idx="2" formatCode="#,##0.00">
                  <c:v>42357057102.540001</c:v>
                </c:pt>
                <c:pt idx="3" formatCode="#,##0.00">
                  <c:v>46592503181.190002</c:v>
                </c:pt>
                <c:pt idx="4" formatCode="#,##0.00">
                  <c:v>94621673097.889999</c:v>
                </c:pt>
                <c:pt idx="5" formatCode="#,##0.00">
                  <c:v>289597811496.76001</c:v>
                </c:pt>
                <c:pt idx="6" formatCode="#,##0.00">
                  <c:v>704147753340.12219</c:v>
                </c:pt>
                <c:pt idx="7" formatCode="&quot; &quot;* #,##0.00&quot; &quot;;&quot;-&quot;* #,##0.00&quot; &quot;;&quot; &quot;* &quot;-&quot;??&quot; &quot;">
                  <c:v>877054641235.96985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FB-4C10-9AB4-42CC08E056A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47671</c:v>
                </c:pt>
                <c:pt idx="1">
                  <c:v>267690</c:v>
                </c:pt>
                <c:pt idx="2">
                  <c:v>44532</c:v>
                </c:pt>
                <c:pt idx="3">
                  <c:v>13109</c:v>
                </c:pt>
                <c:pt idx="4">
                  <c:v>217020</c:v>
                </c:pt>
                <c:pt idx="5">
                  <c:v>68628</c:v>
                </c:pt>
                <c:pt idx="6">
                  <c:v>11067</c:v>
                </c:pt>
                <c:pt idx="7">
                  <c:v>25802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8-4643-B890-E38BB02CC0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520065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593912</xdr:colOff>
      <xdr:row>30</xdr:row>
      <xdr:rowOff>179293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28574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8"/>
  <sheetViews>
    <sheetView tabSelected="1" zoomScaleNormal="100" workbookViewId="0">
      <pane ySplit="2" topLeftCell="A3" activePane="bottomLeft" state="frozen"/>
      <selection pane="bottomLeft" activeCell="A3" sqref="A3:U3"/>
    </sheetView>
  </sheetViews>
  <sheetFormatPr defaultColWidth="9" defaultRowHeight="12.75"/>
  <cols>
    <col min="1" max="1" width="6.7109375" style="17" customWidth="1"/>
    <col min="2" max="2" width="53.7109375" style="17" customWidth="1"/>
    <col min="3" max="3" width="47.7109375" style="17" customWidth="1"/>
    <col min="4" max="4" width="21.5703125" style="17" customWidth="1"/>
    <col min="5" max="5" width="19.28515625" style="17" customWidth="1"/>
    <col min="6" max="6" width="19.7109375" style="17" customWidth="1"/>
    <col min="7" max="7" width="20" style="17" customWidth="1"/>
    <col min="8" max="8" width="22" style="17" customWidth="1"/>
    <col min="9" max="9" width="9" style="17"/>
    <col min="10" max="10" width="23" style="17" customWidth="1"/>
    <col min="11" max="11" width="9" style="17"/>
    <col min="12" max="12" width="11.5703125" style="17" customWidth="1"/>
    <col min="13" max="13" width="12.140625" style="17" customWidth="1"/>
    <col min="14" max="14" width="12.5703125" style="17" customWidth="1"/>
    <col min="15" max="15" width="12.28515625" style="17" customWidth="1"/>
    <col min="16" max="16" width="12.7109375" style="17" customWidth="1"/>
    <col min="17" max="18" width="14.42578125" style="17" customWidth="1"/>
    <col min="19" max="19" width="15.5703125" style="17" customWidth="1"/>
    <col min="20" max="21" width="20.140625" style="17" customWidth="1"/>
    <col min="22" max="16384" width="9" style="17"/>
  </cols>
  <sheetData>
    <row r="1" spans="1:21" ht="40.5" customHeight="1">
      <c r="A1" s="128" t="s">
        <v>221</v>
      </c>
      <c r="B1" s="128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48" customHeigh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40" t="s">
        <v>6</v>
      </c>
      <c r="H2" s="39" t="s">
        <v>215</v>
      </c>
      <c r="I2" s="39" t="s">
        <v>7</v>
      </c>
      <c r="J2" s="39" t="s">
        <v>8</v>
      </c>
      <c r="K2" s="39" t="s">
        <v>7</v>
      </c>
      <c r="L2" s="39" t="s">
        <v>9</v>
      </c>
      <c r="M2" s="39" t="s">
        <v>10</v>
      </c>
      <c r="N2" s="39" t="s">
        <v>11</v>
      </c>
      <c r="O2" s="39" t="s">
        <v>12</v>
      </c>
      <c r="P2" s="39" t="s">
        <v>13</v>
      </c>
      <c r="Q2" s="39" t="s">
        <v>14</v>
      </c>
      <c r="R2" s="39" t="s">
        <v>15</v>
      </c>
      <c r="S2" s="39" t="s">
        <v>16</v>
      </c>
      <c r="T2" s="39" t="s">
        <v>17</v>
      </c>
      <c r="U2" s="39" t="s">
        <v>18</v>
      </c>
    </row>
    <row r="3" spans="1:21" ht="6" customHeigh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</row>
    <row r="4" spans="1:21" ht="17.25" customHeight="1">
      <c r="A4" s="130" t="s">
        <v>19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</row>
    <row r="5" spans="1:21" ht="15" customHeight="1">
      <c r="A5" s="110">
        <v>1</v>
      </c>
      <c r="B5" s="30" t="s">
        <v>20</v>
      </c>
      <c r="C5" s="30" t="s">
        <v>21</v>
      </c>
      <c r="D5" s="48">
        <v>809010445.70000005</v>
      </c>
      <c r="E5" s="48">
        <v>1474995.24</v>
      </c>
      <c r="F5" s="48">
        <v>1550654.51</v>
      </c>
      <c r="G5" s="43">
        <v>-75659.27</v>
      </c>
      <c r="H5" s="29">
        <v>748758543.25999999</v>
      </c>
      <c r="I5" s="44">
        <f>(H5/$H$21)</f>
        <v>3.2488787120201777E-2</v>
      </c>
      <c r="J5" s="70">
        <v>821747952.97000003</v>
      </c>
      <c r="K5" s="44">
        <f>(J5/$J$21)</f>
        <v>3.3116996809616696E-2</v>
      </c>
      <c r="L5" s="44">
        <f t="shared" ref="L5:L21" si="0">((J5-H5)/H5)</f>
        <v>9.7480570161127489E-2</v>
      </c>
      <c r="M5" s="45">
        <f t="shared" ref="M5" si="1">(F5/J5)</f>
        <v>1.8870196200617862E-3</v>
      </c>
      <c r="N5" s="46">
        <f t="shared" ref="N5" si="2">G5/J5</f>
        <v>-9.2071138998945742E-5</v>
      </c>
      <c r="O5" s="47">
        <f t="shared" ref="O5" si="3">J5/U5</f>
        <v>309.87922428373128</v>
      </c>
      <c r="P5" s="47">
        <f t="shared" ref="P5" si="4">G5/U5</f>
        <v>-2.8530933131912909E-2</v>
      </c>
      <c r="Q5" s="48">
        <v>309.87920000000003</v>
      </c>
      <c r="R5" s="48">
        <v>314.3485</v>
      </c>
      <c r="S5" s="48">
        <v>1727</v>
      </c>
      <c r="T5" s="48">
        <v>2549036.5299999998</v>
      </c>
      <c r="U5" s="48">
        <v>2651833</v>
      </c>
    </row>
    <row r="6" spans="1:21" ht="14.25">
      <c r="A6" s="111">
        <v>2</v>
      </c>
      <c r="B6" s="32" t="s">
        <v>22</v>
      </c>
      <c r="C6" s="32" t="s">
        <v>23</v>
      </c>
      <c r="D6" s="48">
        <v>522430018.43000001</v>
      </c>
      <c r="E6" s="48">
        <v>6442966.3899999997</v>
      </c>
      <c r="F6" s="48">
        <v>4963928.66</v>
      </c>
      <c r="G6" s="43">
        <v>1479037.73</v>
      </c>
      <c r="H6" s="29">
        <v>493306974.68000001</v>
      </c>
      <c r="I6" s="44">
        <f t="shared" ref="I6:I20" si="5">(H6/$H$21)</f>
        <v>2.1404691044338533E-2</v>
      </c>
      <c r="J6" s="70">
        <v>522430018.43000001</v>
      </c>
      <c r="K6" s="44">
        <f t="shared" ref="K6:K20" si="6">(J6/$J$21)</f>
        <v>2.1054282144619994E-2</v>
      </c>
      <c r="L6" s="44">
        <f t="shared" si="0"/>
        <v>5.9036351085227673E-2</v>
      </c>
      <c r="M6" s="45">
        <f t="shared" ref="M6:M20" si="7">(F6/J6)</f>
        <v>9.5016145414414267E-3</v>
      </c>
      <c r="N6" s="46">
        <f t="shared" ref="N6:N20" si="8">G6/J6</f>
        <v>2.8310734027971541E-3</v>
      </c>
      <c r="O6" s="47">
        <f t="shared" ref="O6:O20" si="9">J6/U6</f>
        <v>175.33292192090963</v>
      </c>
      <c r="P6" s="47">
        <f t="shared" ref="P6:P20" si="10">G6/U6</f>
        <v>0.49638037188499728</v>
      </c>
      <c r="Q6" s="48">
        <v>191.03</v>
      </c>
      <c r="R6" s="48">
        <v>193.54</v>
      </c>
      <c r="S6" s="48">
        <v>374</v>
      </c>
      <c r="T6" s="48">
        <v>2972828.86</v>
      </c>
      <c r="U6" s="48">
        <v>2979645.88</v>
      </c>
    </row>
    <row r="7" spans="1:21" ht="14.25">
      <c r="A7" s="110">
        <v>3</v>
      </c>
      <c r="B7" s="32" t="s">
        <v>24</v>
      </c>
      <c r="C7" s="32" t="s">
        <v>25</v>
      </c>
      <c r="D7" s="48">
        <v>3074351150.6500001</v>
      </c>
      <c r="E7" s="48">
        <v>56901547.640000001</v>
      </c>
      <c r="F7" s="48">
        <v>9732517.8300000001</v>
      </c>
      <c r="G7" s="43">
        <v>216207536.15000001</v>
      </c>
      <c r="H7" s="29">
        <v>3195423444</v>
      </c>
      <c r="I7" s="44">
        <f t="shared" si="5"/>
        <v>0.13865008014335134</v>
      </c>
      <c r="J7" s="70">
        <v>3301522046.1799998</v>
      </c>
      <c r="K7" s="44">
        <f t="shared" si="6"/>
        <v>0.13305356548203515</v>
      </c>
      <c r="L7" s="44">
        <f t="shared" si="0"/>
        <v>3.3203299668849717E-2</v>
      </c>
      <c r="M7" s="45">
        <f t="shared" si="7"/>
        <v>2.9478881842576014E-3</v>
      </c>
      <c r="N7" s="46">
        <f t="shared" si="8"/>
        <v>6.5487230775926886E-2</v>
      </c>
      <c r="O7" s="47">
        <f t="shared" si="9"/>
        <v>30.57548084871263</v>
      </c>
      <c r="P7" s="47">
        <f t="shared" si="10"/>
        <v>2.0023035704245769</v>
      </c>
      <c r="Q7" s="48">
        <v>30.43</v>
      </c>
      <c r="R7" s="48">
        <v>31.35</v>
      </c>
      <c r="S7" s="48">
        <v>6342</v>
      </c>
      <c r="T7" s="48">
        <v>107771265</v>
      </c>
      <c r="U7" s="48">
        <v>107979399</v>
      </c>
    </row>
    <row r="8" spans="1:21" ht="14.25">
      <c r="A8" s="111">
        <v>4</v>
      </c>
      <c r="B8" s="30" t="s">
        <v>26</v>
      </c>
      <c r="C8" s="30" t="s">
        <v>27</v>
      </c>
      <c r="D8" s="48">
        <v>375490153.88999999</v>
      </c>
      <c r="E8" s="48">
        <v>13953204.640000001</v>
      </c>
      <c r="F8" s="48">
        <v>1289405.6399999999</v>
      </c>
      <c r="G8" s="43">
        <v>12663798.99</v>
      </c>
      <c r="H8" s="29">
        <v>460037318.63</v>
      </c>
      <c r="I8" s="44">
        <f t="shared" si="5"/>
        <v>1.9961113828825611E-2</v>
      </c>
      <c r="J8" s="91">
        <v>514893446.47000003</v>
      </c>
      <c r="K8" s="44">
        <f t="shared" si="6"/>
        <v>2.0750553210884665E-2</v>
      </c>
      <c r="L8" s="44">
        <f t="shared" si="0"/>
        <v>0.11924277796280232</v>
      </c>
      <c r="M8" s="45">
        <f t="shared" si="7"/>
        <v>2.5042183947764159E-3</v>
      </c>
      <c r="N8" s="46">
        <f t="shared" si="8"/>
        <v>2.4594989656248907E-2</v>
      </c>
      <c r="O8" s="47">
        <f t="shared" si="9"/>
        <v>203.74884622927928</v>
      </c>
      <c r="P8" s="47">
        <f t="shared" si="10"/>
        <v>5.0112007654817727</v>
      </c>
      <c r="Q8" s="91">
        <v>203.74879999999999</v>
      </c>
      <c r="R8" s="91">
        <v>203.74879999999999</v>
      </c>
      <c r="S8" s="48">
        <v>1715</v>
      </c>
      <c r="T8" s="48">
        <v>2365892.29</v>
      </c>
      <c r="U8" s="48">
        <v>2527098.71</v>
      </c>
    </row>
    <row r="9" spans="1:21" ht="14.25">
      <c r="A9" s="110">
        <v>5</v>
      </c>
      <c r="B9" s="32" t="s">
        <v>222</v>
      </c>
      <c r="C9" s="32" t="s">
        <v>47</v>
      </c>
      <c r="D9" s="48">
        <v>130230284.90000001</v>
      </c>
      <c r="E9" s="32">
        <v>389855.92</v>
      </c>
      <c r="F9" s="32">
        <v>87307.199999999997</v>
      </c>
      <c r="G9" s="32">
        <v>302548.71999999997</v>
      </c>
      <c r="H9" s="30">
        <v>123749125.16</v>
      </c>
      <c r="I9" s="44">
        <f t="shared" si="5"/>
        <v>5.3694999807679996E-3</v>
      </c>
      <c r="J9" s="48">
        <v>130230284.90000001</v>
      </c>
      <c r="K9" s="44">
        <f t="shared" si="6"/>
        <v>5.2483683274915614E-3</v>
      </c>
      <c r="L9" s="44">
        <f t="shared" si="0"/>
        <v>5.2373378249100905E-2</v>
      </c>
      <c r="M9" s="45">
        <f t="shared" si="7"/>
        <v>6.7040627352570579E-4</v>
      </c>
      <c r="N9" s="46">
        <f t="shared" si="8"/>
        <v>2.3231825088328587E-3</v>
      </c>
      <c r="O9" s="47">
        <f t="shared" si="9"/>
        <v>247.20467870513934</v>
      </c>
      <c r="P9" s="47">
        <f t="shared" si="10"/>
        <v>0.57430158566942635</v>
      </c>
      <c r="Q9" s="32">
        <v>139.66999999999999</v>
      </c>
      <c r="R9" s="32">
        <v>140.51</v>
      </c>
      <c r="S9" s="32">
        <v>63</v>
      </c>
      <c r="T9" s="32">
        <v>523750.12</v>
      </c>
      <c r="U9" s="32">
        <v>526811.56999999995</v>
      </c>
    </row>
    <row r="10" spans="1:21" ht="14.25">
      <c r="A10" s="111">
        <v>6</v>
      </c>
      <c r="B10" s="32" t="s">
        <v>28</v>
      </c>
      <c r="C10" s="32" t="s">
        <v>29</v>
      </c>
      <c r="D10" s="92">
        <v>1024589792.54</v>
      </c>
      <c r="E10" s="93">
        <v>2272720.7599999998</v>
      </c>
      <c r="F10" s="92">
        <v>9070462.3000000007</v>
      </c>
      <c r="G10" s="51">
        <v>53811964.579999998</v>
      </c>
      <c r="H10" s="30">
        <v>766956621.58000004</v>
      </c>
      <c r="I10" s="44">
        <f t="shared" si="5"/>
        <v>3.3278405479627883E-2</v>
      </c>
      <c r="J10" s="51">
        <v>938068751.50999999</v>
      </c>
      <c r="K10" s="44">
        <f t="shared" si="6"/>
        <v>3.7804803454243502E-2</v>
      </c>
      <c r="L10" s="44">
        <f t="shared" si="0"/>
        <v>0.22310535578595497</v>
      </c>
      <c r="M10" s="45">
        <f t="shared" si="7"/>
        <v>9.6692937328947022E-3</v>
      </c>
      <c r="N10" s="46">
        <f t="shared" si="8"/>
        <v>5.7364627585536149E-2</v>
      </c>
      <c r="O10" s="47">
        <f t="shared" si="9"/>
        <v>248.66508815582355</v>
      </c>
      <c r="P10" s="47">
        <f t="shared" si="10"/>
        <v>14.264580175583333</v>
      </c>
      <c r="Q10" s="91">
        <v>248.67</v>
      </c>
      <c r="R10" s="91">
        <v>252.04</v>
      </c>
      <c r="S10" s="91">
        <v>1585</v>
      </c>
      <c r="T10" s="92">
        <v>3275965.66</v>
      </c>
      <c r="U10" s="92">
        <v>3772418.39</v>
      </c>
    </row>
    <row r="11" spans="1:21" ht="14.25">
      <c r="A11" s="110">
        <v>7</v>
      </c>
      <c r="B11" s="32" t="s">
        <v>30</v>
      </c>
      <c r="C11" s="32" t="s">
        <v>31</v>
      </c>
      <c r="D11" s="48">
        <v>329960372.70999998</v>
      </c>
      <c r="E11" s="48">
        <v>20056840.239999998</v>
      </c>
      <c r="F11" s="48">
        <v>1075340.21</v>
      </c>
      <c r="G11" s="43">
        <v>14143626.85</v>
      </c>
      <c r="H11" s="29">
        <v>301924410.87</v>
      </c>
      <c r="I11" s="44">
        <f t="shared" si="5"/>
        <v>1.3100562256612035E-2</v>
      </c>
      <c r="J11" s="70">
        <v>333576421.72000003</v>
      </c>
      <c r="K11" s="44">
        <f t="shared" si="6"/>
        <v>1.3443354807198278E-2</v>
      </c>
      <c r="L11" s="44">
        <f t="shared" si="0"/>
        <v>0.10483422244261155</v>
      </c>
      <c r="M11" s="45">
        <f t="shared" si="7"/>
        <v>3.2236697199858671E-3</v>
      </c>
      <c r="N11" s="46">
        <f t="shared" si="8"/>
        <v>4.2399959736578709E-2</v>
      </c>
      <c r="O11" s="47">
        <f t="shared" si="9"/>
        <v>167.79185785777631</v>
      </c>
      <c r="P11" s="47">
        <f t="shared" si="10"/>
        <v>7.1143680172954529</v>
      </c>
      <c r="Q11" s="48">
        <v>167.79</v>
      </c>
      <c r="R11" s="48">
        <v>171.41</v>
      </c>
      <c r="S11" s="48">
        <v>2470</v>
      </c>
      <c r="T11" s="48">
        <v>1988037</v>
      </c>
      <c r="U11" s="48">
        <v>1988037</v>
      </c>
    </row>
    <row r="12" spans="1:21" ht="14.25">
      <c r="A12" s="111">
        <v>8</v>
      </c>
      <c r="B12" s="30" t="s">
        <v>32</v>
      </c>
      <c r="C12" s="30" t="s">
        <v>33</v>
      </c>
      <c r="D12" s="48">
        <v>48212000.850000001</v>
      </c>
      <c r="E12" s="48">
        <v>0</v>
      </c>
      <c r="F12" s="48">
        <v>153821.54999999999</v>
      </c>
      <c r="G12" s="43">
        <v>153821.54999999999</v>
      </c>
      <c r="H12" s="29">
        <v>43888325.469999999</v>
      </c>
      <c r="I12" s="44">
        <f t="shared" si="5"/>
        <v>1.9043234646096525E-3</v>
      </c>
      <c r="J12" s="70">
        <v>47862539.780000001</v>
      </c>
      <c r="K12" s="44">
        <f t="shared" si="6"/>
        <v>1.9288926385098994E-3</v>
      </c>
      <c r="L12" s="44">
        <f t="shared" si="0"/>
        <v>9.055288091856202E-2</v>
      </c>
      <c r="M12" s="45">
        <f t="shared" si="7"/>
        <v>3.2138192145055445E-3</v>
      </c>
      <c r="N12" s="46">
        <f t="shared" si="8"/>
        <v>3.2138192145055445E-3</v>
      </c>
      <c r="O12" s="47">
        <f t="shared" si="9"/>
        <v>189.17999913043479</v>
      </c>
      <c r="P12" s="47">
        <f t="shared" si="10"/>
        <v>0.60799031620553357</v>
      </c>
      <c r="Q12" s="48">
        <v>189.18</v>
      </c>
      <c r="R12" s="48">
        <v>182.47</v>
      </c>
      <c r="S12" s="48">
        <v>4</v>
      </c>
      <c r="T12" s="48">
        <v>253000</v>
      </c>
      <c r="U12" s="48">
        <v>253000</v>
      </c>
    </row>
    <row r="13" spans="1:21" ht="14.25">
      <c r="A13" s="110">
        <v>9</v>
      </c>
      <c r="B13" s="32" t="s">
        <v>34</v>
      </c>
      <c r="C13" s="32" t="s">
        <v>35</v>
      </c>
      <c r="D13" s="91">
        <v>554208808.98000002</v>
      </c>
      <c r="E13" s="91">
        <v>1337656.6399999999</v>
      </c>
      <c r="F13" s="91">
        <v>1072440.3500000001</v>
      </c>
      <c r="G13" s="91">
        <v>21638530.949999999</v>
      </c>
      <c r="H13" s="29">
        <v>525700405.48000002</v>
      </c>
      <c r="I13" s="44">
        <f t="shared" si="5"/>
        <v>2.2810248666121479E-2</v>
      </c>
      <c r="J13" s="91">
        <v>556113964.09000003</v>
      </c>
      <c r="K13" s="44">
        <f t="shared" si="6"/>
        <v>2.2411767876012192E-2</v>
      </c>
      <c r="L13" s="44">
        <f t="shared" si="0"/>
        <v>5.7853405272210848E-2</v>
      </c>
      <c r="M13" s="45">
        <f t="shared" si="7"/>
        <v>1.928454272416794E-3</v>
      </c>
      <c r="N13" s="46">
        <f t="shared" si="8"/>
        <v>3.8910245646156937E-2</v>
      </c>
      <c r="O13" s="47">
        <f t="shared" si="9"/>
        <v>1.7236815496949152</v>
      </c>
      <c r="P13" s="47">
        <f t="shared" si="10"/>
        <v>6.7068872514377612E-2</v>
      </c>
      <c r="Q13" s="93">
        <v>1.69</v>
      </c>
      <c r="R13" s="48">
        <v>1.75</v>
      </c>
      <c r="S13" s="48">
        <v>474</v>
      </c>
      <c r="T13" s="91">
        <v>322549958.93000001</v>
      </c>
      <c r="U13" s="91">
        <v>322631500.11000001</v>
      </c>
    </row>
    <row r="14" spans="1:21" ht="14.25">
      <c r="A14" s="111">
        <v>10</v>
      </c>
      <c r="B14" s="30" t="s">
        <v>36</v>
      </c>
      <c r="C14" s="30" t="s">
        <v>37</v>
      </c>
      <c r="D14" s="48">
        <v>1384571417.6099999</v>
      </c>
      <c r="E14" s="43">
        <v>3567366.99</v>
      </c>
      <c r="F14" s="48">
        <v>2143239.23</v>
      </c>
      <c r="G14" s="43">
        <v>1424127.76</v>
      </c>
      <c r="H14" s="30">
        <v>1314265917.21</v>
      </c>
      <c r="I14" s="44">
        <f t="shared" si="5"/>
        <v>5.7026268331666428E-2</v>
      </c>
      <c r="J14" s="70">
        <v>1376394107.6700001</v>
      </c>
      <c r="K14" s="44">
        <f t="shared" si="6"/>
        <v>5.546961097711027E-2</v>
      </c>
      <c r="L14" s="44">
        <f t="shared" si="0"/>
        <v>4.7272161323249837E-2</v>
      </c>
      <c r="M14" s="45">
        <f t="shared" si="7"/>
        <v>1.5571406605540746E-3</v>
      </c>
      <c r="N14" s="46">
        <f t="shared" si="8"/>
        <v>1.0346802213581144E-3</v>
      </c>
      <c r="O14" s="47">
        <f t="shared" si="9"/>
        <v>2.8029209568589155</v>
      </c>
      <c r="P14" s="47">
        <f t="shared" si="10"/>
        <v>2.9001268760920802E-3</v>
      </c>
      <c r="Q14" s="48">
        <v>2.77</v>
      </c>
      <c r="R14" s="48">
        <v>2.83</v>
      </c>
      <c r="S14" s="48">
        <v>3669</v>
      </c>
      <c r="T14" s="48">
        <v>491077069</v>
      </c>
      <c r="U14" s="48">
        <v>491057054</v>
      </c>
    </row>
    <row r="15" spans="1:21" ht="14.25">
      <c r="A15" s="110">
        <v>11</v>
      </c>
      <c r="B15" s="32" t="s">
        <v>38</v>
      </c>
      <c r="C15" s="32" t="s">
        <v>39</v>
      </c>
      <c r="D15" s="91">
        <v>515224898.66000003</v>
      </c>
      <c r="E15" s="91">
        <v>855090.89</v>
      </c>
      <c r="F15" s="91">
        <v>833212.33</v>
      </c>
      <c r="G15" s="102">
        <v>34679936.219999999</v>
      </c>
      <c r="H15" s="31">
        <v>473068974.00999999</v>
      </c>
      <c r="I15" s="44">
        <f t="shared" si="5"/>
        <v>2.0526560034783137E-2</v>
      </c>
      <c r="J15" s="91">
        <v>513593810.07999998</v>
      </c>
      <c r="K15" s="44">
        <f t="shared" si="6"/>
        <v>2.0698176987706089E-2</v>
      </c>
      <c r="L15" s="44">
        <f t="shared" si="0"/>
        <v>8.5663694506297003E-2</v>
      </c>
      <c r="M15" s="45">
        <f t="shared" si="7"/>
        <v>1.622317702524909E-3</v>
      </c>
      <c r="N15" s="46">
        <f t="shared" si="8"/>
        <v>6.7524054105321238E-2</v>
      </c>
      <c r="O15" s="47">
        <f t="shared" si="9"/>
        <v>18.365019675094626</v>
      </c>
      <c r="P15" s="47">
        <f t="shared" si="10"/>
        <v>1.2400805821863787</v>
      </c>
      <c r="Q15" s="94">
        <v>18.36</v>
      </c>
      <c r="R15" s="94">
        <v>18.53</v>
      </c>
      <c r="S15" s="94">
        <v>286</v>
      </c>
      <c r="T15" s="94">
        <v>27442846.640000001</v>
      </c>
      <c r="U15" s="94">
        <v>27965873.120000001</v>
      </c>
    </row>
    <row r="16" spans="1:21" ht="14.25">
      <c r="A16" s="111">
        <v>12</v>
      </c>
      <c r="B16" s="32" t="s">
        <v>40</v>
      </c>
      <c r="C16" s="32" t="s">
        <v>41</v>
      </c>
      <c r="D16" s="48">
        <v>299371096.61000001</v>
      </c>
      <c r="E16" s="48">
        <v>4459565.84</v>
      </c>
      <c r="F16" s="48">
        <v>521951.99</v>
      </c>
      <c r="G16" s="43">
        <v>3937613.85</v>
      </c>
      <c r="H16" s="29">
        <v>290910474.69999999</v>
      </c>
      <c r="I16" s="44">
        <f t="shared" si="5"/>
        <v>1.2622665301974726E-2</v>
      </c>
      <c r="J16" s="70">
        <v>299371096.61000001</v>
      </c>
      <c r="K16" s="44">
        <f t="shared" si="6"/>
        <v>1.2064857132277841E-2</v>
      </c>
      <c r="L16" s="44">
        <f t="shared" si="0"/>
        <v>2.9083249472969308E-2</v>
      </c>
      <c r="M16" s="45">
        <f t="shared" si="7"/>
        <v>1.7434949329125215E-3</v>
      </c>
      <c r="N16" s="46">
        <f t="shared" si="8"/>
        <v>1.3152952621640865E-2</v>
      </c>
      <c r="O16" s="47">
        <f t="shared" si="9"/>
        <v>1.5228125927131551</v>
      </c>
      <c r="P16" s="47">
        <f t="shared" si="10"/>
        <v>2.0029481883594213E-2</v>
      </c>
      <c r="Q16" s="48">
        <v>2.16</v>
      </c>
      <c r="R16" s="48">
        <v>2.1800000000000002</v>
      </c>
      <c r="S16" s="48">
        <v>17</v>
      </c>
      <c r="T16" s="48">
        <v>196590899</v>
      </c>
      <c r="U16" s="48">
        <v>196590899</v>
      </c>
    </row>
    <row r="17" spans="1:21" ht="14.25">
      <c r="A17" s="110">
        <v>13</v>
      </c>
      <c r="B17" s="32" t="s">
        <v>42</v>
      </c>
      <c r="C17" s="32" t="s">
        <v>43</v>
      </c>
      <c r="D17" s="48">
        <v>958588616.14999998</v>
      </c>
      <c r="E17" s="48">
        <v>49933103.899999999</v>
      </c>
      <c r="F17" s="48">
        <v>1544599.95</v>
      </c>
      <c r="G17" s="43">
        <v>48388503.950000003</v>
      </c>
      <c r="H17" s="29">
        <v>1053842513.27</v>
      </c>
      <c r="I17" s="44">
        <f t="shared" si="5"/>
        <v>4.5726443297433694E-2</v>
      </c>
      <c r="J17" s="70">
        <v>1124921294.1300001</v>
      </c>
      <c r="K17" s="44">
        <f t="shared" si="6"/>
        <v>4.5335086962039743E-2</v>
      </c>
      <c r="L17" s="44">
        <f t="shared" si="0"/>
        <v>6.7447251334971883E-2</v>
      </c>
      <c r="M17" s="45">
        <f t="shared" si="7"/>
        <v>1.3730737946378497E-3</v>
      </c>
      <c r="N17" s="46">
        <f t="shared" si="8"/>
        <v>4.3015012874676767E-2</v>
      </c>
      <c r="O17" s="47">
        <f t="shared" si="9"/>
        <v>28.690048089986401</v>
      </c>
      <c r="P17" s="47">
        <f t="shared" si="10"/>
        <v>1.2341027879658606</v>
      </c>
      <c r="Q17" s="48">
        <v>27.02</v>
      </c>
      <c r="R17" s="48">
        <v>27.57</v>
      </c>
      <c r="S17" s="48">
        <v>8863</v>
      </c>
      <c r="T17" s="48">
        <v>39325899</v>
      </c>
      <c r="U17" s="48">
        <v>39209460.039999999</v>
      </c>
    </row>
    <row r="18" spans="1:21" ht="14.25">
      <c r="A18" s="111">
        <v>14</v>
      </c>
      <c r="B18" s="30" t="s">
        <v>44</v>
      </c>
      <c r="C18" s="30" t="s">
        <v>45</v>
      </c>
      <c r="D18" s="91">
        <v>556194912.98000002</v>
      </c>
      <c r="E18" s="91">
        <v>1964295.05</v>
      </c>
      <c r="F18" s="91">
        <v>623487.31000000006</v>
      </c>
      <c r="G18" s="91">
        <v>29925249.780000001</v>
      </c>
      <c r="H18" s="30">
        <v>521348688.08999997</v>
      </c>
      <c r="I18" s="44">
        <f t="shared" si="5"/>
        <v>2.2621426753952793E-2</v>
      </c>
      <c r="J18" s="91">
        <v>551290740.16999996</v>
      </c>
      <c r="K18" s="44">
        <f t="shared" si="6"/>
        <v>2.2217388698560755E-2</v>
      </c>
      <c r="L18" s="44">
        <f t="shared" si="0"/>
        <v>5.7431912200057389E-2</v>
      </c>
      <c r="M18" s="45">
        <f t="shared" si="7"/>
        <v>1.1309591556131291E-3</v>
      </c>
      <c r="N18" s="46">
        <f t="shared" si="8"/>
        <v>5.4282155674829649E-2</v>
      </c>
      <c r="O18" s="47">
        <f t="shared" si="9"/>
        <v>5419.9738205853337</v>
      </c>
      <c r="P18" s="47">
        <f t="shared" si="10"/>
        <v>294.2078626825143</v>
      </c>
      <c r="Q18" s="91">
        <v>5379.55</v>
      </c>
      <c r="R18" s="91">
        <v>5447.68</v>
      </c>
      <c r="S18" s="32">
        <v>20</v>
      </c>
      <c r="T18" s="91">
        <v>101714.65</v>
      </c>
      <c r="U18" s="91">
        <v>101714.65</v>
      </c>
    </row>
    <row r="19" spans="1:21" ht="14.25">
      <c r="A19" s="110">
        <v>15</v>
      </c>
      <c r="B19" s="30" t="s">
        <v>46</v>
      </c>
      <c r="C19" s="30" t="s">
        <v>45</v>
      </c>
      <c r="D19" s="91">
        <v>10631226467.940001</v>
      </c>
      <c r="E19" s="91">
        <v>36251720.619999997</v>
      </c>
      <c r="F19" s="91">
        <v>28972527.559999999</v>
      </c>
      <c r="G19" s="91">
        <v>7279193.0599999996</v>
      </c>
      <c r="H19" s="30">
        <v>10084699239.059999</v>
      </c>
      <c r="I19" s="44">
        <f t="shared" si="5"/>
        <v>0.43757717317331646</v>
      </c>
      <c r="J19" s="91">
        <v>10704898473.459999</v>
      </c>
      <c r="K19" s="44">
        <f t="shared" si="6"/>
        <v>0.43141462940253633</v>
      </c>
      <c r="L19" s="44">
        <f t="shared" si="0"/>
        <v>6.1499031324389677E-2</v>
      </c>
      <c r="M19" s="45">
        <f t="shared" si="7"/>
        <v>2.7064738289512801E-3</v>
      </c>
      <c r="N19" s="46">
        <f t="shared" si="8"/>
        <v>6.7998711786448592E-4</v>
      </c>
      <c r="O19" s="47">
        <f t="shared" si="9"/>
        <v>18400.673372127003</v>
      </c>
      <c r="P19" s="47">
        <f t="shared" si="10"/>
        <v>12.512220853078432</v>
      </c>
      <c r="Q19" s="91">
        <v>18136.75</v>
      </c>
      <c r="R19" s="91">
        <v>18363.03</v>
      </c>
      <c r="S19" s="91">
        <v>17186</v>
      </c>
      <c r="T19" s="91">
        <v>578734.91</v>
      </c>
      <c r="U19" s="91">
        <v>581766.67000000004</v>
      </c>
    </row>
    <row r="20" spans="1:21" ht="14.25">
      <c r="A20" s="111">
        <v>16</v>
      </c>
      <c r="B20" s="30" t="s">
        <v>48</v>
      </c>
      <c r="C20" s="30" t="s">
        <v>49</v>
      </c>
      <c r="D20" s="91">
        <v>2124313046</v>
      </c>
      <c r="E20" s="91">
        <v>27256421</v>
      </c>
      <c r="F20" s="103">
        <v>4430233</v>
      </c>
      <c r="G20" s="32">
        <v>193070202</v>
      </c>
      <c r="H20" s="30">
        <v>2648794805</v>
      </c>
      <c r="I20" s="44">
        <f t="shared" si="5"/>
        <v>0.11493175112241641</v>
      </c>
      <c r="J20" s="103">
        <v>3076565504</v>
      </c>
      <c r="K20" s="44">
        <f t="shared" si="6"/>
        <v>0.1239876650891571</v>
      </c>
      <c r="L20" s="44">
        <f t="shared" si="0"/>
        <v>0.16149635230049464</v>
      </c>
      <c r="M20" s="45">
        <f t="shared" si="7"/>
        <v>1.4399930683224615E-3</v>
      </c>
      <c r="N20" s="46">
        <f t="shared" si="8"/>
        <v>6.2755108496464498E-2</v>
      </c>
      <c r="O20" s="47">
        <f t="shared" si="9"/>
        <v>1.5285222159522487</v>
      </c>
      <c r="P20" s="47">
        <f t="shared" si="10"/>
        <v>9.5922577501339715E-2</v>
      </c>
      <c r="Q20" s="94">
        <v>1.53</v>
      </c>
      <c r="R20" s="94">
        <v>1.5</v>
      </c>
      <c r="S20" s="94">
        <v>2876</v>
      </c>
      <c r="T20" s="95">
        <v>2036855960.5899999</v>
      </c>
      <c r="U20" s="95">
        <v>2012771206</v>
      </c>
    </row>
    <row r="21" spans="1:21" ht="14.25">
      <c r="A21" s="131" t="s">
        <v>50</v>
      </c>
      <c r="B21" s="131"/>
      <c r="C21" s="131"/>
      <c r="D21" s="131"/>
      <c r="E21" s="131"/>
      <c r="F21" s="131"/>
      <c r="G21" s="131"/>
      <c r="H21" s="104">
        <f>SUM(H5:H20)</f>
        <v>23046675780.470001</v>
      </c>
      <c r="I21" s="52">
        <f>(H21/$H$174)</f>
        <v>1.0855626780255846E-2</v>
      </c>
      <c r="J21" s="104">
        <f>SUM(J5:J20)</f>
        <v>24813480452.169998</v>
      </c>
      <c r="K21" s="52">
        <f>(J21/$J$174)</f>
        <v>1.1908989693243693E-2</v>
      </c>
      <c r="L21" s="44">
        <f t="shared" si="0"/>
        <v>7.6662017920918812E-2</v>
      </c>
      <c r="M21" s="53"/>
      <c r="N21" s="53"/>
      <c r="O21" s="54"/>
      <c r="P21" s="54"/>
      <c r="Q21" s="56"/>
      <c r="R21" s="56"/>
      <c r="S21" s="55">
        <f>SUM(S5:S20)</f>
        <v>47671</v>
      </c>
      <c r="T21" s="56"/>
      <c r="U21" s="56"/>
    </row>
    <row r="22" spans="1:21" ht="6.75" customHeight="1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</row>
    <row r="23" spans="1:21">
      <c r="A23" s="127" t="s">
        <v>51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</row>
    <row r="24" spans="1:21" ht="13.5" customHeight="1">
      <c r="A24" s="41">
        <v>17</v>
      </c>
      <c r="B24" s="42" t="s">
        <v>52</v>
      </c>
      <c r="C24" s="42" t="s">
        <v>21</v>
      </c>
      <c r="D24" s="94">
        <v>970822235.14999998</v>
      </c>
      <c r="E24" s="94">
        <v>9829311.4800000004</v>
      </c>
      <c r="F24" s="94">
        <v>2044010.98</v>
      </c>
      <c r="G24" s="43">
        <v>7785300.5</v>
      </c>
      <c r="H24" s="34">
        <v>908516530.36000001</v>
      </c>
      <c r="I24" s="44">
        <f t="shared" ref="I24:I52" si="11">(H24/$H$53)</f>
        <v>1.0493895454864225E-3</v>
      </c>
      <c r="J24" s="48">
        <v>970366935.99000001</v>
      </c>
      <c r="K24" s="44">
        <f t="shared" ref="K24:K52" si="12">(J24/$J$53)</f>
        <v>1.1063927951199617E-3</v>
      </c>
      <c r="L24" s="44">
        <f t="shared" ref="L24:L53" si="13">((J24-H24)/H24)</f>
        <v>6.8078459293956659E-2</v>
      </c>
      <c r="M24" s="45">
        <f t="shared" ref="M24" si="14">(F24/J24)</f>
        <v>2.1064309841870624E-3</v>
      </c>
      <c r="N24" s="46">
        <f t="shared" ref="N24" si="15">G24/J24</f>
        <v>8.0230479947847582E-3</v>
      </c>
      <c r="O24" s="57">
        <f t="shared" ref="O24" si="16">J24/U24</f>
        <v>101.13862331405998</v>
      </c>
      <c r="P24" s="57">
        <f t="shared" ref="P24" si="17">G24/U24</f>
        <v>0.8114400289751601</v>
      </c>
      <c r="Q24" s="48">
        <v>100</v>
      </c>
      <c r="R24" s="48">
        <v>100</v>
      </c>
      <c r="S24" s="48">
        <v>750</v>
      </c>
      <c r="T24" s="68">
        <v>8972925</v>
      </c>
      <c r="U24" s="94">
        <v>9594425</v>
      </c>
    </row>
    <row r="25" spans="1:21" ht="15" customHeight="1">
      <c r="A25" s="49">
        <v>18</v>
      </c>
      <c r="B25" s="50" t="s">
        <v>53</v>
      </c>
      <c r="C25" s="50" t="s">
        <v>54</v>
      </c>
      <c r="D25" s="48">
        <v>4716021997.3699999</v>
      </c>
      <c r="E25" s="48">
        <v>166910844.19</v>
      </c>
      <c r="F25" s="48">
        <v>21396205.18</v>
      </c>
      <c r="G25" s="43">
        <v>146864171.33000001</v>
      </c>
      <c r="H25" s="32">
        <v>4332966555.5500002</v>
      </c>
      <c r="I25" s="44">
        <f t="shared" si="11"/>
        <v>5.0048289187811981E-3</v>
      </c>
      <c r="J25" s="48">
        <v>4691213681.96</v>
      </c>
      <c r="K25" s="44">
        <f t="shared" si="12"/>
        <v>5.3488271555681083E-3</v>
      </c>
      <c r="L25" s="44">
        <f t="shared" si="13"/>
        <v>8.2679411857248031E-2</v>
      </c>
      <c r="M25" s="45">
        <f t="shared" ref="M25:M52" si="18">(F25/J25)</f>
        <v>4.5609103806715998E-3</v>
      </c>
      <c r="N25" s="46">
        <f t="shared" ref="N25:N52" si="19">G25/J25</f>
        <v>3.1306220796286519E-2</v>
      </c>
      <c r="O25" s="57">
        <f t="shared" ref="O25:O52" si="20">J25/U25</f>
        <v>103.13618281799613</v>
      </c>
      <c r="P25" s="57">
        <f t="shared" ref="P25:P52" si="21">G25/U25</f>
        <v>3.228804111386359</v>
      </c>
      <c r="Q25" s="48">
        <v>100</v>
      </c>
      <c r="R25" s="48">
        <v>100</v>
      </c>
      <c r="S25" s="58">
        <v>1125</v>
      </c>
      <c r="T25" s="48">
        <v>35888666.729999997</v>
      </c>
      <c r="U25" s="48">
        <v>45485624.479999997</v>
      </c>
    </row>
    <row r="26" spans="1:21" ht="14.25">
      <c r="A26" s="49">
        <v>19</v>
      </c>
      <c r="B26" s="50" t="s">
        <v>55</v>
      </c>
      <c r="C26" s="50" t="s">
        <v>23</v>
      </c>
      <c r="D26" s="48">
        <v>384798994.55000001</v>
      </c>
      <c r="E26" s="48">
        <v>577849.12</v>
      </c>
      <c r="F26" s="48">
        <v>700765.44</v>
      </c>
      <c r="G26" s="43">
        <v>122916.32</v>
      </c>
      <c r="H26" s="32">
        <v>377906663.77999997</v>
      </c>
      <c r="I26" s="44">
        <f t="shared" si="11"/>
        <v>4.3650422297021157E-4</v>
      </c>
      <c r="J26" s="48">
        <v>389158239.45999998</v>
      </c>
      <c r="K26" s="44">
        <f t="shared" si="12"/>
        <v>4.4371037009916203E-4</v>
      </c>
      <c r="L26" s="44">
        <f t="shared" si="13"/>
        <v>2.9773424917826169E-2</v>
      </c>
      <c r="M26" s="45">
        <f t="shared" si="18"/>
        <v>1.8007210665059779E-3</v>
      </c>
      <c r="N26" s="46">
        <f t="shared" si="19"/>
        <v>3.158517732286999E-4</v>
      </c>
      <c r="O26" s="57">
        <f t="shared" si="20"/>
        <v>102.97977204669661</v>
      </c>
      <c r="P26" s="57">
        <f t="shared" si="21"/>
        <v>3.2526343607636427E-2</v>
      </c>
      <c r="Q26" s="48">
        <v>100</v>
      </c>
      <c r="R26" s="48">
        <v>100</v>
      </c>
      <c r="S26" s="48">
        <v>1657</v>
      </c>
      <c r="T26" s="48">
        <v>4634274.4000000004</v>
      </c>
      <c r="U26" s="48">
        <v>3778977.48</v>
      </c>
    </row>
    <row r="27" spans="1:21" ht="14.25">
      <c r="A27" s="49">
        <v>20</v>
      </c>
      <c r="B27" s="50" t="s">
        <v>56</v>
      </c>
      <c r="C27" s="50" t="s">
        <v>25</v>
      </c>
      <c r="D27" s="91">
        <v>80281536164.710007</v>
      </c>
      <c r="E27" s="91">
        <v>772193947.86000001</v>
      </c>
      <c r="F27" s="91">
        <v>154886405.66</v>
      </c>
      <c r="G27" s="91">
        <v>617307542.20000005</v>
      </c>
      <c r="H27" s="32">
        <v>80425700461</v>
      </c>
      <c r="I27" s="44">
        <f t="shared" si="11"/>
        <v>9.2896371647473774E-2</v>
      </c>
      <c r="J27" s="91">
        <v>80281536164.710007</v>
      </c>
      <c r="K27" s="44">
        <f t="shared" si="12"/>
        <v>9.153538718132205E-2</v>
      </c>
      <c r="L27" s="44">
        <f t="shared" si="13"/>
        <v>-1.7925152714075693E-3</v>
      </c>
      <c r="M27" s="45">
        <f t="shared" si="18"/>
        <v>1.9292905076234036E-3</v>
      </c>
      <c r="N27" s="46">
        <f t="shared" si="19"/>
        <v>7.6892841329480547E-3</v>
      </c>
      <c r="O27" s="57">
        <f t="shared" si="20"/>
        <v>0.99999999999638778</v>
      </c>
      <c r="P27" s="57">
        <f t="shared" si="21"/>
        <v>7.6892841329202792E-3</v>
      </c>
      <c r="Q27" s="48">
        <v>1</v>
      </c>
      <c r="R27" s="48">
        <v>1</v>
      </c>
      <c r="S27" s="91">
        <v>54995</v>
      </c>
      <c r="T27" s="91">
        <v>80425700461</v>
      </c>
      <c r="U27" s="91">
        <v>80281536165</v>
      </c>
    </row>
    <row r="28" spans="1:21" ht="15" customHeight="1">
      <c r="A28" s="41">
        <v>21</v>
      </c>
      <c r="B28" s="42" t="s">
        <v>57</v>
      </c>
      <c r="C28" s="42" t="s">
        <v>58</v>
      </c>
      <c r="D28" s="48">
        <v>12739913487.450001</v>
      </c>
      <c r="E28" s="48">
        <v>492706761.16000003</v>
      </c>
      <c r="F28" s="48">
        <v>70039659.040000007</v>
      </c>
      <c r="G28" s="43">
        <v>422667102.11000001</v>
      </c>
      <c r="H28" s="32">
        <v>42073678855.059998</v>
      </c>
      <c r="I28" s="44">
        <f t="shared" si="11"/>
        <v>4.8597551343571035E-2</v>
      </c>
      <c r="J28" s="48">
        <v>46066702144.110001</v>
      </c>
      <c r="K28" s="44">
        <f t="shared" si="12"/>
        <v>5.2524324002426487E-2</v>
      </c>
      <c r="L28" s="44">
        <f t="shared" si="13"/>
        <v>9.4905494306918248E-2</v>
      </c>
      <c r="M28" s="45">
        <f t="shared" si="18"/>
        <v>1.5203966374865655E-3</v>
      </c>
      <c r="N28" s="46">
        <f t="shared" si="19"/>
        <v>9.1751109247580776E-3</v>
      </c>
      <c r="O28" s="57">
        <f t="shared" si="20"/>
        <v>1.0206298608460853</v>
      </c>
      <c r="P28" s="57">
        <f t="shared" si="21"/>
        <v>9.3643921863832327E-3</v>
      </c>
      <c r="Q28" s="48">
        <v>1</v>
      </c>
      <c r="R28" s="48">
        <v>1</v>
      </c>
      <c r="S28" s="48">
        <v>26375</v>
      </c>
      <c r="T28" s="91">
        <v>41432965128.379997</v>
      </c>
      <c r="U28" s="48">
        <v>45135561785.269997</v>
      </c>
    </row>
    <row r="29" spans="1:21" ht="14.25">
      <c r="A29" s="49">
        <v>22</v>
      </c>
      <c r="B29" s="50" t="s">
        <v>223</v>
      </c>
      <c r="C29" s="50" t="s">
        <v>43</v>
      </c>
      <c r="D29" s="48">
        <v>5068858234.3900003</v>
      </c>
      <c r="E29" s="48">
        <v>45782543.530000001</v>
      </c>
      <c r="F29" s="48">
        <v>9085781.1899999995</v>
      </c>
      <c r="G29" s="43">
        <v>36696762.340000004</v>
      </c>
      <c r="H29" s="32">
        <v>7356501538.2700005</v>
      </c>
      <c r="I29" s="44">
        <f t="shared" si="11"/>
        <v>8.4971880506745819E-3</v>
      </c>
      <c r="J29" s="48">
        <v>7309186134.9499998</v>
      </c>
      <c r="K29" s="44">
        <f t="shared" si="12"/>
        <v>8.3337865069041655E-3</v>
      </c>
      <c r="L29" s="44">
        <f t="shared" si="13"/>
        <v>-6.4317805241875378E-3</v>
      </c>
      <c r="M29" s="45">
        <f t="shared" si="18"/>
        <v>1.2430633209017535E-3</v>
      </c>
      <c r="N29" s="46">
        <f t="shared" si="19"/>
        <v>5.0206359042532494E-3</v>
      </c>
      <c r="O29" s="57">
        <f t="shared" si="20"/>
        <v>148.82381466711311</v>
      </c>
      <c r="P29" s="57">
        <f t="shared" si="21"/>
        <v>0.74719018732563935</v>
      </c>
      <c r="Q29" s="48">
        <v>100</v>
      </c>
      <c r="R29" s="48">
        <v>100</v>
      </c>
      <c r="S29" s="48">
        <v>2705</v>
      </c>
      <c r="T29" s="93">
        <v>61936768.640000001</v>
      </c>
      <c r="U29" s="48">
        <v>49113014.280000001</v>
      </c>
    </row>
    <row r="30" spans="1:21" ht="14.25">
      <c r="A30" s="49">
        <v>23</v>
      </c>
      <c r="B30" s="50" t="s">
        <v>224</v>
      </c>
      <c r="C30" s="50" t="s">
        <v>59</v>
      </c>
      <c r="D30" s="93">
        <v>12857382949.91</v>
      </c>
      <c r="E30" s="48">
        <v>136975000.75</v>
      </c>
      <c r="F30" s="48">
        <v>20931289.760000002</v>
      </c>
      <c r="G30" s="43">
        <v>118122343.58</v>
      </c>
      <c r="H30" s="32">
        <v>12393175783.67</v>
      </c>
      <c r="I30" s="44">
        <f t="shared" si="11"/>
        <v>1.4314840366862071E-2</v>
      </c>
      <c r="J30" s="48">
        <v>13543352926.41</v>
      </c>
      <c r="K30" s="44">
        <f t="shared" si="12"/>
        <v>1.544185765589739E-2</v>
      </c>
      <c r="L30" s="44">
        <f t="shared" si="13"/>
        <v>9.2807296758877805E-2</v>
      </c>
      <c r="M30" s="45">
        <f t="shared" si="18"/>
        <v>1.545502791940338E-3</v>
      </c>
      <c r="N30" s="46">
        <f t="shared" si="19"/>
        <v>8.7217946856909707E-3</v>
      </c>
      <c r="O30" s="57">
        <f t="shared" si="20"/>
        <v>108.83890467421868</v>
      </c>
      <c r="P30" s="57">
        <f t="shared" si="21"/>
        <v>0.94927058038402667</v>
      </c>
      <c r="Q30" s="48">
        <v>100</v>
      </c>
      <c r="R30" s="48">
        <v>100</v>
      </c>
      <c r="S30" s="48">
        <v>1850</v>
      </c>
      <c r="T30" s="48">
        <v>124674464.76000001</v>
      </c>
      <c r="U30" s="48">
        <v>124434851.37</v>
      </c>
    </row>
    <row r="31" spans="1:21" ht="14.25">
      <c r="A31" s="49">
        <v>24</v>
      </c>
      <c r="B31" s="50" t="s">
        <v>60</v>
      </c>
      <c r="C31" s="50" t="s">
        <v>61</v>
      </c>
      <c r="D31" s="48">
        <v>2971741459.5</v>
      </c>
      <c r="E31" s="93">
        <v>55354470.840000004</v>
      </c>
      <c r="F31" s="48">
        <v>7166779.6399999997</v>
      </c>
      <c r="G31" s="43">
        <v>48187691.200000003</v>
      </c>
      <c r="H31" s="30">
        <v>5321568700</v>
      </c>
      <c r="I31" s="44">
        <f t="shared" si="11"/>
        <v>6.1467220163346414E-3</v>
      </c>
      <c r="J31" s="91">
        <v>5968222500</v>
      </c>
      <c r="K31" s="44">
        <f t="shared" si="12"/>
        <v>6.8048468355283026E-3</v>
      </c>
      <c r="L31" s="44">
        <f t="shared" si="13"/>
        <v>0.1215156350419755</v>
      </c>
      <c r="M31" s="45">
        <f t="shared" si="18"/>
        <v>1.2008231328506937E-3</v>
      </c>
      <c r="N31" s="46">
        <f t="shared" si="19"/>
        <v>8.0740440223198793E-3</v>
      </c>
      <c r="O31" s="57">
        <f t="shared" si="20"/>
        <v>99.866136175485437</v>
      </c>
      <c r="P31" s="57">
        <f t="shared" si="21"/>
        <v>0.80632357981986114</v>
      </c>
      <c r="Q31" s="48">
        <v>100</v>
      </c>
      <c r="R31" s="48">
        <v>100</v>
      </c>
      <c r="S31" s="48">
        <v>5394</v>
      </c>
      <c r="T31" s="48">
        <v>53215687</v>
      </c>
      <c r="U31" s="48">
        <v>59762225</v>
      </c>
    </row>
    <row r="32" spans="1:21" ht="14.25">
      <c r="A32" s="49">
        <v>25</v>
      </c>
      <c r="B32" s="50" t="s">
        <v>62</v>
      </c>
      <c r="C32" s="50" t="s">
        <v>63</v>
      </c>
      <c r="D32" s="32">
        <v>39263942.280000001</v>
      </c>
      <c r="E32" s="32">
        <v>275433.01</v>
      </c>
      <c r="F32" s="32">
        <v>41437.480000000003</v>
      </c>
      <c r="G32" s="33">
        <v>233995.53</v>
      </c>
      <c r="H32" s="32">
        <v>39203248.560000002</v>
      </c>
      <c r="I32" s="44">
        <f t="shared" si="11"/>
        <v>4.5282037049637519E-5</v>
      </c>
      <c r="J32" s="32">
        <v>39203248.560000002</v>
      </c>
      <c r="K32" s="44">
        <f t="shared" si="12"/>
        <v>4.4698752753595477E-5</v>
      </c>
      <c r="L32" s="44">
        <f t="shared" si="13"/>
        <v>0</v>
      </c>
      <c r="M32" s="45">
        <f t="shared" si="18"/>
        <v>1.056990977076314E-3</v>
      </c>
      <c r="N32" s="46">
        <f t="shared" si="19"/>
        <v>5.9687790832403404E-3</v>
      </c>
      <c r="O32" s="57">
        <f t="shared" si="20"/>
        <v>101.87107246798604</v>
      </c>
      <c r="P32" s="57">
        <f t="shared" si="21"/>
        <v>0.608045926534176</v>
      </c>
      <c r="Q32" s="32">
        <v>10</v>
      </c>
      <c r="R32" s="32">
        <v>10</v>
      </c>
      <c r="S32" s="32">
        <v>86</v>
      </c>
      <c r="T32" s="32">
        <v>384832</v>
      </c>
      <c r="U32" s="32">
        <v>384832</v>
      </c>
    </row>
    <row r="33" spans="1:21" ht="14.25">
      <c r="A33" s="41">
        <v>26</v>
      </c>
      <c r="B33" s="42" t="s">
        <v>64</v>
      </c>
      <c r="C33" s="42" t="s">
        <v>65</v>
      </c>
      <c r="D33" s="96">
        <v>5547298231.8909998</v>
      </c>
      <c r="E33" s="96">
        <v>58243324.350000001</v>
      </c>
      <c r="F33" s="94">
        <v>10369813.300000001</v>
      </c>
      <c r="G33" s="51">
        <v>47873511</v>
      </c>
      <c r="H33" s="30">
        <v>5234968312.9700003</v>
      </c>
      <c r="I33" s="44">
        <f t="shared" si="11"/>
        <v>6.0466935218081311E-3</v>
      </c>
      <c r="J33" s="51">
        <v>5557195402.4099998</v>
      </c>
      <c r="K33" s="44">
        <f t="shared" si="12"/>
        <v>6.3362020347770406E-3</v>
      </c>
      <c r="L33" s="44">
        <f t="shared" si="13"/>
        <v>6.15528251893444E-2</v>
      </c>
      <c r="M33" s="45">
        <f t="shared" si="18"/>
        <v>1.8660155976345377E-3</v>
      </c>
      <c r="N33" s="46">
        <f t="shared" si="19"/>
        <v>8.6146891612338492E-3</v>
      </c>
      <c r="O33" s="57">
        <f t="shared" si="20"/>
        <v>1.0196898762370812</v>
      </c>
      <c r="P33" s="57">
        <f t="shared" si="21"/>
        <v>8.7843113246394676E-3</v>
      </c>
      <c r="Q33" s="48">
        <v>1</v>
      </c>
      <c r="R33" s="48">
        <v>1</v>
      </c>
      <c r="S33" s="94">
        <v>2078</v>
      </c>
      <c r="T33" s="91">
        <v>5174747770.9399996</v>
      </c>
      <c r="U33" s="91">
        <v>5449887786.3900003</v>
      </c>
    </row>
    <row r="34" spans="1:21" ht="14.25">
      <c r="A34" s="49">
        <v>27</v>
      </c>
      <c r="B34" s="50" t="s">
        <v>66</v>
      </c>
      <c r="C34" s="50" t="s">
        <v>67</v>
      </c>
      <c r="D34" s="48">
        <v>4888008049.5500002</v>
      </c>
      <c r="E34" s="48">
        <v>156624912.78</v>
      </c>
      <c r="F34" s="48">
        <v>21097688.5</v>
      </c>
      <c r="G34" s="43">
        <v>135527224.24000001</v>
      </c>
      <c r="H34" s="32">
        <v>14214041032.92</v>
      </c>
      <c r="I34" s="44">
        <f t="shared" si="11"/>
        <v>1.6418045858946319E-2</v>
      </c>
      <c r="J34" s="93">
        <v>13854437727.219999</v>
      </c>
      <c r="K34" s="44">
        <f t="shared" si="12"/>
        <v>1.5796550267034606E-2</v>
      </c>
      <c r="L34" s="44">
        <f t="shared" si="13"/>
        <v>-2.529916051790989E-2</v>
      </c>
      <c r="M34" s="45">
        <f t="shared" si="18"/>
        <v>1.5228108794735919E-3</v>
      </c>
      <c r="N34" s="46">
        <f t="shared" si="19"/>
        <v>9.7822247938455023E-3</v>
      </c>
      <c r="O34" s="57">
        <f t="shared" si="20"/>
        <v>100.00000019647133</v>
      </c>
      <c r="P34" s="57">
        <f t="shared" si="21"/>
        <v>0.97822248130647704</v>
      </c>
      <c r="Q34" s="48">
        <v>100</v>
      </c>
      <c r="R34" s="48">
        <v>100</v>
      </c>
      <c r="S34" s="48">
        <v>5319</v>
      </c>
      <c r="T34" s="48">
        <v>142140410</v>
      </c>
      <c r="U34" s="48">
        <v>138544377</v>
      </c>
    </row>
    <row r="35" spans="1:21" ht="14.25">
      <c r="A35" s="49">
        <v>28</v>
      </c>
      <c r="B35" s="50" t="s">
        <v>68</v>
      </c>
      <c r="C35" s="50" t="s">
        <v>67</v>
      </c>
      <c r="D35" s="32">
        <v>511496558.64999998</v>
      </c>
      <c r="E35" s="48">
        <v>14239321.43</v>
      </c>
      <c r="F35" s="48">
        <v>1336417.72</v>
      </c>
      <c r="G35" s="43">
        <v>12902903.710000001</v>
      </c>
      <c r="H35" s="32">
        <v>1314882226.04</v>
      </c>
      <c r="I35" s="44">
        <f t="shared" si="11"/>
        <v>1.5187656090368937E-3</v>
      </c>
      <c r="J35" s="48">
        <v>1314882226.04</v>
      </c>
      <c r="K35" s="44">
        <f t="shared" si="12"/>
        <v>1.4992021753479706E-3</v>
      </c>
      <c r="L35" s="44">
        <f t="shared" si="13"/>
        <v>0</v>
      </c>
      <c r="M35" s="45">
        <f t="shared" si="18"/>
        <v>1.0163782683600933E-3</v>
      </c>
      <c r="N35" s="46">
        <f t="shared" si="19"/>
        <v>9.812972945006165E-3</v>
      </c>
      <c r="O35" s="57">
        <f t="shared" si="20"/>
        <v>990868.29392614914</v>
      </c>
      <c r="P35" s="57">
        <f t="shared" si="21"/>
        <v>9723.363760361719</v>
      </c>
      <c r="Q35" s="48">
        <v>1000000</v>
      </c>
      <c r="R35" s="48">
        <v>1000000</v>
      </c>
      <c r="S35" s="48">
        <v>20</v>
      </c>
      <c r="T35" s="48">
        <v>1315</v>
      </c>
      <c r="U35" s="48">
        <v>1327</v>
      </c>
    </row>
    <row r="36" spans="1:21" ht="14.25">
      <c r="A36" s="41">
        <v>29</v>
      </c>
      <c r="B36" s="42" t="s">
        <v>69</v>
      </c>
      <c r="C36" s="42" t="s">
        <v>70</v>
      </c>
      <c r="D36" s="91">
        <v>3603102199.79</v>
      </c>
      <c r="E36" s="48">
        <v>47632214.409999996</v>
      </c>
      <c r="F36" s="92">
        <v>6307554.2699999996</v>
      </c>
      <c r="G36" s="51">
        <v>42380385.420000002</v>
      </c>
      <c r="H36" s="30">
        <v>3476807929.1599998</v>
      </c>
      <c r="I36" s="44">
        <f t="shared" si="11"/>
        <v>4.0159158040625545E-3</v>
      </c>
      <c r="J36" s="92">
        <v>3603857288.9099998</v>
      </c>
      <c r="K36" s="44">
        <f t="shared" si="12"/>
        <v>4.1090453427523555E-3</v>
      </c>
      <c r="L36" s="44">
        <f t="shared" si="13"/>
        <v>3.6541955247063433E-2</v>
      </c>
      <c r="M36" s="45">
        <f t="shared" si="18"/>
        <v>1.7502230982924807E-3</v>
      </c>
      <c r="N36" s="46">
        <f t="shared" si="19"/>
        <v>1.1759729096492083E-2</v>
      </c>
      <c r="O36" s="57">
        <f t="shared" si="20"/>
        <v>1.0275420554069226</v>
      </c>
      <c r="P36" s="57">
        <f t="shared" si="21"/>
        <v>1.2083616206838069E-2</v>
      </c>
      <c r="Q36" s="48">
        <v>1</v>
      </c>
      <c r="R36" s="48">
        <v>1</v>
      </c>
      <c r="S36" s="94">
        <v>426</v>
      </c>
      <c r="T36" s="91">
        <v>3404034435.6700001</v>
      </c>
      <c r="U36" s="91">
        <v>3507260135.9200001</v>
      </c>
    </row>
    <row r="37" spans="1:21" ht="14.25">
      <c r="A37" s="41">
        <v>30</v>
      </c>
      <c r="B37" s="42" t="s">
        <v>71</v>
      </c>
      <c r="C37" s="42" t="s">
        <v>72</v>
      </c>
      <c r="D37" s="96">
        <v>177451734.78</v>
      </c>
      <c r="E37" s="96">
        <v>2252939.66</v>
      </c>
      <c r="F37" s="96">
        <v>443303.39</v>
      </c>
      <c r="G37" s="51">
        <v>1809636.27</v>
      </c>
      <c r="H37" s="30">
        <v>283083130.18000001</v>
      </c>
      <c r="I37" s="44">
        <f t="shared" si="11"/>
        <v>3.269775148689392E-4</v>
      </c>
      <c r="J37" s="51">
        <v>289213686.41000003</v>
      </c>
      <c r="K37" s="44">
        <f t="shared" si="12"/>
        <v>3.2975560793160164E-4</v>
      </c>
      <c r="L37" s="44">
        <f t="shared" si="13"/>
        <v>2.1656381382040922E-2</v>
      </c>
      <c r="M37" s="45">
        <f t="shared" si="18"/>
        <v>1.5327884219544048E-3</v>
      </c>
      <c r="N37" s="46">
        <f t="shared" si="19"/>
        <v>6.2570907084756443E-3</v>
      </c>
      <c r="O37" s="57">
        <f t="shared" si="20"/>
        <v>1.0224126296247038</v>
      </c>
      <c r="P37" s="57">
        <f t="shared" si="21"/>
        <v>6.3973285650528854E-3</v>
      </c>
      <c r="Q37" s="48">
        <v>1</v>
      </c>
      <c r="R37" s="48">
        <v>1</v>
      </c>
      <c r="S37" s="94">
        <v>412</v>
      </c>
      <c r="T37" s="96">
        <v>284447750</v>
      </c>
      <c r="U37" s="91">
        <v>282873742</v>
      </c>
    </row>
    <row r="38" spans="1:21" ht="14.25">
      <c r="A38" s="49">
        <v>31</v>
      </c>
      <c r="B38" s="50" t="s">
        <v>73</v>
      </c>
      <c r="C38" s="50" t="s">
        <v>74</v>
      </c>
      <c r="D38" s="96">
        <v>203700874529.20999</v>
      </c>
      <c r="E38" s="96">
        <v>2134402797.9000001</v>
      </c>
      <c r="F38" s="93">
        <v>274359801.42000002</v>
      </c>
      <c r="G38" s="51">
        <v>1860042996.48</v>
      </c>
      <c r="H38" s="30">
        <v>194153109734.19</v>
      </c>
      <c r="I38" s="44">
        <f t="shared" si="11"/>
        <v>0.22425815796439522</v>
      </c>
      <c r="J38" s="51">
        <v>197527468785.39001</v>
      </c>
      <c r="K38" s="44">
        <f t="shared" si="12"/>
        <v>0.22521683313485327</v>
      </c>
      <c r="L38" s="44">
        <f t="shared" si="13"/>
        <v>1.7379886708071581E-2</v>
      </c>
      <c r="M38" s="45">
        <f t="shared" si="18"/>
        <v>1.388970370080968E-3</v>
      </c>
      <c r="N38" s="46">
        <f t="shared" si="19"/>
        <v>9.4166295347048803E-3</v>
      </c>
      <c r="O38" s="57">
        <f t="shared" si="20"/>
        <v>100.0343167294203</v>
      </c>
      <c r="P38" s="57">
        <f t="shared" si="21"/>
        <v>0.94198610139828176</v>
      </c>
      <c r="Q38" s="48">
        <v>100</v>
      </c>
      <c r="R38" s="48">
        <v>100</v>
      </c>
      <c r="S38" s="94">
        <v>25704</v>
      </c>
      <c r="T38" s="96">
        <v>1941050161.3599999</v>
      </c>
      <c r="U38" s="96">
        <v>1974597070.72</v>
      </c>
    </row>
    <row r="39" spans="1:21" ht="14.25" customHeight="1">
      <c r="A39" s="41">
        <v>32</v>
      </c>
      <c r="B39" s="42" t="s">
        <v>75</v>
      </c>
      <c r="C39" s="42" t="s">
        <v>76</v>
      </c>
      <c r="D39" s="48">
        <v>722148679.96000004</v>
      </c>
      <c r="E39" s="48">
        <v>7204387.29</v>
      </c>
      <c r="F39" s="48">
        <v>1750403.66</v>
      </c>
      <c r="G39" s="43">
        <v>5453983.6299999999</v>
      </c>
      <c r="H39" s="32">
        <v>717932741.69000006</v>
      </c>
      <c r="I39" s="44">
        <f t="shared" si="11"/>
        <v>8.2925416138918107E-4</v>
      </c>
      <c r="J39" s="48">
        <v>708543964.04999995</v>
      </c>
      <c r="K39" s="44">
        <f t="shared" si="12"/>
        <v>8.0786752698953858E-4</v>
      </c>
      <c r="L39" s="44">
        <f t="shared" si="13"/>
        <v>-1.3077517007929045E-2</v>
      </c>
      <c r="M39" s="45">
        <f t="shared" si="18"/>
        <v>2.4704235006036673E-3</v>
      </c>
      <c r="N39" s="46">
        <f t="shared" si="19"/>
        <v>7.69745267297927E-3</v>
      </c>
      <c r="O39" s="57">
        <f t="shared" si="20"/>
        <v>9.9209053135998211</v>
      </c>
      <c r="P39" s="57">
        <f t="shared" si="21"/>
        <v>7.6365699124543177E-2</v>
      </c>
      <c r="Q39" s="48">
        <v>10</v>
      </c>
      <c r="R39" s="48">
        <v>10</v>
      </c>
      <c r="S39" s="48">
        <v>357</v>
      </c>
      <c r="T39" s="48">
        <v>72206964.049999997</v>
      </c>
      <c r="U39" s="48">
        <v>71419285</v>
      </c>
    </row>
    <row r="40" spans="1:21" ht="14.25">
      <c r="A40" s="41">
        <v>33</v>
      </c>
      <c r="B40" s="42" t="s">
        <v>77</v>
      </c>
      <c r="C40" s="42" t="s">
        <v>78</v>
      </c>
      <c r="D40" s="48">
        <v>1366437548.6300001</v>
      </c>
      <c r="E40" s="48">
        <v>25559633.670000002</v>
      </c>
      <c r="F40" s="48">
        <v>5423677.6500000004</v>
      </c>
      <c r="G40" s="43">
        <v>20135956.02</v>
      </c>
      <c r="H40" s="30">
        <v>2943230348.5500002</v>
      </c>
      <c r="I40" s="44">
        <f t="shared" si="11"/>
        <v>3.3996025988683688E-3</v>
      </c>
      <c r="J40" s="48">
        <v>2904010895.1100001</v>
      </c>
      <c r="K40" s="44">
        <f t="shared" si="12"/>
        <v>3.311094609815401E-3</v>
      </c>
      <c r="L40" s="44">
        <f t="shared" si="13"/>
        <v>-1.3325308859811721E-2</v>
      </c>
      <c r="M40" s="45">
        <f t="shared" si="18"/>
        <v>1.8676505859991129E-3</v>
      </c>
      <c r="N40" s="46">
        <f t="shared" si="19"/>
        <v>6.9338431387797102E-3</v>
      </c>
      <c r="O40" s="57">
        <f t="shared" si="20"/>
        <v>104.86617209736207</v>
      </c>
      <c r="P40" s="57">
        <f t="shared" si="21"/>
        <v>0.72712558788738635</v>
      </c>
      <c r="Q40" s="48">
        <v>100</v>
      </c>
      <c r="R40" s="48">
        <v>100</v>
      </c>
      <c r="S40" s="48">
        <v>1351</v>
      </c>
      <c r="T40" s="48">
        <v>29048573.149999999</v>
      </c>
      <c r="U40" s="91">
        <v>27692542.190000001</v>
      </c>
    </row>
    <row r="41" spans="1:21" ht="14.25">
      <c r="A41" s="49">
        <v>34</v>
      </c>
      <c r="B41" s="50" t="s">
        <v>79</v>
      </c>
      <c r="C41" s="50" t="s">
        <v>35</v>
      </c>
      <c r="D41" s="91">
        <v>20242089836.169998</v>
      </c>
      <c r="E41" s="91">
        <v>233136528.53</v>
      </c>
      <c r="F41" s="91">
        <v>28556212.899999999</v>
      </c>
      <c r="G41" s="91">
        <v>204580315.63</v>
      </c>
      <c r="H41" s="32">
        <v>20808134674.84</v>
      </c>
      <c r="I41" s="44">
        <f t="shared" si="11"/>
        <v>2.4034608352363335E-2</v>
      </c>
      <c r="J41" s="91">
        <v>19656802369.240002</v>
      </c>
      <c r="K41" s="44">
        <f t="shared" si="12"/>
        <v>2.2412289320468206E-2</v>
      </c>
      <c r="L41" s="44">
        <f t="shared" si="13"/>
        <v>-5.5330875332718951E-2</v>
      </c>
      <c r="M41" s="45">
        <f t="shared" si="18"/>
        <v>1.4527394824239705E-3</v>
      </c>
      <c r="N41" s="46">
        <f t="shared" si="19"/>
        <v>1.0407609121112091E-2</v>
      </c>
      <c r="O41" s="57">
        <f t="shared" si="20"/>
        <v>100.00000000122097</v>
      </c>
      <c r="P41" s="57">
        <f t="shared" si="21"/>
        <v>1.0407609121239163</v>
      </c>
      <c r="Q41" s="48">
        <v>100</v>
      </c>
      <c r="R41" s="48">
        <v>100</v>
      </c>
      <c r="S41" s="48">
        <v>11078</v>
      </c>
      <c r="T41" s="91">
        <v>208081346.75</v>
      </c>
      <c r="U41" s="93">
        <v>196568023.69</v>
      </c>
    </row>
    <row r="42" spans="1:21" ht="14.25">
      <c r="A42" s="41">
        <v>35</v>
      </c>
      <c r="B42" s="42" t="s">
        <v>80</v>
      </c>
      <c r="C42" s="42" t="s">
        <v>37</v>
      </c>
      <c r="D42" s="48">
        <v>3088040564.9400001</v>
      </c>
      <c r="E42" s="48">
        <v>27632297.199999999</v>
      </c>
      <c r="F42" s="48">
        <v>3599801.36</v>
      </c>
      <c r="G42" s="43">
        <v>24032495.84</v>
      </c>
      <c r="H42" s="30">
        <v>2914481429.71</v>
      </c>
      <c r="I42" s="44">
        <f t="shared" si="11"/>
        <v>3.3663959219763376E-3</v>
      </c>
      <c r="J42" s="48">
        <v>3071223941.29</v>
      </c>
      <c r="K42" s="44">
        <f t="shared" si="12"/>
        <v>3.5017475501434503E-3</v>
      </c>
      <c r="L42" s="44">
        <f t="shared" si="13"/>
        <v>5.3780583393731311E-2</v>
      </c>
      <c r="M42" s="45">
        <f t="shared" si="18"/>
        <v>1.1721064399126762E-3</v>
      </c>
      <c r="N42" s="46">
        <f t="shared" si="19"/>
        <v>7.8250548639268811E-3</v>
      </c>
      <c r="O42" s="57">
        <f t="shared" si="20"/>
        <v>0.97305789776693208</v>
      </c>
      <c r="P42" s="57">
        <f t="shared" si="21"/>
        <v>7.614231435803598E-3</v>
      </c>
      <c r="Q42" s="48">
        <v>1</v>
      </c>
      <c r="R42" s="58">
        <v>1</v>
      </c>
      <c r="S42" s="48">
        <v>824</v>
      </c>
      <c r="T42" s="48">
        <v>2998443307</v>
      </c>
      <c r="U42" s="48">
        <v>3156260227</v>
      </c>
    </row>
    <row r="43" spans="1:21" ht="14.25">
      <c r="A43" s="49">
        <v>36</v>
      </c>
      <c r="B43" s="50" t="s">
        <v>81</v>
      </c>
      <c r="C43" s="50" t="s">
        <v>39</v>
      </c>
      <c r="D43" s="48">
        <v>3792132138.79</v>
      </c>
      <c r="E43" s="48">
        <v>37839754.780000001</v>
      </c>
      <c r="F43" s="48">
        <v>5463423.04</v>
      </c>
      <c r="G43" s="43">
        <v>32376331.739999998</v>
      </c>
      <c r="H43" s="32">
        <v>3357895892.1300001</v>
      </c>
      <c r="I43" s="44">
        <f t="shared" si="11"/>
        <v>3.8785654705002916E-3</v>
      </c>
      <c r="J43" s="93">
        <v>3793709277.4099998</v>
      </c>
      <c r="K43" s="44">
        <f t="shared" si="12"/>
        <v>4.3255107481830314E-3</v>
      </c>
      <c r="L43" s="44">
        <f t="shared" si="13"/>
        <v>0.12978764061787276</v>
      </c>
      <c r="M43" s="45">
        <f t="shared" si="18"/>
        <v>1.4401269682240724E-3</v>
      </c>
      <c r="N43" s="46">
        <f t="shared" si="19"/>
        <v>8.5342152949852857E-3</v>
      </c>
      <c r="O43" s="57">
        <f t="shared" si="20"/>
        <v>9.9999910417833657</v>
      </c>
      <c r="P43" s="57">
        <f t="shared" si="21"/>
        <v>8.534207649850345E-2</v>
      </c>
      <c r="Q43" s="48">
        <v>10</v>
      </c>
      <c r="R43" s="48">
        <v>10</v>
      </c>
      <c r="S43" s="48">
        <v>1918</v>
      </c>
      <c r="T43" s="48">
        <v>333973162.30000001</v>
      </c>
      <c r="U43" s="48">
        <v>379371267.58999997</v>
      </c>
    </row>
    <row r="44" spans="1:21" ht="14.25" customHeight="1">
      <c r="A44" s="41">
        <v>37</v>
      </c>
      <c r="B44" s="42" t="s">
        <v>82</v>
      </c>
      <c r="C44" s="42" t="s">
        <v>83</v>
      </c>
      <c r="D44" s="48">
        <v>3007879074</v>
      </c>
      <c r="E44" s="48">
        <v>60062833</v>
      </c>
      <c r="F44" s="48">
        <v>13409192</v>
      </c>
      <c r="G44" s="43">
        <v>46653641</v>
      </c>
      <c r="H44" s="32">
        <v>4907765305</v>
      </c>
      <c r="I44" s="44">
        <f t="shared" si="11"/>
        <v>5.6687549765629822E-3</v>
      </c>
      <c r="J44" s="93">
        <v>4753180305</v>
      </c>
      <c r="K44" s="44">
        <f t="shared" si="12"/>
        <v>5.4194802484616991E-3</v>
      </c>
      <c r="L44" s="44">
        <f t="shared" si="13"/>
        <v>-3.1498042468027107E-2</v>
      </c>
      <c r="M44" s="45">
        <f t="shared" si="18"/>
        <v>2.8210989568172922E-3</v>
      </c>
      <c r="N44" s="46">
        <f t="shared" si="19"/>
        <v>9.8152474777621554E-3</v>
      </c>
      <c r="O44" s="57">
        <f t="shared" si="20"/>
        <v>100.00000010519273</v>
      </c>
      <c r="P44" s="57">
        <f t="shared" si="21"/>
        <v>0.9815247488087081</v>
      </c>
      <c r="Q44" s="48">
        <v>100</v>
      </c>
      <c r="R44" s="48">
        <v>100</v>
      </c>
      <c r="S44" s="48">
        <v>1894</v>
      </c>
      <c r="T44" s="48">
        <v>49077653</v>
      </c>
      <c r="U44" s="93">
        <v>47531803</v>
      </c>
    </row>
    <row r="45" spans="1:21" ht="14.25">
      <c r="A45" s="41">
        <v>38</v>
      </c>
      <c r="B45" s="42" t="s">
        <v>84</v>
      </c>
      <c r="C45" s="42" t="s">
        <v>85</v>
      </c>
      <c r="D45" s="48">
        <v>149251689.09</v>
      </c>
      <c r="E45" s="48">
        <v>4036245.74</v>
      </c>
      <c r="F45" s="48">
        <v>63986.75</v>
      </c>
      <c r="G45" s="43">
        <v>507141.82</v>
      </c>
      <c r="H45" s="32">
        <v>183645844.99000001</v>
      </c>
      <c r="I45" s="44">
        <f t="shared" si="11"/>
        <v>2.1212165476852942E-4</v>
      </c>
      <c r="J45" s="48">
        <v>150584828.63</v>
      </c>
      <c r="K45" s="44">
        <f t="shared" si="12"/>
        <v>1.7169378229136517E-4</v>
      </c>
      <c r="L45" s="44">
        <f t="shared" si="13"/>
        <v>-0.18002594266045208</v>
      </c>
      <c r="M45" s="45">
        <f t="shared" si="18"/>
        <v>4.2492162445674394E-4</v>
      </c>
      <c r="N45" s="46">
        <f t="shared" si="19"/>
        <v>3.3678148364208156E-3</v>
      </c>
      <c r="O45" s="57">
        <f t="shared" si="20"/>
        <v>1.000818391900046</v>
      </c>
      <c r="P45" s="57">
        <f t="shared" si="21"/>
        <v>3.3705710288037967E-3</v>
      </c>
      <c r="Q45" s="48">
        <v>1</v>
      </c>
      <c r="R45" s="48">
        <v>1</v>
      </c>
      <c r="S45" s="48">
        <v>63</v>
      </c>
      <c r="T45" s="48">
        <v>183532125</v>
      </c>
      <c r="U45" s="48">
        <v>150461692</v>
      </c>
    </row>
    <row r="46" spans="1:21" ht="15.75" customHeight="1">
      <c r="A46" s="49">
        <v>39</v>
      </c>
      <c r="B46" s="50" t="s">
        <v>86</v>
      </c>
      <c r="C46" s="50" t="s">
        <v>41</v>
      </c>
      <c r="D46" s="48">
        <v>618762846.63999999</v>
      </c>
      <c r="E46" s="48">
        <v>11841459.789999999</v>
      </c>
      <c r="F46" s="48">
        <v>884969.99</v>
      </c>
      <c r="G46" s="43">
        <v>10956489.800000001</v>
      </c>
      <c r="H46" s="32">
        <v>827396867.51999998</v>
      </c>
      <c r="I46" s="44">
        <f t="shared" si="11"/>
        <v>9.5569160684357988E-4</v>
      </c>
      <c r="J46" s="48">
        <v>618762846.63999999</v>
      </c>
      <c r="K46" s="44">
        <f t="shared" si="12"/>
        <v>7.0550090900610494E-4</v>
      </c>
      <c r="L46" s="44">
        <f t="shared" si="13"/>
        <v>-0.25215713168621207</v>
      </c>
      <c r="M46" s="45">
        <f t="shared" si="18"/>
        <v>1.4302248346124132E-3</v>
      </c>
      <c r="N46" s="46">
        <f t="shared" si="19"/>
        <v>1.7707090623646563E-2</v>
      </c>
      <c r="O46" s="57">
        <f t="shared" si="20"/>
        <v>9.3917926758767507</v>
      </c>
      <c r="P46" s="57">
        <f t="shared" si="21"/>
        <v>0.16630132403024966</v>
      </c>
      <c r="Q46" s="48">
        <v>10</v>
      </c>
      <c r="R46" s="48">
        <v>10</v>
      </c>
      <c r="S46" s="48">
        <v>633</v>
      </c>
      <c r="T46" s="48">
        <v>61635010</v>
      </c>
      <c r="U46" s="48">
        <v>65883358.799999997</v>
      </c>
    </row>
    <row r="47" spans="1:21" ht="14.25">
      <c r="A47" s="41">
        <v>40</v>
      </c>
      <c r="B47" s="42" t="s">
        <v>87</v>
      </c>
      <c r="C47" s="42" t="s">
        <v>45</v>
      </c>
      <c r="D47" s="91">
        <v>379699608233.21002</v>
      </c>
      <c r="E47" s="91">
        <v>4234113647.5599999</v>
      </c>
      <c r="F47" s="91">
        <v>622176171.88999999</v>
      </c>
      <c r="G47" s="91">
        <v>3611937475.6700001</v>
      </c>
      <c r="H47" s="30">
        <v>385367928467.66998</v>
      </c>
      <c r="I47" s="44">
        <f t="shared" si="11"/>
        <v>0.4451224185645673</v>
      </c>
      <c r="J47" s="91">
        <v>384308079529.19</v>
      </c>
      <c r="K47" s="44">
        <f t="shared" si="12"/>
        <v>0.43818031563872956</v>
      </c>
      <c r="L47" s="44">
        <f t="shared" si="13"/>
        <v>-2.7502261090958826E-3</v>
      </c>
      <c r="M47" s="45">
        <f t="shared" si="18"/>
        <v>1.6189515782551816E-3</v>
      </c>
      <c r="N47" s="46">
        <f t="shared" si="19"/>
        <v>9.3985468119612003E-3</v>
      </c>
      <c r="O47" s="57">
        <f t="shared" si="20"/>
        <v>1</v>
      </c>
      <c r="P47" s="57">
        <f t="shared" si="21"/>
        <v>9.3985468119612003E-3</v>
      </c>
      <c r="Q47" s="48">
        <v>100</v>
      </c>
      <c r="R47" s="48">
        <v>100</v>
      </c>
      <c r="S47" s="91">
        <v>111288</v>
      </c>
      <c r="T47" s="91">
        <v>385367928468.52002</v>
      </c>
      <c r="U47" s="91">
        <v>384308079529.19</v>
      </c>
    </row>
    <row r="48" spans="1:21" ht="14.25">
      <c r="A48" s="49">
        <v>41</v>
      </c>
      <c r="B48" s="50" t="s">
        <v>88</v>
      </c>
      <c r="C48" s="50" t="s">
        <v>89</v>
      </c>
      <c r="D48" s="94">
        <v>2789031539.2399998</v>
      </c>
      <c r="E48" s="94">
        <v>34353237.890000001</v>
      </c>
      <c r="F48" s="94">
        <v>3980380.94</v>
      </c>
      <c r="G48" s="43">
        <v>30372856.960000001</v>
      </c>
      <c r="H48" s="32">
        <v>2637976389.1700001</v>
      </c>
      <c r="I48" s="44">
        <f t="shared" si="11"/>
        <v>3.0470164840458039E-3</v>
      </c>
      <c r="J48" s="48">
        <v>2813975772.71</v>
      </c>
      <c r="K48" s="44">
        <f t="shared" si="12"/>
        <v>3.2084383804690513E-3</v>
      </c>
      <c r="L48" s="44">
        <f t="shared" si="13"/>
        <v>6.6717573463716845E-2</v>
      </c>
      <c r="M48" s="45">
        <f t="shared" si="18"/>
        <v>1.4145043388794683E-3</v>
      </c>
      <c r="N48" s="46">
        <f t="shared" si="19"/>
        <v>1.079357443463325E-2</v>
      </c>
      <c r="O48" s="57">
        <f t="shared" si="20"/>
        <v>1.0325542297951416</v>
      </c>
      <c r="P48" s="57">
        <f t="shared" si="21"/>
        <v>1.1144950937089266E-2</v>
      </c>
      <c r="Q48" s="48">
        <v>1</v>
      </c>
      <c r="R48" s="48">
        <v>1</v>
      </c>
      <c r="S48" s="94">
        <v>323</v>
      </c>
      <c r="T48" s="94">
        <v>2593244220.6700001</v>
      </c>
      <c r="U48" s="94">
        <v>2725257125.98</v>
      </c>
    </row>
    <row r="49" spans="1:21" ht="14.25">
      <c r="A49" s="41">
        <v>42</v>
      </c>
      <c r="B49" s="42" t="s">
        <v>90</v>
      </c>
      <c r="C49" s="42" t="s">
        <v>49</v>
      </c>
      <c r="D49" s="91">
        <v>19035366905</v>
      </c>
      <c r="E49" s="91">
        <v>430291297</v>
      </c>
      <c r="F49" s="91">
        <v>50325257</v>
      </c>
      <c r="G49" s="95">
        <v>379966040</v>
      </c>
      <c r="H49" s="30">
        <v>41569210689</v>
      </c>
      <c r="I49" s="44">
        <f t="shared" si="11"/>
        <v>4.8014861208825442E-2</v>
      </c>
      <c r="J49" s="95">
        <v>42413567476</v>
      </c>
      <c r="K49" s="44">
        <f t="shared" si="12"/>
        <v>4.8359093586494928E-2</v>
      </c>
      <c r="L49" s="44">
        <f t="shared" si="13"/>
        <v>2.0312071675285207E-2</v>
      </c>
      <c r="M49" s="45">
        <f t="shared" si="18"/>
        <v>1.1865367615793432E-3</v>
      </c>
      <c r="N49" s="46">
        <f t="shared" si="19"/>
        <v>8.9585965673603454E-3</v>
      </c>
      <c r="O49" s="57">
        <f t="shared" si="20"/>
        <v>0.99945315668572998</v>
      </c>
      <c r="P49" s="57">
        <f t="shared" si="21"/>
        <v>8.9536976187222436E-3</v>
      </c>
      <c r="Q49" s="48">
        <v>1</v>
      </c>
      <c r="R49" s="48">
        <v>1</v>
      </c>
      <c r="S49" s="94">
        <v>5725</v>
      </c>
      <c r="T49" s="95">
        <v>41323876904.720001</v>
      </c>
      <c r="U49" s="95">
        <v>42436773742</v>
      </c>
    </row>
    <row r="50" spans="1:21" ht="14.25">
      <c r="A50" s="41">
        <v>43</v>
      </c>
      <c r="B50" s="42" t="s">
        <v>91</v>
      </c>
      <c r="C50" s="42" t="s">
        <v>92</v>
      </c>
      <c r="D50" s="105">
        <v>1180086441.03</v>
      </c>
      <c r="E50" s="105">
        <v>15742332.369999999</v>
      </c>
      <c r="F50" s="105">
        <v>2011989.05</v>
      </c>
      <c r="G50" s="59">
        <v>13730263.51</v>
      </c>
      <c r="H50" s="35">
        <v>1796717000.78</v>
      </c>
      <c r="I50" s="44">
        <f t="shared" si="11"/>
        <v>2.0753128576198165E-3</v>
      </c>
      <c r="J50" s="51">
        <v>1807008653.54</v>
      </c>
      <c r="K50" s="44">
        <f t="shared" si="12"/>
        <v>2.0603147952030824E-3</v>
      </c>
      <c r="L50" s="44">
        <f t="shared" si="13"/>
        <v>5.7280321583934061E-3</v>
      </c>
      <c r="M50" s="45">
        <f t="shared" si="18"/>
        <v>1.1134363114744556E-3</v>
      </c>
      <c r="N50" s="46">
        <f t="shared" si="19"/>
        <v>7.5983385486848012E-3</v>
      </c>
      <c r="O50" s="57">
        <f t="shared" si="20"/>
        <v>1.0198936669705234</v>
      </c>
      <c r="P50" s="57">
        <f t="shared" si="21"/>
        <v>7.7494973653016268E-3</v>
      </c>
      <c r="Q50" s="48">
        <v>1</v>
      </c>
      <c r="R50" s="48">
        <v>1</v>
      </c>
      <c r="S50" s="94">
        <v>57</v>
      </c>
      <c r="T50" s="97">
        <v>1775194593</v>
      </c>
      <c r="U50" s="96">
        <v>1771761814.0599999</v>
      </c>
    </row>
    <row r="51" spans="1:21" ht="14.25">
      <c r="A51" s="41">
        <v>44</v>
      </c>
      <c r="B51" s="42" t="s">
        <v>93</v>
      </c>
      <c r="C51" s="42" t="s">
        <v>94</v>
      </c>
      <c r="D51" s="91">
        <v>1030961999.97</v>
      </c>
      <c r="E51" s="91">
        <v>9330845.4199999999</v>
      </c>
      <c r="F51" s="91">
        <v>1275760.8500000001</v>
      </c>
      <c r="G51" s="91">
        <v>8055084.5800000001</v>
      </c>
      <c r="H51" s="30">
        <v>954419353.29999995</v>
      </c>
      <c r="I51" s="44">
        <f t="shared" si="11"/>
        <v>1.1024099814299082E-3</v>
      </c>
      <c r="J51" s="91">
        <v>1033451224.9400001</v>
      </c>
      <c r="K51" s="44">
        <f t="shared" si="12"/>
        <v>1.178320228125846E-3</v>
      </c>
      <c r="L51" s="44">
        <f t="shared" si="13"/>
        <v>8.2806233304825116E-2</v>
      </c>
      <c r="M51" s="45">
        <f t="shared" si="18"/>
        <v>1.2344664355824514E-3</v>
      </c>
      <c r="N51" s="46">
        <f t="shared" si="19"/>
        <v>7.7943538946094537E-3</v>
      </c>
      <c r="O51" s="57">
        <f t="shared" si="20"/>
        <v>1.0215419683355009</v>
      </c>
      <c r="P51" s="57">
        <f t="shared" si="21"/>
        <v>7.96225961940282E-3</v>
      </c>
      <c r="Q51" s="48">
        <v>1</v>
      </c>
      <c r="R51" s="48">
        <v>1</v>
      </c>
      <c r="S51" s="48">
        <v>207</v>
      </c>
      <c r="T51" s="91">
        <v>939142612.02999997</v>
      </c>
      <c r="U51" s="91">
        <v>1011658117.8</v>
      </c>
    </row>
    <row r="52" spans="1:21" ht="14.25">
      <c r="A52" s="41">
        <v>45</v>
      </c>
      <c r="B52" s="42" t="s">
        <v>95</v>
      </c>
      <c r="C52" s="42" t="s">
        <v>96</v>
      </c>
      <c r="D52" s="48">
        <v>27662464669.959999</v>
      </c>
      <c r="E52" s="105">
        <v>270809464.04000002</v>
      </c>
      <c r="F52" s="51">
        <v>31470096.27</v>
      </c>
      <c r="G52" s="51">
        <v>239339367.77000001</v>
      </c>
      <c r="H52" s="35">
        <v>24864331185.650002</v>
      </c>
      <c r="I52" s="44">
        <f t="shared" si="11"/>
        <v>2.8719751737917222E-2</v>
      </c>
      <c r="J52" s="51">
        <v>27615743059.689999</v>
      </c>
      <c r="K52" s="44">
        <f t="shared" si="12"/>
        <v>3.1486912857302853E-2</v>
      </c>
      <c r="L52" s="44">
        <f t="shared" si="13"/>
        <v>0.11065698302908403</v>
      </c>
      <c r="M52" s="45">
        <f t="shared" si="18"/>
        <v>1.1395708673121348E-3</v>
      </c>
      <c r="N52" s="46">
        <f t="shared" si="19"/>
        <v>8.666772690225295E-3</v>
      </c>
      <c r="O52" s="57">
        <f t="shared" si="20"/>
        <v>1.0232169218856166</v>
      </c>
      <c r="P52" s="57">
        <f t="shared" si="21"/>
        <v>8.8679884747746521E-3</v>
      </c>
      <c r="Q52" s="48">
        <v>1</v>
      </c>
      <c r="R52" s="48">
        <v>1</v>
      </c>
      <c r="S52" s="48">
        <v>3076</v>
      </c>
      <c r="T52" s="51">
        <v>24464584323.439999</v>
      </c>
      <c r="U52" s="51">
        <v>26989138343.02</v>
      </c>
    </row>
    <row r="53" spans="1:21" ht="15.75" customHeight="1">
      <c r="A53" s="123" t="s">
        <v>50</v>
      </c>
      <c r="B53" s="123"/>
      <c r="C53" s="123"/>
      <c r="D53" s="123"/>
      <c r="E53" s="123"/>
      <c r="F53" s="123"/>
      <c r="G53" s="123"/>
      <c r="H53" s="60">
        <f t="shared" ref="H53" si="22">SUM(H24:H52)</f>
        <v>865757176891.71021</v>
      </c>
      <c r="I53" s="52">
        <f>(H53/$H$174)</f>
        <v>0.40779576561009284</v>
      </c>
      <c r="J53" s="64">
        <f>SUM(J24:J52)</f>
        <v>877054641235.96985</v>
      </c>
      <c r="K53" s="52">
        <f>(J53/$J$174)</f>
        <v>0.4209338832181958</v>
      </c>
      <c r="L53" s="44">
        <f t="shared" si="13"/>
        <v>1.3049229790760073E-2</v>
      </c>
      <c r="M53" s="61"/>
      <c r="N53" s="62"/>
      <c r="O53" s="63"/>
      <c r="P53" s="63"/>
      <c r="Q53" s="64"/>
      <c r="R53" s="64"/>
      <c r="S53" s="64">
        <f>SUM(S24:S52)</f>
        <v>267690</v>
      </c>
      <c r="T53" s="64"/>
      <c r="U53" s="64"/>
    </row>
    <row r="54" spans="1:21" ht="7.5" customHeight="1">
      <c r="A54" s="125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</row>
    <row r="55" spans="1:21">
      <c r="A55" s="121" t="s">
        <v>97</v>
      </c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</row>
    <row r="56" spans="1:21" ht="14.25">
      <c r="A56" s="112">
        <v>46</v>
      </c>
      <c r="B56" s="65" t="s">
        <v>98</v>
      </c>
      <c r="C56" s="65" t="s">
        <v>23</v>
      </c>
      <c r="D56" s="48">
        <v>453354345.87</v>
      </c>
      <c r="E56" s="48">
        <v>1584097.54</v>
      </c>
      <c r="F56" s="48">
        <v>625818.74</v>
      </c>
      <c r="G56" s="43">
        <v>958278.8</v>
      </c>
      <c r="H56" s="32">
        <v>479562029.92000002</v>
      </c>
      <c r="I56" s="44">
        <f t="shared" ref="I56:I85" si="23">(H56/$H$86)</f>
        <v>1.6374556363384139E-3</v>
      </c>
      <c r="J56" s="48">
        <v>469630378.38</v>
      </c>
      <c r="K56" s="44">
        <f t="shared" ref="K56:K85" si="24">(J56/$J$86)</f>
        <v>1.6216641139404956E-3</v>
      </c>
      <c r="L56" s="44">
        <f t="shared" ref="L56:L86" si="25">((J56-H56)/H56)</f>
        <v>-2.0709837143813924E-2</v>
      </c>
      <c r="M56" s="66">
        <f t="shared" ref="M56" si="26">(F56/J56)</f>
        <v>1.3325772113779671E-3</v>
      </c>
      <c r="N56" s="46">
        <f t="shared" ref="N56" si="27">G56/J56</f>
        <v>2.0404957688333605E-3</v>
      </c>
      <c r="O56" s="57">
        <f t="shared" ref="O56" si="28">J56/U56</f>
        <v>1.3914439512193175</v>
      </c>
      <c r="P56" s="57">
        <f t="shared" ref="P56" si="29">G56/U56</f>
        <v>2.8392354950317901E-3</v>
      </c>
      <c r="Q56" s="48">
        <v>1.27</v>
      </c>
      <c r="R56" s="48">
        <v>1.27</v>
      </c>
      <c r="S56" s="93">
        <v>396</v>
      </c>
      <c r="T56" s="48">
        <v>335891088.17000002</v>
      </c>
      <c r="U56" s="48">
        <v>337512968.43000001</v>
      </c>
    </row>
    <row r="57" spans="1:21" ht="13.5" customHeight="1">
      <c r="A57" s="112">
        <v>47</v>
      </c>
      <c r="B57" s="65" t="s">
        <v>99</v>
      </c>
      <c r="C57" s="50" t="s">
        <v>25</v>
      </c>
      <c r="D57" s="48">
        <v>1209720616.47</v>
      </c>
      <c r="E57" s="48">
        <v>14544680.060000001</v>
      </c>
      <c r="F57" s="48">
        <v>2848433.05</v>
      </c>
      <c r="G57" s="43">
        <v>20553384.780000001</v>
      </c>
      <c r="H57" s="32">
        <v>1185017288</v>
      </c>
      <c r="I57" s="44">
        <f t="shared" si="23"/>
        <v>4.0462195009845943E-3</v>
      </c>
      <c r="J57" s="48">
        <v>1342570610.4300001</v>
      </c>
      <c r="K57" s="44">
        <f t="shared" si="24"/>
        <v>4.6359832744972953E-3</v>
      </c>
      <c r="L57" s="44">
        <f t="shared" si="25"/>
        <v>0.13295445055988084</v>
      </c>
      <c r="M57" s="66">
        <f t="shared" ref="M57:M85" si="30">(F57/J57)</f>
        <v>2.1216262503226556E-3</v>
      </c>
      <c r="N57" s="46">
        <f t="shared" ref="N57:N85" si="31">G57/J57</f>
        <v>1.5308978626768195E-2</v>
      </c>
      <c r="O57" s="57">
        <f t="shared" ref="O57:O85" si="32">J57/U57</f>
        <v>1.1593155785587899</v>
      </c>
      <c r="P57" s="57">
        <f t="shared" ref="P57:P85" si="33">G57/U57</f>
        <v>1.7747937413835919E-2</v>
      </c>
      <c r="Q57" s="48">
        <v>1.1601999999999999</v>
      </c>
      <c r="R57" s="48">
        <v>1.1601999999999999</v>
      </c>
      <c r="S57" s="48">
        <v>563</v>
      </c>
      <c r="T57" s="48">
        <v>1035168549</v>
      </c>
      <c r="U57" s="91">
        <v>1158071741</v>
      </c>
    </row>
    <row r="58" spans="1:21" ht="15" customHeight="1">
      <c r="A58" s="112">
        <v>48</v>
      </c>
      <c r="B58" s="65" t="s">
        <v>100</v>
      </c>
      <c r="C58" s="65" t="s">
        <v>101</v>
      </c>
      <c r="D58" s="48">
        <v>874214329.38</v>
      </c>
      <c r="E58" s="48">
        <v>11164165.130000001</v>
      </c>
      <c r="F58" s="48">
        <v>2038088.67</v>
      </c>
      <c r="G58" s="43">
        <v>9126713.7599999998</v>
      </c>
      <c r="H58" s="32">
        <v>1004884127</v>
      </c>
      <c r="I58" s="44">
        <f t="shared" si="23"/>
        <v>3.4311581713373954E-3</v>
      </c>
      <c r="J58" s="48">
        <v>980561735.39999998</v>
      </c>
      <c r="K58" s="44">
        <f t="shared" si="24"/>
        <v>3.3859431821395875E-3</v>
      </c>
      <c r="L58" s="44">
        <f t="shared" si="25"/>
        <v>-2.420417533373977E-2</v>
      </c>
      <c r="M58" s="66">
        <f t="shared" si="30"/>
        <v>2.0784909265999488E-3</v>
      </c>
      <c r="N58" s="46">
        <f t="shared" si="31"/>
        <v>9.3076380920339968E-3</v>
      </c>
      <c r="O58" s="57">
        <f t="shared" si="32"/>
        <v>1.069222984026136</v>
      </c>
      <c r="P58" s="57">
        <f t="shared" si="33"/>
        <v>9.9519405749999203E-3</v>
      </c>
      <c r="Q58" s="48">
        <v>1.0702</v>
      </c>
      <c r="R58" s="48">
        <v>1.0702</v>
      </c>
      <c r="S58" s="48">
        <v>145</v>
      </c>
      <c r="T58" s="48">
        <v>947520850</v>
      </c>
      <c r="U58" s="48">
        <v>917078804</v>
      </c>
    </row>
    <row r="59" spans="1:21" ht="14.25">
      <c r="A59" s="112">
        <v>49</v>
      </c>
      <c r="B59" s="65" t="s">
        <v>102</v>
      </c>
      <c r="C59" s="50" t="s">
        <v>103</v>
      </c>
      <c r="D59" s="51">
        <v>217981137.18000001</v>
      </c>
      <c r="E59" s="51">
        <v>3273097.56</v>
      </c>
      <c r="F59" s="51">
        <v>434663.46</v>
      </c>
      <c r="G59" s="51">
        <v>2838434.1</v>
      </c>
      <c r="H59" s="35">
        <v>257615178.27000001</v>
      </c>
      <c r="I59" s="44">
        <f t="shared" si="23"/>
        <v>8.7962223726283453E-4</v>
      </c>
      <c r="J59" s="51">
        <v>264663470.90000001</v>
      </c>
      <c r="K59" s="44">
        <f t="shared" si="24"/>
        <v>9.1390010695215843E-4</v>
      </c>
      <c r="L59" s="44">
        <f t="shared" si="25"/>
        <v>2.7359772344674724E-2</v>
      </c>
      <c r="M59" s="66">
        <f t="shared" si="30"/>
        <v>1.642325095042045E-3</v>
      </c>
      <c r="N59" s="46">
        <f t="shared" si="31"/>
        <v>1.0724691587954234E-2</v>
      </c>
      <c r="O59" s="57">
        <f t="shared" si="32"/>
        <v>1118.0916349119175</v>
      </c>
      <c r="P59" s="57">
        <f t="shared" si="33"/>
        <v>11.991187951501837</v>
      </c>
      <c r="Q59" s="48">
        <v>1118.0899999999999</v>
      </c>
      <c r="R59" s="48">
        <v>1118.0899999999999</v>
      </c>
      <c r="S59" s="48">
        <v>119</v>
      </c>
      <c r="T59" s="48">
        <v>236580</v>
      </c>
      <c r="U59" s="48">
        <v>236710</v>
      </c>
    </row>
    <row r="60" spans="1:21" ht="14.25">
      <c r="A60" s="112">
        <v>50</v>
      </c>
      <c r="B60" s="65" t="s">
        <v>104</v>
      </c>
      <c r="C60" s="50" t="s">
        <v>105</v>
      </c>
      <c r="D60" s="48">
        <v>1406130838.74</v>
      </c>
      <c r="E60" s="48">
        <v>13367269.460000001</v>
      </c>
      <c r="F60" s="48">
        <v>2054017.3</v>
      </c>
      <c r="G60" s="43">
        <v>11313252.16</v>
      </c>
      <c r="H60" s="32">
        <v>1472909484.8599999</v>
      </c>
      <c r="I60" s="44">
        <f t="shared" si="23"/>
        <v>5.0292220553880256E-3</v>
      </c>
      <c r="J60" s="48">
        <v>1426655971.5</v>
      </c>
      <c r="K60" s="44">
        <f t="shared" si="24"/>
        <v>4.9263354723796358E-3</v>
      </c>
      <c r="L60" s="44">
        <f t="shared" si="25"/>
        <v>-3.1402821310772058E-2</v>
      </c>
      <c r="M60" s="66">
        <f t="shared" si="30"/>
        <v>1.4397425455279077E-3</v>
      </c>
      <c r="N60" s="46">
        <f t="shared" si="31"/>
        <v>7.9299090923126599E-3</v>
      </c>
      <c r="O60" s="57">
        <f t="shared" si="32"/>
        <v>1.0522867709462278</v>
      </c>
      <c r="P60" s="57">
        <f t="shared" si="33"/>
        <v>8.3445384326468214E-3</v>
      </c>
      <c r="Q60" s="43">
        <v>1.0523</v>
      </c>
      <c r="R60" s="43">
        <v>1.0523</v>
      </c>
      <c r="S60" s="48">
        <v>796</v>
      </c>
      <c r="T60" s="48">
        <v>1410721828.4100001</v>
      </c>
      <c r="U60" s="48">
        <v>1355767278.3599999</v>
      </c>
    </row>
    <row r="61" spans="1:21" ht="14.25">
      <c r="A61" s="112">
        <v>51</v>
      </c>
      <c r="B61" s="65" t="s">
        <v>106</v>
      </c>
      <c r="C61" s="65" t="s">
        <v>107</v>
      </c>
      <c r="D61" s="48">
        <v>394978771.92000002</v>
      </c>
      <c r="E61" s="48">
        <v>3879303.3</v>
      </c>
      <c r="F61" s="48">
        <v>825357.15</v>
      </c>
      <c r="G61" s="43">
        <v>3053946.15</v>
      </c>
      <c r="H61" s="32">
        <v>416673693.13</v>
      </c>
      <c r="I61" s="44">
        <f t="shared" si="23"/>
        <v>1.4227245794323606E-3</v>
      </c>
      <c r="J61" s="48">
        <v>394978771.92000002</v>
      </c>
      <c r="K61" s="44">
        <f t="shared" si="24"/>
        <v>1.3638872817394168E-3</v>
      </c>
      <c r="L61" s="44">
        <f t="shared" si="25"/>
        <v>-5.2066932872652648E-2</v>
      </c>
      <c r="M61" s="66">
        <f t="shared" si="30"/>
        <v>2.0896240726759104E-3</v>
      </c>
      <c r="N61" s="46">
        <f t="shared" si="31"/>
        <v>7.7319247694115417E-3</v>
      </c>
      <c r="O61" s="57">
        <f t="shared" si="32"/>
        <v>2.237080986538424</v>
      </c>
      <c r="P61" s="57">
        <f t="shared" si="33"/>
        <v>1.7296941890996047E-2</v>
      </c>
      <c r="Q61" s="48">
        <v>2.2370999999999999</v>
      </c>
      <c r="R61" s="48">
        <v>2.2370999999999999</v>
      </c>
      <c r="S61" s="48">
        <v>1398</v>
      </c>
      <c r="T61" s="48">
        <v>193673055.94710001</v>
      </c>
      <c r="U61" s="48">
        <v>176559889.56</v>
      </c>
    </row>
    <row r="62" spans="1:21" ht="14.25">
      <c r="A62" s="112">
        <v>52</v>
      </c>
      <c r="B62" s="50" t="s">
        <v>108</v>
      </c>
      <c r="C62" s="65" t="s">
        <v>59</v>
      </c>
      <c r="D62" s="48">
        <v>2585838639.1100001</v>
      </c>
      <c r="E62" s="48">
        <v>26664198.390000001</v>
      </c>
      <c r="F62" s="48">
        <v>5637788.4500000002</v>
      </c>
      <c r="G62" s="43">
        <v>21026409.940000001</v>
      </c>
      <c r="H62" s="32">
        <v>2583357846.5700002</v>
      </c>
      <c r="I62" s="44">
        <f t="shared" si="23"/>
        <v>8.8208273437552602E-3</v>
      </c>
      <c r="J62" s="48">
        <v>2585838639.1100001</v>
      </c>
      <c r="K62" s="44">
        <f t="shared" si="24"/>
        <v>8.9290683025031424E-3</v>
      </c>
      <c r="L62" s="44">
        <f t="shared" si="25"/>
        <v>9.6029767741769988E-4</v>
      </c>
      <c r="M62" s="66">
        <f t="shared" si="30"/>
        <v>2.1802553201619832E-3</v>
      </c>
      <c r="N62" s="46">
        <f t="shared" si="31"/>
        <v>8.1313696925949409E-3</v>
      </c>
      <c r="O62" s="57">
        <f t="shared" si="32"/>
        <v>2966.1090673441226</v>
      </c>
      <c r="P62" s="57">
        <f t="shared" si="33"/>
        <v>24.118529375133047</v>
      </c>
      <c r="Q62" s="48">
        <v>3997.09</v>
      </c>
      <c r="R62" s="48">
        <v>3997.09</v>
      </c>
      <c r="S62" s="48">
        <v>1059</v>
      </c>
      <c r="T62" s="48">
        <v>872475.34</v>
      </c>
      <c r="U62" s="48">
        <v>871794.86</v>
      </c>
    </row>
    <row r="63" spans="1:21" ht="14.25">
      <c r="A63" s="112">
        <v>53</v>
      </c>
      <c r="B63" s="65" t="s">
        <v>109</v>
      </c>
      <c r="C63" s="65" t="s">
        <v>61</v>
      </c>
      <c r="D63" s="48">
        <v>344789391.41000003</v>
      </c>
      <c r="E63" s="48">
        <v>458763.11</v>
      </c>
      <c r="F63" s="48">
        <v>247780.05</v>
      </c>
      <c r="G63" s="43">
        <v>210983.06</v>
      </c>
      <c r="H63" s="32">
        <v>334563380.54000002</v>
      </c>
      <c r="I63" s="44">
        <f t="shared" si="23"/>
        <v>1.1423604434843298E-3</v>
      </c>
      <c r="J63" s="93">
        <v>344789391.41000003</v>
      </c>
      <c r="K63" s="44">
        <f t="shared" si="24"/>
        <v>1.1905801001326195E-3</v>
      </c>
      <c r="L63" s="44">
        <f t="shared" si="25"/>
        <v>3.056524253639108E-2</v>
      </c>
      <c r="M63" s="66">
        <f t="shared" si="30"/>
        <v>7.1864174528895773E-4</v>
      </c>
      <c r="N63" s="46">
        <f t="shared" si="31"/>
        <v>6.1191865311515151E-4</v>
      </c>
      <c r="O63" s="57">
        <f t="shared" si="32"/>
        <v>604.24490093093038</v>
      </c>
      <c r="P63" s="57">
        <f t="shared" si="33"/>
        <v>0.36974872592935304</v>
      </c>
      <c r="Q63" s="48">
        <v>107.69</v>
      </c>
      <c r="R63" s="48">
        <v>107.69</v>
      </c>
      <c r="S63" s="48">
        <v>122</v>
      </c>
      <c r="T63" s="48">
        <v>572647</v>
      </c>
      <c r="U63" s="48">
        <v>570612</v>
      </c>
    </row>
    <row r="64" spans="1:21" ht="14.25">
      <c r="A64" s="112">
        <v>54</v>
      </c>
      <c r="B64" s="42" t="s">
        <v>110</v>
      </c>
      <c r="C64" s="42" t="s">
        <v>65</v>
      </c>
      <c r="D64" s="51">
        <v>332441547.42000002</v>
      </c>
      <c r="E64" s="51">
        <v>3333600.59</v>
      </c>
      <c r="F64" s="48">
        <v>1396433.01</v>
      </c>
      <c r="G64" s="51">
        <v>11063258.300000001</v>
      </c>
      <c r="H64" s="30">
        <v>317326810.56</v>
      </c>
      <c r="I64" s="44">
        <f t="shared" si="23"/>
        <v>1.0835064957070196E-3</v>
      </c>
      <c r="J64" s="51">
        <v>329255648.47000003</v>
      </c>
      <c r="K64" s="44">
        <f t="shared" si="24"/>
        <v>1.1369410796589659E-3</v>
      </c>
      <c r="L64" s="44">
        <f t="shared" si="25"/>
        <v>3.7591648461561454E-2</v>
      </c>
      <c r="M64" s="66">
        <f t="shared" si="30"/>
        <v>4.2411816364852292E-3</v>
      </c>
      <c r="N64" s="46">
        <f t="shared" si="31"/>
        <v>3.3600815510407334E-2</v>
      </c>
      <c r="O64" s="57">
        <f t="shared" si="32"/>
        <v>1.4141569634961593</v>
      </c>
      <c r="P64" s="57">
        <f t="shared" si="33"/>
        <v>4.7516827233192276E-2</v>
      </c>
      <c r="Q64" s="91">
        <v>1.4198999999999999</v>
      </c>
      <c r="R64" s="94">
        <v>1.4198999999999999</v>
      </c>
      <c r="S64" s="94">
        <v>309</v>
      </c>
      <c r="T64" s="97">
        <v>232221935.59999999</v>
      </c>
      <c r="U64" s="96">
        <v>232828219.90000001</v>
      </c>
    </row>
    <row r="65" spans="1:21" ht="14.25">
      <c r="A65" s="112">
        <v>55</v>
      </c>
      <c r="B65" s="65" t="s">
        <v>227</v>
      </c>
      <c r="C65" s="65" t="s">
        <v>47</v>
      </c>
      <c r="D65" s="48">
        <v>357877214.31999999</v>
      </c>
      <c r="E65" s="48">
        <v>662244.4</v>
      </c>
      <c r="F65" s="48">
        <v>55365.14</v>
      </c>
      <c r="G65" s="43">
        <v>662244.4</v>
      </c>
      <c r="H65" s="35">
        <v>66925353.93</v>
      </c>
      <c r="I65" s="44">
        <f t="shared" si="23"/>
        <v>2.2851537688441044E-4</v>
      </c>
      <c r="J65" s="48">
        <v>357877214.31999999</v>
      </c>
      <c r="K65" s="44">
        <f t="shared" si="24"/>
        <v>1.2357732003233867E-3</v>
      </c>
      <c r="L65" s="44">
        <f t="shared" si="25"/>
        <v>4.3474086172830493</v>
      </c>
      <c r="M65" s="66">
        <f t="shared" si="30"/>
        <v>1.5470428902605301E-4</v>
      </c>
      <c r="N65" s="46">
        <f t="shared" si="31"/>
        <v>1.8504793641537811E-3</v>
      </c>
      <c r="O65" s="57">
        <f t="shared" si="32"/>
        <v>666.52959194281857</v>
      </c>
      <c r="P65" s="57">
        <f t="shared" si="33"/>
        <v>1.233399255488026</v>
      </c>
      <c r="Q65" s="48">
        <v>989.2</v>
      </c>
      <c r="R65" s="48">
        <v>989.2</v>
      </c>
      <c r="S65" s="48">
        <v>20</v>
      </c>
      <c r="T65" s="48">
        <v>536926.22</v>
      </c>
      <c r="U65" s="48">
        <v>536926.22</v>
      </c>
    </row>
    <row r="66" spans="1:21" ht="14.25">
      <c r="A66" s="112">
        <v>56</v>
      </c>
      <c r="B66" s="65" t="s">
        <v>111</v>
      </c>
      <c r="C66" s="65" t="s">
        <v>112</v>
      </c>
      <c r="D66" s="48">
        <v>489600000</v>
      </c>
      <c r="E66" s="48">
        <v>14888929.060000001</v>
      </c>
      <c r="F66" s="48">
        <v>14692164.16</v>
      </c>
      <c r="G66" s="43">
        <v>196764.9</v>
      </c>
      <c r="H66" s="30">
        <v>1003939098.41</v>
      </c>
      <c r="I66" s="44">
        <f t="shared" si="23"/>
        <v>3.427931388784459E-3</v>
      </c>
      <c r="J66" s="48">
        <v>1090482747.9000001</v>
      </c>
      <c r="K66" s="44">
        <f t="shared" si="24"/>
        <v>3.7655075577537655E-3</v>
      </c>
      <c r="L66" s="44">
        <f t="shared" si="25"/>
        <v>8.6204083123233896E-2</v>
      </c>
      <c r="M66" s="66">
        <f t="shared" si="30"/>
        <v>1.3473082621704444E-2</v>
      </c>
      <c r="N66" s="46">
        <f t="shared" si="31"/>
        <v>1.8043834290723122E-4</v>
      </c>
      <c r="O66" s="57">
        <f t="shared" si="32"/>
        <v>1088.3888075570292</v>
      </c>
      <c r="P66" s="57">
        <f t="shared" si="33"/>
        <v>0.19638707287436771</v>
      </c>
      <c r="Q66" s="48">
        <v>1000</v>
      </c>
      <c r="R66" s="48">
        <v>1000</v>
      </c>
      <c r="S66" s="48">
        <v>269</v>
      </c>
      <c r="T66" s="48">
        <v>911832.89</v>
      </c>
      <c r="U66" s="48">
        <v>1001923.89</v>
      </c>
    </row>
    <row r="67" spans="1:21" ht="14.25">
      <c r="A67" s="112">
        <v>57</v>
      </c>
      <c r="B67" s="65" t="s">
        <v>113</v>
      </c>
      <c r="C67" s="65" t="s">
        <v>67</v>
      </c>
      <c r="D67" s="48">
        <v>198664554.58000001</v>
      </c>
      <c r="E67" s="93">
        <v>2404838.5299999998</v>
      </c>
      <c r="F67" s="48">
        <v>572898.37</v>
      </c>
      <c r="G67" s="43">
        <v>1831940.16</v>
      </c>
      <c r="H67" s="32">
        <v>221162754.41</v>
      </c>
      <c r="I67" s="44">
        <f t="shared" si="23"/>
        <v>7.5515611362558322E-4</v>
      </c>
      <c r="J67" s="48">
        <v>224402559.22</v>
      </c>
      <c r="K67" s="44">
        <f t="shared" si="24"/>
        <v>7.7487657127032746E-4</v>
      </c>
      <c r="L67" s="44">
        <f t="shared" si="25"/>
        <v>1.4648962112281927E-2</v>
      </c>
      <c r="M67" s="66">
        <f t="shared" si="30"/>
        <v>2.552993923025367E-3</v>
      </c>
      <c r="N67" s="46">
        <f t="shared" si="31"/>
        <v>8.163633099228608E-3</v>
      </c>
      <c r="O67" s="57">
        <f t="shared" si="32"/>
        <v>1135.7554368863246</v>
      </c>
      <c r="P67" s="57">
        <f t="shared" si="33"/>
        <v>9.2718906771940475</v>
      </c>
      <c r="Q67" s="48">
        <v>1122.95</v>
      </c>
      <c r="R67" s="93">
        <v>1135.76</v>
      </c>
      <c r="S67" s="48">
        <v>281</v>
      </c>
      <c r="T67" s="48">
        <v>197628</v>
      </c>
      <c r="U67" s="48">
        <v>197580</v>
      </c>
    </row>
    <row r="68" spans="1:21" ht="14.25">
      <c r="A68" s="112">
        <v>58</v>
      </c>
      <c r="B68" s="67" t="s">
        <v>114</v>
      </c>
      <c r="C68" s="42" t="s">
        <v>70</v>
      </c>
      <c r="D68" s="51">
        <v>760804799.99000001</v>
      </c>
      <c r="E68" s="51">
        <v>8811807.8100000005</v>
      </c>
      <c r="F68" s="91">
        <v>1230076.02</v>
      </c>
      <c r="G68" s="91">
        <v>7581731.79</v>
      </c>
      <c r="H68" s="30">
        <v>746373178.89999998</v>
      </c>
      <c r="I68" s="44">
        <f t="shared" si="23"/>
        <v>2.5484773446419486E-3</v>
      </c>
      <c r="J68" s="51">
        <v>758623151</v>
      </c>
      <c r="K68" s="44">
        <f t="shared" si="24"/>
        <v>2.6195748755114033E-3</v>
      </c>
      <c r="L68" s="44">
        <f t="shared" si="25"/>
        <v>1.6412663860796758E-2</v>
      </c>
      <c r="M68" s="66">
        <f t="shared" si="30"/>
        <v>1.6214585837230797E-3</v>
      </c>
      <c r="N68" s="46">
        <f t="shared" si="31"/>
        <v>9.9940685701536153E-3</v>
      </c>
      <c r="O68" s="57">
        <f t="shared" si="32"/>
        <v>1.1133492816425927</v>
      </c>
      <c r="P68" s="57">
        <f t="shared" si="33"/>
        <v>1.1126889063267342E-2</v>
      </c>
      <c r="Q68" s="48">
        <v>1.1100000000000001</v>
      </c>
      <c r="R68" s="48">
        <v>1.1100000000000001</v>
      </c>
      <c r="S68" s="48">
        <v>37</v>
      </c>
      <c r="T68" s="51">
        <v>678578192.35000002</v>
      </c>
      <c r="U68" s="51">
        <v>681388279.04999995</v>
      </c>
    </row>
    <row r="69" spans="1:21" ht="14.25">
      <c r="A69" s="112">
        <v>59</v>
      </c>
      <c r="B69" s="65" t="s">
        <v>228</v>
      </c>
      <c r="C69" s="65" t="s">
        <v>29</v>
      </c>
      <c r="D69" s="48">
        <v>66466333528.300003</v>
      </c>
      <c r="E69" s="51">
        <v>758889813.52999997</v>
      </c>
      <c r="F69" s="51">
        <v>78400422.5</v>
      </c>
      <c r="G69" s="43">
        <v>680489391.02999997</v>
      </c>
      <c r="H69" s="30">
        <v>66398536013.690002</v>
      </c>
      <c r="I69" s="44">
        <f t="shared" si="23"/>
        <v>0.22671656690245717</v>
      </c>
      <c r="J69" s="91">
        <v>66130940000.230003</v>
      </c>
      <c r="K69" s="44">
        <f t="shared" si="24"/>
        <v>0.22835441904218212</v>
      </c>
      <c r="L69" s="44">
        <f t="shared" si="25"/>
        <v>-4.0301493003524402E-3</v>
      </c>
      <c r="M69" s="66">
        <f t="shared" si="30"/>
        <v>1.1855331634440297E-3</v>
      </c>
      <c r="N69" s="46">
        <f t="shared" si="31"/>
        <v>1.0290030521683697E-2</v>
      </c>
      <c r="O69" s="57">
        <f t="shared" si="32"/>
        <v>1547.4126330751885</v>
      </c>
      <c r="P69" s="57">
        <f t="shared" si="33"/>
        <v>15.922923223982623</v>
      </c>
      <c r="Q69" s="68">
        <v>1547.41</v>
      </c>
      <c r="R69" s="68">
        <v>1547.41</v>
      </c>
      <c r="S69" s="94">
        <v>2466</v>
      </c>
      <c r="T69" s="96">
        <v>43333289.439999998</v>
      </c>
      <c r="U69" s="96">
        <v>42736461.229999997</v>
      </c>
    </row>
    <row r="70" spans="1:21" ht="14.25">
      <c r="A70" s="112">
        <v>60</v>
      </c>
      <c r="B70" s="67" t="s">
        <v>115</v>
      </c>
      <c r="C70" s="67" t="s">
        <v>219</v>
      </c>
      <c r="D70" s="48">
        <v>23470305.739999998</v>
      </c>
      <c r="E70" s="48">
        <v>283355.74</v>
      </c>
      <c r="F70" s="48">
        <v>258499.44</v>
      </c>
      <c r="G70" s="43">
        <v>24856.3</v>
      </c>
      <c r="H70" s="32">
        <v>24888688.949999999</v>
      </c>
      <c r="I70" s="44">
        <f t="shared" si="23"/>
        <v>8.4981965751228586E-5</v>
      </c>
      <c r="J70" s="48">
        <v>25091536.039999999</v>
      </c>
      <c r="K70" s="44">
        <f t="shared" si="24"/>
        <v>8.6642699094708868E-5</v>
      </c>
      <c r="L70" s="44">
        <f t="shared" si="25"/>
        <v>8.1501717670829695E-3</v>
      </c>
      <c r="M70" s="66">
        <f t="shared" si="30"/>
        <v>1.0302256489515419E-2</v>
      </c>
      <c r="N70" s="46">
        <f t="shared" si="31"/>
        <v>9.9062488483666385E-4</v>
      </c>
      <c r="O70" s="57">
        <f t="shared" si="32"/>
        <v>0.76443545272887914</v>
      </c>
      <c r="P70" s="57">
        <f t="shared" si="33"/>
        <v>7.5726878232460892E-4</v>
      </c>
      <c r="Q70" s="43">
        <v>0.76439999999999997</v>
      </c>
      <c r="R70" s="43">
        <v>0.76439999999999997</v>
      </c>
      <c r="S70" s="48">
        <v>747</v>
      </c>
      <c r="T70" s="48">
        <v>32830481.149999999</v>
      </c>
      <c r="U70" s="48">
        <v>32823616.370000001</v>
      </c>
    </row>
    <row r="71" spans="1:21" ht="14.25">
      <c r="A71" s="112">
        <v>61</v>
      </c>
      <c r="B71" s="67" t="s">
        <v>226</v>
      </c>
      <c r="C71" s="42" t="s">
        <v>35</v>
      </c>
      <c r="D71" s="48">
        <v>11005494309.07</v>
      </c>
      <c r="E71" s="48">
        <v>58087411.079999998</v>
      </c>
      <c r="F71" s="48">
        <v>2221119.27</v>
      </c>
      <c r="G71" s="48">
        <v>55866291.810000002</v>
      </c>
      <c r="H71" s="32">
        <v>9188833784.6399994</v>
      </c>
      <c r="I71" s="44">
        <f t="shared" si="23"/>
        <v>3.1375102141730477E-2</v>
      </c>
      <c r="J71" s="48">
        <v>9710149372.0300007</v>
      </c>
      <c r="K71" s="44">
        <f t="shared" si="24"/>
        <v>3.3529774696307184E-2</v>
      </c>
      <c r="L71" s="44">
        <f>((J71-H71)/H71)</f>
        <v>5.6733596407133775E-2</v>
      </c>
      <c r="M71" s="66">
        <f>(F71/J71)</f>
        <v>2.2874202907711332E-4</v>
      </c>
      <c r="N71" s="46">
        <f>G71/J71</f>
        <v>5.7533915977567105E-3</v>
      </c>
      <c r="O71" s="57">
        <f>J71/U71</f>
        <v>1</v>
      </c>
      <c r="P71" s="57">
        <f>G71/U71</f>
        <v>5.7533915977567105E-3</v>
      </c>
      <c r="Q71" s="48">
        <v>1</v>
      </c>
      <c r="R71" s="48">
        <v>1</v>
      </c>
      <c r="S71" s="48">
        <v>5519</v>
      </c>
      <c r="T71" s="91">
        <v>9188833784.6399994</v>
      </c>
      <c r="U71" s="48">
        <v>9710149372.0300007</v>
      </c>
    </row>
    <row r="72" spans="1:21" ht="14.25">
      <c r="A72" s="112">
        <v>62</v>
      </c>
      <c r="B72" s="50" t="s">
        <v>217</v>
      </c>
      <c r="C72" s="50" t="s">
        <v>116</v>
      </c>
      <c r="D72" s="48">
        <v>1100859696.4100001</v>
      </c>
      <c r="E72" s="48">
        <v>42030296.200000003</v>
      </c>
      <c r="F72" s="48">
        <v>20223556.879999999</v>
      </c>
      <c r="G72" s="43">
        <v>21806739.32</v>
      </c>
      <c r="H72" s="32">
        <v>1050425230.46</v>
      </c>
      <c r="I72" s="44">
        <f t="shared" si="23"/>
        <v>3.5866574225147411E-3</v>
      </c>
      <c r="J72" s="48">
        <v>1088784577.05</v>
      </c>
      <c r="K72" s="44">
        <f t="shared" si="24"/>
        <v>3.7596436638202327E-3</v>
      </c>
      <c r="L72" s="44">
        <f t="shared" si="25"/>
        <v>3.6517921959282787E-2</v>
      </c>
      <c r="M72" s="66">
        <f t="shared" si="30"/>
        <v>1.8574433644894733E-2</v>
      </c>
      <c r="N72" s="46">
        <f t="shared" si="31"/>
        <v>2.0028515998163864E-2</v>
      </c>
      <c r="O72" s="57">
        <f t="shared" si="32"/>
        <v>214.58214003174504</v>
      </c>
      <c r="P72" s="57">
        <f t="shared" si="33"/>
        <v>4.2977618245460443</v>
      </c>
      <c r="Q72" s="98">
        <v>210.58</v>
      </c>
      <c r="R72" s="43">
        <v>214.96</v>
      </c>
      <c r="S72" s="48">
        <v>488</v>
      </c>
      <c r="T72" s="48">
        <v>4960167.55</v>
      </c>
      <c r="U72" s="98">
        <v>5073975.76</v>
      </c>
    </row>
    <row r="73" spans="1:21" ht="14.25">
      <c r="A73" s="112">
        <v>63</v>
      </c>
      <c r="B73" s="67" t="s">
        <v>117</v>
      </c>
      <c r="C73" s="42" t="s">
        <v>37</v>
      </c>
      <c r="D73" s="94">
        <v>1253351900.1800001</v>
      </c>
      <c r="E73" s="48">
        <v>9587497.4600000009</v>
      </c>
      <c r="F73" s="48">
        <v>1550325.75</v>
      </c>
      <c r="G73" s="43">
        <v>8037171.71</v>
      </c>
      <c r="H73" s="30">
        <v>1216775957.97</v>
      </c>
      <c r="I73" s="44">
        <f t="shared" si="23"/>
        <v>4.1546588892190277E-3</v>
      </c>
      <c r="J73" s="48">
        <v>1220791514.5999999</v>
      </c>
      <c r="K73" s="44">
        <f t="shared" si="24"/>
        <v>4.215472169110843E-3</v>
      </c>
      <c r="L73" s="44">
        <f t="shared" si="25"/>
        <v>3.300161055696073E-3</v>
      </c>
      <c r="M73" s="66">
        <f t="shared" si="30"/>
        <v>1.2699348999882047E-3</v>
      </c>
      <c r="N73" s="46">
        <f t="shared" si="31"/>
        <v>6.5835743563743805E-3</v>
      </c>
      <c r="O73" s="57">
        <f t="shared" si="32"/>
        <v>3.1440834617384517</v>
      </c>
      <c r="P73" s="57">
        <f t="shared" si="33"/>
        <v>2.0699307253002064E-2</v>
      </c>
      <c r="Q73" s="43">
        <v>3.58</v>
      </c>
      <c r="R73" s="58">
        <v>3.58</v>
      </c>
      <c r="S73" s="48">
        <v>780</v>
      </c>
      <c r="T73" s="48">
        <v>388562635</v>
      </c>
      <c r="U73" s="93">
        <v>388282159</v>
      </c>
    </row>
    <row r="74" spans="1:21" ht="14.25">
      <c r="A74" s="112">
        <v>64</v>
      </c>
      <c r="B74" s="65" t="s">
        <v>249</v>
      </c>
      <c r="C74" s="65" t="s">
        <v>43</v>
      </c>
      <c r="D74" s="48">
        <v>1280436933.9300001</v>
      </c>
      <c r="E74" s="48">
        <v>17878200.52</v>
      </c>
      <c r="F74" s="48">
        <v>2851067.97</v>
      </c>
      <c r="G74" s="43">
        <v>15027132.550000001</v>
      </c>
      <c r="H74" s="32">
        <v>2058349947</v>
      </c>
      <c r="I74" s="44">
        <f t="shared" si="23"/>
        <v>7.0281976303133943E-3</v>
      </c>
      <c r="J74" s="48">
        <v>1346009660.27</v>
      </c>
      <c r="K74" s="44">
        <f t="shared" si="24"/>
        <v>4.6478585363379345E-3</v>
      </c>
      <c r="L74" s="44">
        <f>((J74-H74)/H74)</f>
        <v>-0.34607345935914369</v>
      </c>
      <c r="M74" s="66">
        <f>(F74/J74)</f>
        <v>2.1181630817033634E-3</v>
      </c>
      <c r="N74" s="46">
        <f>G74/J74</f>
        <v>1.1164208544376766E-2</v>
      </c>
      <c r="O74" s="57">
        <f>J74/U74</f>
        <v>109.3045339613337</v>
      </c>
      <c r="P74" s="57">
        <f>G74/U74</f>
        <v>1.2202986119902421</v>
      </c>
      <c r="Q74" s="48">
        <v>101.97</v>
      </c>
      <c r="R74" s="48">
        <v>101.97</v>
      </c>
      <c r="S74" s="48">
        <v>180</v>
      </c>
      <c r="T74" s="48">
        <v>19139462.370999999</v>
      </c>
      <c r="U74" s="48">
        <v>12314307.664000001</v>
      </c>
    </row>
    <row r="75" spans="1:21" ht="14.25">
      <c r="A75" s="112">
        <v>65</v>
      </c>
      <c r="B75" s="67" t="s">
        <v>120</v>
      </c>
      <c r="C75" s="67" t="s">
        <v>21</v>
      </c>
      <c r="D75" s="48">
        <v>1234095797.1900001</v>
      </c>
      <c r="E75" s="48">
        <v>13177534.689999999</v>
      </c>
      <c r="F75" s="48">
        <v>1753099.17</v>
      </c>
      <c r="G75" s="43">
        <v>11424435.52</v>
      </c>
      <c r="H75" s="32">
        <v>1197921353.8</v>
      </c>
      <c r="I75" s="44">
        <f t="shared" si="23"/>
        <v>4.0902801937784264E-3</v>
      </c>
      <c r="J75" s="48">
        <v>1209354193.1400001</v>
      </c>
      <c r="K75" s="44">
        <f t="shared" si="24"/>
        <v>4.1759783573279185E-3</v>
      </c>
      <c r="L75" s="44">
        <f t="shared" si="25"/>
        <v>9.5438981062766267E-3</v>
      </c>
      <c r="M75" s="66">
        <f t="shared" si="30"/>
        <v>1.4496159850806037E-3</v>
      </c>
      <c r="N75" s="46">
        <f t="shared" si="31"/>
        <v>9.4467241977615208E-3</v>
      </c>
      <c r="O75" s="57">
        <f t="shared" si="32"/>
        <v>340.59086234679728</v>
      </c>
      <c r="P75" s="57">
        <f t="shared" si="33"/>
        <v>3.2174679408679534</v>
      </c>
      <c r="Q75" s="94">
        <v>340.59089999999998</v>
      </c>
      <c r="R75" s="94">
        <v>340.59089999999998</v>
      </c>
      <c r="S75" s="94">
        <v>103</v>
      </c>
      <c r="T75" s="94">
        <v>3550897.94</v>
      </c>
      <c r="U75" s="94">
        <v>3550753.49</v>
      </c>
    </row>
    <row r="76" spans="1:21" ht="14.25">
      <c r="A76" s="112">
        <v>66</v>
      </c>
      <c r="B76" s="50" t="s">
        <v>121</v>
      </c>
      <c r="C76" s="50" t="s">
        <v>41</v>
      </c>
      <c r="D76" s="48">
        <v>52978059.829999998</v>
      </c>
      <c r="E76" s="48">
        <v>912828.93</v>
      </c>
      <c r="F76" s="48">
        <v>147548.13</v>
      </c>
      <c r="G76" s="43">
        <v>765280.8</v>
      </c>
      <c r="H76" s="32">
        <v>55614919.840000004</v>
      </c>
      <c r="I76" s="44">
        <f t="shared" si="23"/>
        <v>1.8989610993953957E-4</v>
      </c>
      <c r="J76" s="48">
        <v>55061531.049999997</v>
      </c>
      <c r="K76" s="44">
        <f t="shared" si="24"/>
        <v>1.9013103298474348E-4</v>
      </c>
      <c r="L76" s="44">
        <f t="shared" si="25"/>
        <v>-9.9503656858998448E-3</v>
      </c>
      <c r="M76" s="66">
        <f t="shared" si="30"/>
        <v>2.6796953732727709E-3</v>
      </c>
      <c r="N76" s="46">
        <f t="shared" si="31"/>
        <v>1.3898647302507221E-2</v>
      </c>
      <c r="O76" s="57">
        <f t="shared" si="32"/>
        <v>11.992911539087194</v>
      </c>
      <c r="P76" s="57">
        <f t="shared" si="33"/>
        <v>0.16668524761194195</v>
      </c>
      <c r="Q76" s="48">
        <v>11.99</v>
      </c>
      <c r="R76" s="48">
        <v>12.23</v>
      </c>
      <c r="S76" s="48">
        <v>55</v>
      </c>
      <c r="T76" s="48">
        <v>4553438</v>
      </c>
      <c r="U76" s="48">
        <v>4591172.95</v>
      </c>
    </row>
    <row r="77" spans="1:21" ht="14.25">
      <c r="A77" s="112">
        <v>67</v>
      </c>
      <c r="B77" s="67" t="s">
        <v>122</v>
      </c>
      <c r="C77" s="67" t="s">
        <v>123</v>
      </c>
      <c r="D77" s="48">
        <v>7085290472.7299995</v>
      </c>
      <c r="E77" s="48">
        <v>71359000.329999998</v>
      </c>
      <c r="F77" s="48">
        <v>9700107.9299999997</v>
      </c>
      <c r="G77" s="43">
        <v>61658892.399999999</v>
      </c>
      <c r="H77" s="32">
        <v>6856935460</v>
      </c>
      <c r="I77" s="44">
        <f t="shared" si="23"/>
        <v>2.341287866109576E-2</v>
      </c>
      <c r="J77" s="48">
        <v>6886768393</v>
      </c>
      <c r="K77" s="44">
        <f t="shared" si="24"/>
        <v>2.3780457308728829E-2</v>
      </c>
      <c r="L77" s="44">
        <f t="shared" si="25"/>
        <v>4.3507676532804932E-3</v>
      </c>
      <c r="M77" s="66">
        <f t="shared" si="30"/>
        <v>1.4085137435229558E-3</v>
      </c>
      <c r="N77" s="46">
        <f t="shared" si="31"/>
        <v>8.9532403126367198E-3</v>
      </c>
      <c r="O77" s="57">
        <f t="shared" si="32"/>
        <v>1.1099999999194108</v>
      </c>
      <c r="P77" s="57">
        <f t="shared" si="33"/>
        <v>9.9380967463052229E-3</v>
      </c>
      <c r="Q77" s="48">
        <v>1.1100000000000001</v>
      </c>
      <c r="R77" s="48">
        <v>1.1100000000000001</v>
      </c>
      <c r="S77" s="91">
        <v>3706</v>
      </c>
      <c r="T77" s="48">
        <v>6233577691</v>
      </c>
      <c r="U77" s="48">
        <v>6204295850</v>
      </c>
    </row>
    <row r="78" spans="1:21" ht="14.25">
      <c r="A78" s="112">
        <v>68</v>
      </c>
      <c r="B78" s="42" t="s">
        <v>124</v>
      </c>
      <c r="C78" s="67" t="s">
        <v>45</v>
      </c>
      <c r="D78" s="91">
        <v>22068113819.580002</v>
      </c>
      <c r="E78" s="91">
        <v>221441142.71000001</v>
      </c>
      <c r="F78" s="91">
        <v>25712829.59</v>
      </c>
      <c r="G78" s="91">
        <v>195728313.12</v>
      </c>
      <c r="H78" s="30">
        <v>22305888573.380001</v>
      </c>
      <c r="I78" s="44">
        <f t="shared" si="23"/>
        <v>7.6163041878254512E-2</v>
      </c>
      <c r="J78" s="91">
        <v>22147312426.779999</v>
      </c>
      <c r="K78" s="44">
        <f t="shared" si="24"/>
        <v>7.6476104264440486E-2</v>
      </c>
      <c r="L78" s="44">
        <f t="shared" si="25"/>
        <v>-7.1091607078701243E-3</v>
      </c>
      <c r="M78" s="66">
        <f t="shared" si="30"/>
        <v>1.1609909633508698E-3</v>
      </c>
      <c r="N78" s="46">
        <f t="shared" si="31"/>
        <v>8.8375649987819747E-3</v>
      </c>
      <c r="O78" s="57">
        <f t="shared" si="32"/>
        <v>5025.2968008947155</v>
      </c>
      <c r="P78" s="57">
        <f t="shared" si="33"/>
        <v>44.411387116078174</v>
      </c>
      <c r="Q78" s="91">
        <v>5011.7</v>
      </c>
      <c r="R78" s="91">
        <v>5011.7</v>
      </c>
      <c r="S78" s="91">
        <v>427</v>
      </c>
      <c r="T78" s="48">
        <v>4489807.13</v>
      </c>
      <c r="U78" s="48">
        <v>4407165.05</v>
      </c>
    </row>
    <row r="79" spans="1:21" ht="14.25">
      <c r="A79" s="112">
        <v>69</v>
      </c>
      <c r="B79" s="67" t="s">
        <v>125</v>
      </c>
      <c r="C79" s="67" t="s">
        <v>45</v>
      </c>
      <c r="D79" s="91">
        <v>36051637090.080002</v>
      </c>
      <c r="E79" s="91">
        <v>267527544.25</v>
      </c>
      <c r="F79" s="91">
        <v>58671722.549999997</v>
      </c>
      <c r="G79" s="91">
        <v>208855821.69999999</v>
      </c>
      <c r="H79" s="30">
        <v>36532780624.690002</v>
      </c>
      <c r="I79" s="44">
        <f t="shared" si="23"/>
        <v>0.12474050031649228</v>
      </c>
      <c r="J79" s="91">
        <v>35857877005.139999</v>
      </c>
      <c r="K79" s="44">
        <f t="shared" si="24"/>
        <v>0.12381957177028312</v>
      </c>
      <c r="L79" s="44">
        <f t="shared" si="25"/>
        <v>-1.8473918711073473E-2</v>
      </c>
      <c r="M79" s="66">
        <f t="shared" si="30"/>
        <v>1.6362296781147912E-3</v>
      </c>
      <c r="N79" s="46">
        <f t="shared" si="31"/>
        <v>5.8245450970246179E-3</v>
      </c>
      <c r="O79" s="57">
        <f t="shared" si="32"/>
        <v>255.80994098758171</v>
      </c>
      <c r="P79" s="57">
        <f t="shared" si="33"/>
        <v>1.4899765375493759</v>
      </c>
      <c r="Q79" s="91">
        <v>255.81</v>
      </c>
      <c r="R79" s="91">
        <v>255.81</v>
      </c>
      <c r="S79" s="91">
        <v>6672</v>
      </c>
      <c r="T79" s="91">
        <v>143051473.91</v>
      </c>
      <c r="U79" s="91">
        <v>140173899.68000001</v>
      </c>
    </row>
    <row r="80" spans="1:21" ht="14.25">
      <c r="A80" s="112">
        <v>70</v>
      </c>
      <c r="B80" s="42" t="s">
        <v>126</v>
      </c>
      <c r="C80" s="67" t="s">
        <v>45</v>
      </c>
      <c r="D80" s="91">
        <v>296914935.67000002</v>
      </c>
      <c r="E80" s="91">
        <v>3096429.41</v>
      </c>
      <c r="F80" s="91">
        <v>276483.14</v>
      </c>
      <c r="G80" s="91">
        <v>2819946.27</v>
      </c>
      <c r="H80" s="30">
        <v>291058110.44999999</v>
      </c>
      <c r="I80" s="44">
        <f t="shared" si="23"/>
        <v>9.9381250750370308E-4</v>
      </c>
      <c r="J80" s="91">
        <v>299591082.00999999</v>
      </c>
      <c r="K80" s="44">
        <f t="shared" si="24"/>
        <v>1.0345074103343208E-3</v>
      </c>
      <c r="L80" s="44">
        <f t="shared" si="25"/>
        <v>2.9317071930437946E-2</v>
      </c>
      <c r="M80" s="66">
        <f t="shared" si="30"/>
        <v>9.2286839162579394E-4</v>
      </c>
      <c r="N80" s="46">
        <f t="shared" si="31"/>
        <v>9.4126509076324031E-3</v>
      </c>
      <c r="O80" s="57">
        <f t="shared" si="32"/>
        <v>5314.0968065336247</v>
      </c>
      <c r="P80" s="57">
        <f t="shared" si="33"/>
        <v>50.019738129265178</v>
      </c>
      <c r="Q80" s="91">
        <v>5283.58</v>
      </c>
      <c r="R80" s="91">
        <v>5309.07</v>
      </c>
      <c r="S80" s="48">
        <v>16</v>
      </c>
      <c r="T80" s="91">
        <v>56376.67</v>
      </c>
      <c r="U80" s="91">
        <v>56376.67</v>
      </c>
    </row>
    <row r="81" spans="1:21" ht="14.25">
      <c r="A81" s="112">
        <v>71</v>
      </c>
      <c r="B81" s="67" t="s">
        <v>127</v>
      </c>
      <c r="C81" s="67" t="s">
        <v>45</v>
      </c>
      <c r="D81" s="91">
        <v>17464508052.139999</v>
      </c>
      <c r="E81" s="91">
        <v>175427515.25999999</v>
      </c>
      <c r="F81" s="91">
        <v>25329389.329999998</v>
      </c>
      <c r="G81" s="91">
        <v>150098125.93000001</v>
      </c>
      <c r="H81" s="30">
        <v>18755618432.400002</v>
      </c>
      <c r="I81" s="44">
        <f t="shared" si="23"/>
        <v>6.404071047966263E-2</v>
      </c>
      <c r="J81" s="91">
        <v>18240738845.279999</v>
      </c>
      <c r="K81" s="44">
        <f t="shared" si="24"/>
        <v>6.2986452663452097E-2</v>
      </c>
      <c r="L81" s="44">
        <f t="shared" si="25"/>
        <v>-2.745201865647668E-2</v>
      </c>
      <c r="M81" s="66">
        <f t="shared" si="30"/>
        <v>1.3886164121336712E-3</v>
      </c>
      <c r="N81" s="46">
        <f t="shared" si="31"/>
        <v>8.2287306014931314E-3</v>
      </c>
      <c r="O81" s="57">
        <f t="shared" si="32"/>
        <v>126.36287152916216</v>
      </c>
      <c r="P81" s="57">
        <f t="shared" si="33"/>
        <v>1.0398060278445618</v>
      </c>
      <c r="Q81" s="91">
        <v>125.92</v>
      </c>
      <c r="R81" s="91">
        <v>125.92</v>
      </c>
      <c r="S81" s="48">
        <v>4222</v>
      </c>
      <c r="T81" s="91">
        <v>154299489.05000001</v>
      </c>
      <c r="U81" s="91">
        <v>144352044.43000001</v>
      </c>
    </row>
    <row r="82" spans="1:21" ht="14.25">
      <c r="A82" s="112">
        <v>72</v>
      </c>
      <c r="B82" s="67" t="s">
        <v>128</v>
      </c>
      <c r="C82" s="67" t="s">
        <v>45</v>
      </c>
      <c r="D82" s="91">
        <v>13485192249.5</v>
      </c>
      <c r="E82" s="91">
        <v>98943162.140000001</v>
      </c>
      <c r="F82" s="91">
        <v>22838856.48</v>
      </c>
      <c r="G82" s="91">
        <v>126735909.66</v>
      </c>
      <c r="H82" s="32">
        <v>14426908306.959999</v>
      </c>
      <c r="I82" s="44">
        <f t="shared" si="23"/>
        <v>4.9260410224950389E-2</v>
      </c>
      <c r="J82" s="91">
        <v>13876967556.32</v>
      </c>
      <c r="K82" s="44">
        <f t="shared" si="24"/>
        <v>4.791806776645912E-2</v>
      </c>
      <c r="L82" s="44">
        <f t="shared" si="25"/>
        <v>-3.8119099320447644E-2</v>
      </c>
      <c r="M82" s="66">
        <f t="shared" si="30"/>
        <v>1.6458103247202938E-3</v>
      </c>
      <c r="N82" s="46">
        <f t="shared" si="31"/>
        <v>9.1328245270906137E-3</v>
      </c>
      <c r="O82" s="57">
        <f t="shared" si="32"/>
        <v>354.704381760915</v>
      </c>
      <c r="P82" s="57">
        <f t="shared" si="33"/>
        <v>3.2394528776125973</v>
      </c>
      <c r="Q82" s="48">
        <v>353.2</v>
      </c>
      <c r="R82" s="48">
        <v>353.35</v>
      </c>
      <c r="S82" s="48">
        <v>10233</v>
      </c>
      <c r="T82" s="48">
        <v>39370365.140000001</v>
      </c>
      <c r="U82" s="48">
        <v>39122627.939999998</v>
      </c>
    </row>
    <row r="83" spans="1:21" ht="14.25">
      <c r="A83" s="112">
        <v>73</v>
      </c>
      <c r="B83" s="67" t="s">
        <v>129</v>
      </c>
      <c r="C83" s="67" t="s">
        <v>49</v>
      </c>
      <c r="D83" s="51">
        <v>88189670721</v>
      </c>
      <c r="E83" s="51">
        <v>747109052</v>
      </c>
      <c r="F83" s="51">
        <v>149790168</v>
      </c>
      <c r="G83" s="51">
        <v>597318884</v>
      </c>
      <c r="H83" s="30">
        <v>99704459642</v>
      </c>
      <c r="I83" s="44">
        <f t="shared" si="23"/>
        <v>0.34043902399050219</v>
      </c>
      <c r="J83" s="51">
        <v>98232030708</v>
      </c>
      <c r="K83" s="44">
        <f t="shared" si="24"/>
        <v>0.33920156440511984</v>
      </c>
      <c r="L83" s="44">
        <f t="shared" si="25"/>
        <v>-1.476793454662831E-2</v>
      </c>
      <c r="M83" s="66">
        <f t="shared" si="30"/>
        <v>1.524860749802265E-3</v>
      </c>
      <c r="N83" s="46">
        <f t="shared" si="31"/>
        <v>6.0806936362291291E-3</v>
      </c>
      <c r="O83" s="57">
        <f t="shared" si="32"/>
        <v>1.9928782610582421</v>
      </c>
      <c r="P83" s="57">
        <f t="shared" si="33"/>
        <v>1.2118082159796225E-2</v>
      </c>
      <c r="Q83" s="94">
        <v>1.99</v>
      </c>
      <c r="R83" s="94">
        <v>1.99</v>
      </c>
      <c r="S83" s="94">
        <v>2039</v>
      </c>
      <c r="T83" s="96">
        <v>51484985680</v>
      </c>
      <c r="U83" s="96">
        <v>49291536080</v>
      </c>
    </row>
    <row r="84" spans="1:21" ht="14.25">
      <c r="A84" s="112">
        <v>74</v>
      </c>
      <c r="B84" s="114" t="s">
        <v>229</v>
      </c>
      <c r="C84" s="114" t="s">
        <v>230</v>
      </c>
      <c r="D84" s="35">
        <v>79815055.549999997</v>
      </c>
      <c r="E84" s="30">
        <v>1469038.16</v>
      </c>
      <c r="F84" s="30">
        <v>395304.87</v>
      </c>
      <c r="G84" s="35">
        <v>1073333.274</v>
      </c>
      <c r="H84" s="35">
        <v>80080198.969999999</v>
      </c>
      <c r="I84" s="44">
        <f t="shared" si="23"/>
        <v>2.7343235073135948E-4</v>
      </c>
      <c r="J84" s="35">
        <v>80080198.969999999</v>
      </c>
      <c r="K84" s="44">
        <f t="shared" si="24"/>
        <v>2.7652211374151194E-4</v>
      </c>
      <c r="L84" s="44">
        <f t="shared" si="25"/>
        <v>0</v>
      </c>
      <c r="M84" s="66">
        <f t="shared" si="30"/>
        <v>4.9363622354146606E-3</v>
      </c>
      <c r="N84" s="46">
        <f t="shared" si="31"/>
        <v>1.3403229360133044E-2</v>
      </c>
      <c r="O84" s="57">
        <f t="shared" si="32"/>
        <v>100.88827949703034</v>
      </c>
      <c r="P84" s="57">
        <f t="shared" si="33"/>
        <v>1.3522287498479058</v>
      </c>
      <c r="Q84" s="37">
        <v>100.8883</v>
      </c>
      <c r="R84" s="37">
        <v>100.8883</v>
      </c>
      <c r="S84" s="37">
        <v>46</v>
      </c>
      <c r="T84" s="37">
        <v>563331.74</v>
      </c>
      <c r="U84" s="37">
        <v>793751.26</v>
      </c>
    </row>
    <row r="85" spans="1:21" ht="14.25">
      <c r="A85" s="112">
        <v>75</v>
      </c>
      <c r="B85" s="42" t="s">
        <v>130</v>
      </c>
      <c r="C85" s="42" t="s">
        <v>96</v>
      </c>
      <c r="D85" s="51">
        <v>2539995813.0300002</v>
      </c>
      <c r="E85" s="51">
        <v>23285180.809999999</v>
      </c>
      <c r="F85" s="93">
        <v>4562516.49</v>
      </c>
      <c r="G85" s="51">
        <v>18722664.32</v>
      </c>
      <c r="H85" s="35">
        <v>2634857410.5100002</v>
      </c>
      <c r="I85" s="44">
        <f t="shared" si="23"/>
        <v>8.9966716474767019E-3</v>
      </c>
      <c r="J85" s="51">
        <v>2619932606.8899999</v>
      </c>
      <c r="K85" s="44">
        <f t="shared" si="24"/>
        <v>9.0467969814727392E-3</v>
      </c>
      <c r="L85" s="44">
        <f t="shared" si="25"/>
        <v>-5.6643686145853083E-3</v>
      </c>
      <c r="M85" s="66">
        <f t="shared" si="30"/>
        <v>1.7414633025297362E-3</v>
      </c>
      <c r="N85" s="46">
        <f t="shared" si="31"/>
        <v>7.1462389035360742E-3</v>
      </c>
      <c r="O85" s="57">
        <f t="shared" si="32"/>
        <v>25.332623630941359</v>
      </c>
      <c r="P85" s="57">
        <f t="shared" si="33"/>
        <v>0.18103298052007041</v>
      </c>
      <c r="Q85" s="48">
        <v>25.332599999999999</v>
      </c>
      <c r="R85" s="48">
        <v>25.332599999999999</v>
      </c>
      <c r="S85" s="51">
        <v>1319</v>
      </c>
      <c r="T85" s="51">
        <v>104149322.72</v>
      </c>
      <c r="U85" s="51">
        <v>103421289.68000001</v>
      </c>
    </row>
    <row r="86" spans="1:21" ht="14.25">
      <c r="A86" s="123" t="s">
        <v>50</v>
      </c>
      <c r="B86" s="123"/>
      <c r="C86" s="123"/>
      <c r="D86" s="123"/>
      <c r="E86" s="123"/>
      <c r="F86" s="123"/>
      <c r="G86" s="123"/>
      <c r="H86" s="60">
        <f>SUM(H56:H85)</f>
        <v>292870242880.20996</v>
      </c>
      <c r="I86" s="52">
        <f>(H86/$H$174)</f>
        <v>0.13795004893697535</v>
      </c>
      <c r="J86" s="60">
        <f>SUM(J56:J85)</f>
        <v>289597811496.76001</v>
      </c>
      <c r="K86" s="52">
        <f>(J86/$J$174)</f>
        <v>0.13898966567582977</v>
      </c>
      <c r="L86" s="44">
        <f t="shared" si="25"/>
        <v>-1.1173656125892053E-2</v>
      </c>
      <c r="M86" s="61"/>
      <c r="N86" s="62"/>
      <c r="O86" s="63"/>
      <c r="P86" s="63"/>
      <c r="Q86" s="64"/>
      <c r="R86" s="64"/>
      <c r="S86" s="64">
        <f>SUM(S56:S85)</f>
        <v>44532</v>
      </c>
      <c r="T86" s="64"/>
      <c r="U86" s="48"/>
    </row>
    <row r="87" spans="1:21" ht="7.5" customHeight="1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</row>
    <row r="88" spans="1:21">
      <c r="A88" s="121" t="s">
        <v>131</v>
      </c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</row>
    <row r="89" spans="1:21" ht="13.5">
      <c r="A89" s="126" t="s">
        <v>132</v>
      </c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</row>
    <row r="90" spans="1:21" ht="14.25">
      <c r="A90" s="113">
        <v>76</v>
      </c>
      <c r="B90" s="67" t="s">
        <v>133</v>
      </c>
      <c r="C90" s="67" t="s">
        <v>21</v>
      </c>
      <c r="D90" s="93">
        <v>1561176352.6600001</v>
      </c>
      <c r="E90" s="93">
        <v>10491312.77</v>
      </c>
      <c r="F90" s="93">
        <v>3150528.71</v>
      </c>
      <c r="G90" s="69">
        <v>7340784.0599999996</v>
      </c>
      <c r="H90" s="29">
        <v>1679960122.1099999</v>
      </c>
      <c r="I90" s="44">
        <f>(H90/$H$113)</f>
        <v>2.2194750441106382E-3</v>
      </c>
      <c r="J90" s="70">
        <v>1587040323.0799999</v>
      </c>
      <c r="K90" s="44">
        <f>(J90/$J$113)</f>
        <v>2.2538456106007301E-3</v>
      </c>
      <c r="L90" s="44">
        <f t="shared" ref="L90:L101" si="34">((J90-H90)/H90)</f>
        <v>-5.5310717086126046E-2</v>
      </c>
      <c r="M90" s="66">
        <f t="shared" ref="M90" si="35">(F90/J90)</f>
        <v>1.9851598375810061E-3</v>
      </c>
      <c r="N90" s="46">
        <f t="shared" ref="N90" si="36">G90/J90</f>
        <v>4.6254552913649969E-3</v>
      </c>
      <c r="O90" s="57">
        <f t="shared" ref="O90" si="37">J90/U90</f>
        <v>99137.601185872976</v>
      </c>
      <c r="P90" s="57">
        <f t="shared" ref="P90" si="38">G90/U90</f>
        <v>458.55654197842892</v>
      </c>
      <c r="Q90" s="48">
        <f>110.2272*881.53</f>
        <v>97168.583615999989</v>
      </c>
      <c r="R90" s="48">
        <f>110.2272*881.53</f>
        <v>97168.583615999989</v>
      </c>
      <c r="S90" s="48">
        <v>232</v>
      </c>
      <c r="T90" s="48">
        <v>15932.93</v>
      </c>
      <c r="U90" s="48">
        <v>16008.46</v>
      </c>
    </row>
    <row r="91" spans="1:21" ht="13.5" customHeight="1">
      <c r="A91" s="112">
        <v>77</v>
      </c>
      <c r="B91" s="65" t="s">
        <v>134</v>
      </c>
      <c r="C91" s="50" t="s">
        <v>25</v>
      </c>
      <c r="D91" s="48">
        <f>8867515.1*825.494</f>
        <v>7320080509.9594002</v>
      </c>
      <c r="E91" s="70">
        <f>232598.2*825.494</f>
        <v>192008418.5108</v>
      </c>
      <c r="F91" s="70">
        <f>19219.55*825.494</f>
        <v>15865623.207699999</v>
      </c>
      <c r="G91" s="70">
        <f>217758.65*825.494</f>
        <v>179758459.02309999</v>
      </c>
      <c r="H91" s="29">
        <f>10289409*942.617</f>
        <v>9698971843.3529987</v>
      </c>
      <c r="I91" s="44">
        <f t="shared" ref="I91:I101" si="39">(H91/$H$113)</f>
        <v>1.2813771991692681E-2</v>
      </c>
      <c r="J91" s="70">
        <v>9643614142.4099998</v>
      </c>
      <c r="K91" s="44">
        <f t="shared" ref="K91:K101" si="40">(J91/$J$113)</f>
        <v>1.369544118640662E-2</v>
      </c>
      <c r="L91" s="44">
        <f t="shared" si="34"/>
        <v>-5.7075844571027609E-3</v>
      </c>
      <c r="M91" s="66">
        <f t="shared" ref="M91:M101" si="41">(F91/J91)</f>
        <v>1.6451947344022497E-3</v>
      </c>
      <c r="N91" s="46">
        <f t="shared" ref="N91:N101" si="42">G91/J91</f>
        <v>1.8640154652452449E-2</v>
      </c>
      <c r="O91" s="57">
        <f t="shared" ref="O91:O101" si="43">J91/U91</f>
        <v>1057.1692450989958</v>
      </c>
      <c r="P91" s="57">
        <f t="shared" ref="P91:P101" si="44">G91/U91</f>
        <v>19.705798222461688</v>
      </c>
      <c r="Q91" s="48">
        <v>1057.1500000000001</v>
      </c>
      <c r="R91" s="48">
        <v>1057.1500000000001</v>
      </c>
      <c r="S91" s="48">
        <v>291</v>
      </c>
      <c r="T91" s="48">
        <v>8796731</v>
      </c>
      <c r="U91" s="48">
        <v>9122110</v>
      </c>
    </row>
    <row r="92" spans="1:21" ht="13.5" customHeight="1">
      <c r="A92" s="113">
        <v>78</v>
      </c>
      <c r="B92" s="67" t="s">
        <v>218</v>
      </c>
      <c r="C92" s="65" t="s">
        <v>67</v>
      </c>
      <c r="D92" s="43">
        <f>297806.7*825.494</f>
        <v>245837644.00980002</v>
      </c>
      <c r="E92" s="43">
        <f>2001.36*825.494</f>
        <v>1652110.67184</v>
      </c>
      <c r="F92" s="43">
        <f>710.45*825.494</f>
        <v>586472.21230000001</v>
      </c>
      <c r="G92" s="43">
        <f>1290.91*825.494</f>
        <v>1065638.4595400002</v>
      </c>
      <c r="H92" s="70">
        <v>0</v>
      </c>
      <c r="I92" s="44">
        <f t="shared" si="39"/>
        <v>0</v>
      </c>
      <c r="J92" s="91">
        <f>340366.57*825.494</f>
        <v>280970561.33557999</v>
      </c>
      <c r="K92" s="44">
        <f t="shared" si="40"/>
        <v>3.9902216545149394E-4</v>
      </c>
      <c r="L92" s="44" t="e">
        <f t="shared" si="34"/>
        <v>#DIV/0!</v>
      </c>
      <c r="M92" s="66">
        <f t="shared" si="41"/>
        <v>2.0873083981191223E-3</v>
      </c>
      <c r="N92" s="46">
        <f t="shared" si="42"/>
        <v>3.7927050238805776E-3</v>
      </c>
      <c r="O92" s="57">
        <f t="shared" si="43"/>
        <v>85323.583764221068</v>
      </c>
      <c r="P92" s="57">
        <f t="shared" si="44"/>
        <v>323.60718479805655</v>
      </c>
      <c r="Q92" s="51">
        <f>102.61*825.494</f>
        <v>84703.939339999997</v>
      </c>
      <c r="R92" s="51">
        <f>102.61*825.494</f>
        <v>84703.939339999997</v>
      </c>
      <c r="S92" s="48">
        <v>33</v>
      </c>
      <c r="T92" s="91">
        <v>2864.28</v>
      </c>
      <c r="U92" s="48">
        <v>3293</v>
      </c>
    </row>
    <row r="93" spans="1:21" ht="15" customHeight="1">
      <c r="A93" s="112">
        <v>79</v>
      </c>
      <c r="B93" s="67" t="s">
        <v>135</v>
      </c>
      <c r="C93" s="42" t="s">
        <v>70</v>
      </c>
      <c r="D93" s="91">
        <v>2395227839.1599998</v>
      </c>
      <c r="E93" s="70">
        <v>16805078.829999998</v>
      </c>
      <c r="F93" s="70">
        <v>3003896.83</v>
      </c>
      <c r="G93" s="70">
        <v>13801182</v>
      </c>
      <c r="H93" s="30">
        <v>2484939349.6700001</v>
      </c>
      <c r="I93" s="44">
        <f t="shared" si="39"/>
        <v>3.2829713039819151E-3</v>
      </c>
      <c r="J93" s="91">
        <v>2411559934.23</v>
      </c>
      <c r="K93" s="44">
        <f t="shared" si="40"/>
        <v>3.4247924853708254E-3</v>
      </c>
      <c r="L93" s="44">
        <f t="shared" si="34"/>
        <v>-2.952966053265841E-2</v>
      </c>
      <c r="M93" s="66">
        <f t="shared" si="41"/>
        <v>1.2456239579047121E-3</v>
      </c>
      <c r="N93" s="46">
        <f t="shared" si="42"/>
        <v>5.7229272240362766E-3</v>
      </c>
      <c r="O93" s="57">
        <f t="shared" si="43"/>
        <v>96835.212939015211</v>
      </c>
      <c r="P93" s="57">
        <f t="shared" si="44"/>
        <v>554.18087637404005</v>
      </c>
      <c r="Q93" s="70">
        <f>107.43*825.494</f>
        <v>88682.820420000004</v>
      </c>
      <c r="R93" s="70">
        <f>107.43*825.494</f>
        <v>88682.820420000004</v>
      </c>
      <c r="S93" s="48">
        <v>45</v>
      </c>
      <c r="T93" s="48">
        <v>24639.64</v>
      </c>
      <c r="U93" s="48">
        <v>24903.75</v>
      </c>
    </row>
    <row r="94" spans="1:21" ht="15" customHeight="1">
      <c r="A94" s="113">
        <v>80</v>
      </c>
      <c r="B94" s="65" t="s">
        <v>136</v>
      </c>
      <c r="C94" s="65" t="s">
        <v>137</v>
      </c>
      <c r="D94" s="51">
        <v>32614174653.529999</v>
      </c>
      <c r="E94" s="93">
        <v>205470837.47</v>
      </c>
      <c r="F94" s="93">
        <v>51103089.859999999</v>
      </c>
      <c r="G94" s="101">
        <v>154367747.59999999</v>
      </c>
      <c r="H94" s="32">
        <v>24454087508.060001</v>
      </c>
      <c r="I94" s="44">
        <f t="shared" si="39"/>
        <v>3.2307455537973213E-2</v>
      </c>
      <c r="J94" s="51">
        <v>32334007866.580002</v>
      </c>
      <c r="K94" s="44">
        <f t="shared" si="40"/>
        <v>4.5919351035636706E-2</v>
      </c>
      <c r="L94" s="44">
        <f t="shared" si="34"/>
        <v>0.32223326083718312</v>
      </c>
      <c r="M94" s="66">
        <f t="shared" si="41"/>
        <v>1.5804749621781181E-3</v>
      </c>
      <c r="N94" s="46">
        <f t="shared" si="42"/>
        <v>4.7741606372141828E-3</v>
      </c>
      <c r="O94" s="57">
        <f t="shared" si="43"/>
        <v>129257.16391518552</v>
      </c>
      <c r="P94" s="57">
        <f t="shared" si="44"/>
        <v>617.09446404182017</v>
      </c>
      <c r="Q94" s="51">
        <f>123.92*881.53</f>
        <v>109239.1976</v>
      </c>
      <c r="R94" s="51">
        <f>123.92*881.53</f>
        <v>109239.1976</v>
      </c>
      <c r="S94" s="48">
        <v>1999</v>
      </c>
      <c r="T94" s="48">
        <v>238533.1</v>
      </c>
      <c r="U94" s="48">
        <v>250152.54</v>
      </c>
    </row>
    <row r="95" spans="1:21" ht="14.25">
      <c r="A95" s="112">
        <v>81</v>
      </c>
      <c r="B95" s="65" t="s">
        <v>138</v>
      </c>
      <c r="C95" s="65" t="s">
        <v>137</v>
      </c>
      <c r="D95" s="51">
        <v>33659065167.68</v>
      </c>
      <c r="E95" s="101">
        <v>218312376.93000001</v>
      </c>
      <c r="F95" s="101">
        <v>50470545.530000001</v>
      </c>
      <c r="G95" s="101">
        <v>167841831.40000001</v>
      </c>
      <c r="H95" s="32">
        <v>22797700346.099998</v>
      </c>
      <c r="I95" s="44">
        <f t="shared" si="39"/>
        <v>3.0119123850231667E-2</v>
      </c>
      <c r="J95" s="51">
        <v>33478974453.75</v>
      </c>
      <c r="K95" s="44">
        <f t="shared" si="40"/>
        <v>4.7545382762272E-2</v>
      </c>
      <c r="L95" s="44">
        <f t="shared" si="34"/>
        <v>0.46852419083915392</v>
      </c>
      <c r="M95" s="66">
        <f t="shared" si="41"/>
        <v>1.5075296168263232E-3</v>
      </c>
      <c r="N95" s="46">
        <f t="shared" si="42"/>
        <v>5.0133504427343637E-3</v>
      </c>
      <c r="O95" s="57">
        <f t="shared" si="43"/>
        <v>116699.89515772276</v>
      </c>
      <c r="P95" s="57">
        <f t="shared" si="44"/>
        <v>585.05747105602313</v>
      </c>
      <c r="Q95" s="51">
        <f>111.88*899.893</f>
        <v>100680.02884</v>
      </c>
      <c r="R95" s="51">
        <f>111.88*899.893</f>
        <v>100680.02884</v>
      </c>
      <c r="S95" s="48">
        <v>227</v>
      </c>
      <c r="T95" s="51">
        <v>246897.66</v>
      </c>
      <c r="U95" s="51">
        <v>286880.93</v>
      </c>
    </row>
    <row r="96" spans="1:21" s="19" customFormat="1" ht="14.25">
      <c r="A96" s="113">
        <v>82</v>
      </c>
      <c r="B96" s="71" t="s">
        <v>139</v>
      </c>
      <c r="C96" s="72" t="s">
        <v>140</v>
      </c>
      <c r="D96" s="32">
        <f>92753.36*825.494</f>
        <v>76567342.159840003</v>
      </c>
      <c r="E96" s="48">
        <v>0</v>
      </c>
      <c r="F96" s="48">
        <f>326.18*825.494</f>
        <v>269259.63292</v>
      </c>
      <c r="G96" s="70">
        <f>899.893*825.494</f>
        <v>742856.27214200003</v>
      </c>
      <c r="H96" s="29">
        <f>92070.46*942.617</f>
        <v>86787180.793820009</v>
      </c>
      <c r="I96" s="44">
        <f t="shared" si="39"/>
        <v>1.1465866325366808E-4</v>
      </c>
      <c r="J96" s="70">
        <f>114258.52*825.494</f>
        <v>94319722.708880007</v>
      </c>
      <c r="K96" s="44">
        <f t="shared" si="40"/>
        <v>1.3394876609557408E-4</v>
      </c>
      <c r="L96" s="44">
        <f t="shared" si="34"/>
        <v>8.6793255019483012E-2</v>
      </c>
      <c r="M96" s="66">
        <f t="shared" si="41"/>
        <v>2.8547542887830159E-3</v>
      </c>
      <c r="N96" s="46">
        <f t="shared" si="42"/>
        <v>7.8759378294065065E-3</v>
      </c>
      <c r="O96" s="57">
        <f t="shared" si="43"/>
        <v>94598.789136833671</v>
      </c>
      <c r="P96" s="57">
        <f t="shared" si="44"/>
        <v>745.05418197883762</v>
      </c>
      <c r="Q96" s="51">
        <f>114.59*825.494</f>
        <v>94593.357459999999</v>
      </c>
      <c r="R96" s="51">
        <f>114.59*825.494</f>
        <v>94593.357459999999</v>
      </c>
      <c r="S96" s="48">
        <v>3</v>
      </c>
      <c r="T96" s="48">
        <v>997.05</v>
      </c>
      <c r="U96" s="48">
        <v>997.05</v>
      </c>
    </row>
    <row r="97" spans="1:21" s="19" customFormat="1" ht="14.25">
      <c r="A97" s="112">
        <v>83</v>
      </c>
      <c r="B97" s="50" t="s">
        <v>216</v>
      </c>
      <c r="C97" s="50" t="s">
        <v>116</v>
      </c>
      <c r="D97" s="48">
        <f>889344.94*825.494</f>
        <v>734148911.90035999</v>
      </c>
      <c r="E97" s="48">
        <f>5133*825.494</f>
        <v>4237260.7020000005</v>
      </c>
      <c r="F97" s="48">
        <f>2171*825.494</f>
        <v>1792147.4740000002</v>
      </c>
      <c r="G97" s="43">
        <f>2962*825.494</f>
        <v>2445113.2280000001</v>
      </c>
      <c r="H97" s="48">
        <v>0</v>
      </c>
      <c r="I97" s="44">
        <f t="shared" si="39"/>
        <v>0</v>
      </c>
      <c r="J97" s="48">
        <f>(889344.94-3892.07)*825.494</f>
        <v>730936031.46777999</v>
      </c>
      <c r="K97" s="44">
        <f t="shared" si="40"/>
        <v>1.0380435469694929E-3</v>
      </c>
      <c r="L97" s="44" t="e">
        <f t="shared" si="34"/>
        <v>#DIV/0!</v>
      </c>
      <c r="M97" s="66">
        <f t="shared" si="41"/>
        <v>2.4518526886699236E-3</v>
      </c>
      <c r="N97" s="46">
        <f t="shared" si="42"/>
        <v>3.3451808677293013E-3</v>
      </c>
      <c r="O97" s="57">
        <f t="shared" si="43"/>
        <v>851.83825239491216</v>
      </c>
      <c r="P97" s="57">
        <f t="shared" si="44"/>
        <v>2.8495530243114238</v>
      </c>
      <c r="Q97" s="93">
        <f>1.03*825.494</f>
        <v>850.25882000000001</v>
      </c>
      <c r="R97" s="70">
        <f>1.04*825.494</f>
        <v>858.51376000000005</v>
      </c>
      <c r="S97" s="48">
        <v>34</v>
      </c>
      <c r="T97" s="48">
        <v>858069.04</v>
      </c>
      <c r="U97" s="93">
        <v>858069.04</v>
      </c>
    </row>
    <row r="98" spans="1:21" ht="14.25">
      <c r="A98" s="113">
        <v>84</v>
      </c>
      <c r="B98" s="67" t="s">
        <v>141</v>
      </c>
      <c r="C98" s="67" t="s">
        <v>142</v>
      </c>
      <c r="D98" s="43">
        <f>11816367.42*825.494</f>
        <v>9754340407.0054798</v>
      </c>
      <c r="E98" s="43">
        <f>68803.97*825.494</f>
        <v>56797264.411180004</v>
      </c>
      <c r="F98" s="43">
        <f>19760.74*825.494</f>
        <v>16312372.305560002</v>
      </c>
      <c r="G98" s="43">
        <f>49043.23*825.494</f>
        <v>40484892.105620004</v>
      </c>
      <c r="H98" s="29">
        <f>12852958.22*942.617</f>
        <v>12115416918.46174</v>
      </c>
      <c r="I98" s="44">
        <f t="shared" si="39"/>
        <v>1.6006252258981273E-2</v>
      </c>
      <c r="J98" s="91">
        <f>11733154.82*825.494</f>
        <v>9685648904.981081</v>
      </c>
      <c r="K98" s="44">
        <f t="shared" si="40"/>
        <v>1.3755137127168613E-2</v>
      </c>
      <c r="L98" s="44">
        <f t="shared" si="34"/>
        <v>-0.20055174574951071</v>
      </c>
      <c r="M98" s="66">
        <f t="shared" si="41"/>
        <v>1.6841796007256639E-3</v>
      </c>
      <c r="N98" s="46">
        <f t="shared" si="42"/>
        <v>4.1798843322515709E-3</v>
      </c>
      <c r="O98" s="57">
        <f t="shared" si="43"/>
        <v>1012.6528592986807</v>
      </c>
      <c r="P98" s="57">
        <f t="shared" si="44"/>
        <v>4.2327718205923102</v>
      </c>
      <c r="Q98" s="51">
        <f>1.32*825.494</f>
        <v>1089.6520800000001</v>
      </c>
      <c r="R98" s="51">
        <f>1.32*825.494</f>
        <v>1089.6520800000001</v>
      </c>
      <c r="S98" s="48">
        <v>115</v>
      </c>
      <c r="T98" s="91">
        <v>10434827</v>
      </c>
      <c r="U98" s="48">
        <v>9564629</v>
      </c>
    </row>
    <row r="99" spans="1:21" ht="14.25">
      <c r="A99" s="112">
        <v>85</v>
      </c>
      <c r="B99" s="67" t="s">
        <v>143</v>
      </c>
      <c r="C99" s="67" t="s">
        <v>49</v>
      </c>
      <c r="D99" s="48">
        <f>136674638*825.494</f>
        <v>112824093621.172</v>
      </c>
      <c r="E99" s="70">
        <f>968220*825.494</f>
        <v>799259800.68000007</v>
      </c>
      <c r="F99" s="48">
        <f>230272*825.494</f>
        <v>190088154.368</v>
      </c>
      <c r="G99" s="70">
        <f>737948*825.494</f>
        <v>609171646.31200004</v>
      </c>
      <c r="H99" s="29">
        <f>144547384*942.617</f>
        <v>136252821463.92799</v>
      </c>
      <c r="I99" s="44">
        <f t="shared" si="39"/>
        <v>0.18001006866105204</v>
      </c>
      <c r="J99" s="70">
        <f>143594778*825.494</f>
        <v>118536627670.332</v>
      </c>
      <c r="K99" s="44">
        <f t="shared" si="40"/>
        <v>0.16834056078153195</v>
      </c>
      <c r="L99" s="44">
        <f t="shared" si="34"/>
        <v>-0.13002441786709154</v>
      </c>
      <c r="M99" s="66">
        <f t="shared" si="41"/>
        <v>1.603623775232272E-3</v>
      </c>
      <c r="N99" s="46">
        <f t="shared" si="42"/>
        <v>5.1391005319148869E-3</v>
      </c>
      <c r="O99" s="57">
        <f t="shared" si="43"/>
        <v>100419.62234432525</v>
      </c>
      <c r="P99" s="57">
        <f t="shared" si="44"/>
        <v>516.06653460441396</v>
      </c>
      <c r="Q99" s="70">
        <f>122*825.494</f>
        <v>100710.268</v>
      </c>
      <c r="R99" s="70">
        <f>122*825.494</f>
        <v>100710.268</v>
      </c>
      <c r="S99" s="48">
        <v>1130</v>
      </c>
      <c r="T99" s="48">
        <v>1182774</v>
      </c>
      <c r="U99" s="48">
        <v>1180413</v>
      </c>
    </row>
    <row r="100" spans="1:21" ht="13.5" customHeight="1">
      <c r="A100" s="113">
        <v>86</v>
      </c>
      <c r="B100" s="67" t="s">
        <v>144</v>
      </c>
      <c r="C100" s="67" t="s">
        <v>145</v>
      </c>
      <c r="D100" s="99">
        <v>8439250743.5699997</v>
      </c>
      <c r="E100" s="70">
        <v>79182234.819999993</v>
      </c>
      <c r="F100" s="51">
        <v>17456552.34</v>
      </c>
      <c r="G100" s="70">
        <v>61725682.479999997</v>
      </c>
      <c r="H100" s="30">
        <v>6635366393.29</v>
      </c>
      <c r="I100" s="44">
        <f t="shared" si="39"/>
        <v>8.7662974404063114E-3</v>
      </c>
      <c r="J100" s="70">
        <v>8547847510.4899998</v>
      </c>
      <c r="K100" s="44">
        <f t="shared" si="40"/>
        <v>1.2139281095399818E-2</v>
      </c>
      <c r="L100" s="44">
        <f t="shared" si="34"/>
        <v>0.28822539764103944</v>
      </c>
      <c r="M100" s="66">
        <f t="shared" si="41"/>
        <v>2.0422161624405622E-3</v>
      </c>
      <c r="N100" s="46">
        <f t="shared" si="42"/>
        <v>7.2211960267482139E-3</v>
      </c>
      <c r="O100" s="57">
        <f t="shared" si="43"/>
        <v>107940.99647038768</v>
      </c>
      <c r="P100" s="57">
        <f t="shared" si="44"/>
        <v>779.46309483520645</v>
      </c>
      <c r="Q100" s="70">
        <v>107941</v>
      </c>
      <c r="R100" s="70">
        <v>107941</v>
      </c>
      <c r="S100" s="48">
        <v>203</v>
      </c>
      <c r="T100" s="48">
        <v>75905</v>
      </c>
      <c r="U100" s="48">
        <v>79190</v>
      </c>
    </row>
    <row r="101" spans="1:21" ht="13.5" customHeight="1">
      <c r="A101" s="112">
        <v>87</v>
      </c>
      <c r="B101" s="65" t="s">
        <v>146</v>
      </c>
      <c r="C101" s="65" t="s">
        <v>41</v>
      </c>
      <c r="D101" s="48">
        <v>1675436238.5599999</v>
      </c>
      <c r="E101" s="48">
        <v>29490.85</v>
      </c>
      <c r="F101" s="48">
        <v>2305.4</v>
      </c>
      <c r="G101" s="70">
        <v>27185.45</v>
      </c>
      <c r="H101" s="29">
        <v>1724931076.8399999</v>
      </c>
      <c r="I101" s="44">
        <f t="shared" si="39"/>
        <v>2.2788883066157638E-3</v>
      </c>
      <c r="J101" s="70">
        <v>1675436238.5599999</v>
      </c>
      <c r="K101" s="44">
        <f t="shared" si="40"/>
        <v>2.3793816434300535E-3</v>
      </c>
      <c r="L101" s="44">
        <f t="shared" si="34"/>
        <v>-2.869380634655409E-2</v>
      </c>
      <c r="M101" s="66">
        <f t="shared" si="41"/>
        <v>1.3759998422747738E-6</v>
      </c>
      <c r="N101" s="46">
        <f t="shared" si="42"/>
        <v>1.622589351616585E-5</v>
      </c>
      <c r="O101" s="57">
        <f t="shared" si="43"/>
        <v>123525.90777560853</v>
      </c>
      <c r="P101" s="57">
        <f t="shared" si="44"/>
        <v>2.004318226054747</v>
      </c>
      <c r="Q101" s="70">
        <v>118749.88</v>
      </c>
      <c r="R101" s="70">
        <v>121575.54</v>
      </c>
      <c r="S101" s="48">
        <v>46</v>
      </c>
      <c r="T101" s="48">
        <v>13443.44</v>
      </c>
      <c r="U101" s="93">
        <v>13563.44</v>
      </c>
    </row>
    <row r="102" spans="1:21" ht="8.25" customHeight="1">
      <c r="A102" s="120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</row>
    <row r="103" spans="1:21" ht="13.5">
      <c r="A103" s="126" t="s">
        <v>147</v>
      </c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</row>
    <row r="104" spans="1:21" ht="14.25">
      <c r="A104" s="112">
        <v>88</v>
      </c>
      <c r="B104" s="65" t="s">
        <v>148</v>
      </c>
      <c r="C104" s="50" t="s">
        <v>103</v>
      </c>
      <c r="D104" s="106">
        <f>827914.85*825.494</f>
        <v>683438741.18589997</v>
      </c>
      <c r="E104" s="48">
        <f>8804.24*825.494</f>
        <v>7267847.2945600003</v>
      </c>
      <c r="F104" s="48">
        <f>1643.3*825.494</f>
        <v>1356534.2901999999</v>
      </c>
      <c r="G104" s="43">
        <f>7160.94*825.494</f>
        <v>5911313.0043599997</v>
      </c>
      <c r="H104" s="32">
        <f>1001461.17*942.617</f>
        <v>943994323.68189001</v>
      </c>
      <c r="I104" s="44">
        <f>(H104/$H$113)</f>
        <v>1.2471557006737495E-3</v>
      </c>
      <c r="J104" s="48">
        <f>983722.32*825.494</f>
        <v>812056872.82607996</v>
      </c>
      <c r="K104" s="44">
        <f>(J104/$J$113)</f>
        <v>1.1532478360885073E-3</v>
      </c>
      <c r="L104" s="44">
        <f t="shared" ref="L104:L113" si="45">((J104-H104)/H104)</f>
        <v>-0.13976508920224262</v>
      </c>
      <c r="M104" s="66">
        <f t="shared" ref="M104" si="46">(F104/J104)</f>
        <v>1.6704917298206673E-3</v>
      </c>
      <c r="N104" s="46">
        <f t="shared" ref="N104" si="47">G104/J104</f>
        <v>7.2794322690573898E-3</v>
      </c>
      <c r="O104" s="47">
        <f t="shared" ref="O104" si="48">J104/U104</f>
        <v>83835.610380236001</v>
      </c>
      <c r="P104" s="47">
        <f t="shared" ref="P104" si="49">G104/U104</f>
        <v>610.27564749801263</v>
      </c>
      <c r="Q104" s="48">
        <f>103.58*825.494</f>
        <v>85504.668520000007</v>
      </c>
      <c r="R104" s="48">
        <f>103.58*825.494</f>
        <v>85504.668520000007</v>
      </c>
      <c r="S104" s="48">
        <v>28</v>
      </c>
      <c r="T104" s="48">
        <v>9631.2999999999993</v>
      </c>
      <c r="U104" s="48">
        <v>9686.2999999999993</v>
      </c>
    </row>
    <row r="105" spans="1:21" ht="14.25">
      <c r="A105" s="113">
        <v>89</v>
      </c>
      <c r="B105" s="67" t="s">
        <v>149</v>
      </c>
      <c r="C105" s="42" t="s">
        <v>27</v>
      </c>
      <c r="D105" s="48">
        <f>5171048.87*825.494</f>
        <v>4268669815.8917804</v>
      </c>
      <c r="E105" s="48">
        <f>41843.21*825.494</f>
        <v>34541318.795740001</v>
      </c>
      <c r="F105" s="48">
        <f>7848.76*825.494</f>
        <v>6479104.2874400001</v>
      </c>
      <c r="G105" s="43">
        <f>33994.44*825.494</f>
        <v>28062206.253360003</v>
      </c>
      <c r="H105" s="32">
        <f>6644276.48*942.617</f>
        <v>6263007962.7481604</v>
      </c>
      <c r="I105" s="44">
        <f t="shared" ref="I105:I112" si="50">(H105/$H$113)</f>
        <v>8.2743570465987366E-3</v>
      </c>
      <c r="J105" s="48">
        <f>7145334.16*825.494</f>
        <v>5898430477.0750399</v>
      </c>
      <c r="K105" s="44">
        <f t="shared" ref="K105:K112" si="51">(J105/$J$113)</f>
        <v>8.3766943075453369E-3</v>
      </c>
      <c r="L105" s="44">
        <f t="shared" si="45"/>
        <v>-5.8211244156417562E-2</v>
      </c>
      <c r="M105" s="66">
        <f t="shared" ref="M105:M112" si="52">(F105/J105)</f>
        <v>1.0984454784407171E-3</v>
      </c>
      <c r="N105" s="46">
        <f t="shared" ref="N105:N112" si="53">G105/J105</f>
        <v>4.7575717578476418E-3</v>
      </c>
      <c r="O105" s="47">
        <f t="shared" ref="O105:O112" si="54">J105/U105</f>
        <v>109183.85154069866</v>
      </c>
      <c r="P105" s="47">
        <f t="shared" ref="P105:P112" si="55">G105/U105</f>
        <v>519.45000850305769</v>
      </c>
      <c r="Q105" s="48">
        <f>131.6*825.494</f>
        <v>108635.0104</v>
      </c>
      <c r="R105" s="48">
        <f>132.93*825.494</f>
        <v>109732.91742000001</v>
      </c>
      <c r="S105" s="48">
        <v>325</v>
      </c>
      <c r="T105" s="91">
        <v>50681.54</v>
      </c>
      <c r="U105" s="48">
        <v>54022.92</v>
      </c>
    </row>
    <row r="106" spans="1:21" ht="14.25" customHeight="1">
      <c r="A106" s="112">
        <v>90</v>
      </c>
      <c r="B106" s="65" t="s">
        <v>150</v>
      </c>
      <c r="C106" s="65" t="s">
        <v>61</v>
      </c>
      <c r="D106" s="48">
        <f>10310116.22*825.494</f>
        <v>8510939078.9126806</v>
      </c>
      <c r="E106" s="48">
        <f>80147.81*825.494</f>
        <v>66161536.268140003</v>
      </c>
      <c r="F106" s="48">
        <f>19018.64*825.494</f>
        <v>15699773.20816</v>
      </c>
      <c r="G106" s="43">
        <f>61129.17*825.494</f>
        <v>50461763.059979998</v>
      </c>
      <c r="H106" s="32">
        <v>10541630288.950001</v>
      </c>
      <c r="I106" s="44">
        <f t="shared" si="50"/>
        <v>1.3927048054676006E-2</v>
      </c>
      <c r="J106" s="48">
        <f>11271687.77*825.494</f>
        <v>9304710624.0083809</v>
      </c>
      <c r="K106" s="44">
        <f t="shared" si="51"/>
        <v>1.3214145156143041E-2</v>
      </c>
      <c r="L106" s="44">
        <f t="shared" si="45"/>
        <v>-0.11733665771206089</v>
      </c>
      <c r="M106" s="66">
        <f t="shared" si="52"/>
        <v>1.6872930113109403E-3</v>
      </c>
      <c r="N106" s="46">
        <f t="shared" si="53"/>
        <v>5.4232490508384608E-3</v>
      </c>
      <c r="O106" s="47">
        <f t="shared" si="54"/>
        <v>94906.321069842015</v>
      </c>
      <c r="P106" s="47">
        <f t="shared" si="55"/>
        <v>514.70061566059098</v>
      </c>
      <c r="Q106" s="48">
        <f>114.37*825.494</f>
        <v>94411.748780000009</v>
      </c>
      <c r="R106" s="48">
        <f>114.37*825.494</f>
        <v>94411.748780000009</v>
      </c>
      <c r="S106" s="48">
        <v>507</v>
      </c>
      <c r="T106" s="48">
        <v>97898</v>
      </c>
      <c r="U106" s="93">
        <v>98041</v>
      </c>
    </row>
    <row r="107" spans="1:21" ht="15" customHeight="1">
      <c r="A107" s="112">
        <v>91</v>
      </c>
      <c r="B107" s="65" t="s">
        <v>151</v>
      </c>
      <c r="C107" s="50" t="s">
        <v>59</v>
      </c>
      <c r="D107" s="48">
        <f>3478000.75*825.494</f>
        <v>2871068751.1205001</v>
      </c>
      <c r="E107" s="48">
        <f>21401.79*825.494</f>
        <v>17667049.23426</v>
      </c>
      <c r="F107" s="48">
        <f>4745.84*825.494</f>
        <v>3917662.4449600005</v>
      </c>
      <c r="G107" s="43">
        <f>17245.46*825.494</f>
        <v>14236023.757239999</v>
      </c>
      <c r="H107" s="32">
        <v>3567345286.3099999</v>
      </c>
      <c r="I107" s="44">
        <f t="shared" si="50"/>
        <v>4.712989155210635E-3</v>
      </c>
      <c r="J107" s="48">
        <v>3625781480.54</v>
      </c>
      <c r="K107" s="44">
        <f t="shared" si="51"/>
        <v>5.1491770915139887E-3</v>
      </c>
      <c r="L107" s="44">
        <f t="shared" si="45"/>
        <v>1.6380862949895551E-2</v>
      </c>
      <c r="M107" s="66">
        <f t="shared" si="52"/>
        <v>1.0805015321487411E-3</v>
      </c>
      <c r="N107" s="46">
        <f t="shared" si="53"/>
        <v>3.9263325254559412E-3</v>
      </c>
      <c r="O107" s="47">
        <f t="shared" si="54"/>
        <v>1177.5470377168444</v>
      </c>
      <c r="P107" s="47">
        <f t="shared" si="55"/>
        <v>4.6234412344419402</v>
      </c>
      <c r="Q107" s="48">
        <v>1138.6400000000001</v>
      </c>
      <c r="R107" s="48">
        <v>1138.6400000000001</v>
      </c>
      <c r="S107" s="48">
        <v>164</v>
      </c>
      <c r="T107" s="48">
        <v>3149215</v>
      </c>
      <c r="U107" s="48">
        <v>3079096.94</v>
      </c>
    </row>
    <row r="108" spans="1:21" ht="14.25">
      <c r="A108" s="112">
        <v>92</v>
      </c>
      <c r="B108" s="50" t="s">
        <v>152</v>
      </c>
      <c r="C108" s="50" t="s">
        <v>43</v>
      </c>
      <c r="D108" s="48">
        <f>10298906.2*825.494</f>
        <v>8501685274.6627998</v>
      </c>
      <c r="E108" s="48">
        <f>97433.24*825.494</f>
        <v>80430555.020560011</v>
      </c>
      <c r="F108" s="48">
        <f>14984.89*825.494</f>
        <v>12369936.785660001</v>
      </c>
      <c r="G108" s="43">
        <f>82448.35*825.494</f>
        <v>68060618.234900013</v>
      </c>
      <c r="H108" s="32">
        <v>10574530130.629999</v>
      </c>
      <c r="I108" s="44">
        <f t="shared" si="50"/>
        <v>1.3970513596865327E-2</v>
      </c>
      <c r="J108" s="48">
        <v>9792594899.3600006</v>
      </c>
      <c r="K108" s="44">
        <f t="shared" si="51"/>
        <v>1.3907017174888174E-2</v>
      </c>
      <c r="L108" s="44">
        <f t="shared" si="45"/>
        <v>-7.394515137888337E-2</v>
      </c>
      <c r="M108" s="66">
        <f t="shared" si="52"/>
        <v>1.2631929445451116E-3</v>
      </c>
      <c r="N108" s="46">
        <f t="shared" si="53"/>
        <v>6.9502127816344315E-3</v>
      </c>
      <c r="O108" s="47">
        <f t="shared" si="54"/>
        <v>971.19400344129315</v>
      </c>
      <c r="P108" s="47">
        <f t="shared" si="55"/>
        <v>6.7500049761643899</v>
      </c>
      <c r="Q108" s="48">
        <v>1075.71</v>
      </c>
      <c r="R108" s="48">
        <v>1075.71</v>
      </c>
      <c r="S108" s="48">
        <v>396</v>
      </c>
      <c r="T108" s="48">
        <v>10093266</v>
      </c>
      <c r="U108" s="48">
        <v>10083047.119999999</v>
      </c>
    </row>
    <row r="109" spans="1:21" ht="14.25">
      <c r="A109" s="113">
        <v>93</v>
      </c>
      <c r="B109" s="67" t="s">
        <v>153</v>
      </c>
      <c r="C109" s="42" t="s">
        <v>85</v>
      </c>
      <c r="D109" s="48">
        <f>262397.14*825.494</f>
        <v>216607264.68716002</v>
      </c>
      <c r="E109" s="48">
        <f>7796.24*825.494</f>
        <v>6435749.3425599998</v>
      </c>
      <c r="F109" s="48">
        <f>107.74*825.494</f>
        <v>88938.723559999999</v>
      </c>
      <c r="G109" s="43">
        <f>7688.5*825.494</f>
        <v>6346810.6189999999</v>
      </c>
      <c r="H109" s="32">
        <v>238540708.59</v>
      </c>
      <c r="I109" s="44">
        <f t="shared" si="50"/>
        <v>3.151474506758006E-4</v>
      </c>
      <c r="J109" s="48">
        <f>264461.55*825.494</f>
        <v>218311422.75569999</v>
      </c>
      <c r="K109" s="44">
        <f t="shared" si="51"/>
        <v>3.1003638330185756E-4</v>
      </c>
      <c r="L109" s="44">
        <f t="shared" si="45"/>
        <v>-8.4804333624537806E-2</v>
      </c>
      <c r="M109" s="66">
        <f t="shared" si="52"/>
        <v>4.073938158496008E-4</v>
      </c>
      <c r="N109" s="46">
        <f t="shared" si="53"/>
        <v>2.9072279127154779E-2</v>
      </c>
      <c r="O109" s="47">
        <f t="shared" si="54"/>
        <v>854.49800479754185</v>
      </c>
      <c r="P109" s="47">
        <f t="shared" si="55"/>
        <v>24.842204509070982</v>
      </c>
      <c r="Q109" s="48">
        <f>1.04*825.494</f>
        <v>858.51376000000005</v>
      </c>
      <c r="R109" s="48">
        <f>1.04*825.494</f>
        <v>858.51376000000005</v>
      </c>
      <c r="S109" s="48">
        <v>3</v>
      </c>
      <c r="T109" s="48">
        <v>255485</v>
      </c>
      <c r="U109" s="48">
        <v>255485</v>
      </c>
    </row>
    <row r="110" spans="1:21" ht="14.25">
      <c r="A110" s="113">
        <v>94</v>
      </c>
      <c r="B110" s="67" t="s">
        <v>154</v>
      </c>
      <c r="C110" s="67" t="s">
        <v>45</v>
      </c>
      <c r="D110" s="48">
        <f>480818501.79*825.494</f>
        <v>396912788316.63428</v>
      </c>
      <c r="E110" s="48">
        <f>3978819.45*825.494</f>
        <v>3284491583.0583005</v>
      </c>
      <c r="F110" s="48">
        <f>790831.71*825.494</f>
        <v>652826831.61474001</v>
      </c>
      <c r="G110" s="43">
        <f>3187987.74*825.494</f>
        <v>2631664751.4435601</v>
      </c>
      <c r="H110" s="32">
        <f>486856540.21*942.617</f>
        <v>458919251363.12952</v>
      </c>
      <c r="I110" s="44">
        <f t="shared" si="50"/>
        <v>0.60630000215904523</v>
      </c>
      <c r="J110" s="48">
        <f>498071652.66*825.494</f>
        <v>411155160840.91406</v>
      </c>
      <c r="K110" s="44">
        <f t="shared" si="51"/>
        <v>0.58390466899965399</v>
      </c>
      <c r="L110" s="44">
        <f t="shared" si="45"/>
        <v>-0.10407950936976734</v>
      </c>
      <c r="M110" s="66">
        <f t="shared" si="52"/>
        <v>1.5877870297907671E-3</v>
      </c>
      <c r="N110" s="46">
        <f t="shared" si="53"/>
        <v>6.4006608747441095E-3</v>
      </c>
      <c r="O110" s="47">
        <f t="shared" si="54"/>
        <v>1213.80296144716</v>
      </c>
      <c r="P110" s="47">
        <f t="shared" si="55"/>
        <v>7.7691411249833697</v>
      </c>
      <c r="Q110" s="48">
        <f>1.4647*825.494</f>
        <v>1209.1010618</v>
      </c>
      <c r="R110" s="48">
        <f>1.4647*825.494</f>
        <v>1209.1010618</v>
      </c>
      <c r="S110" s="48">
        <v>6025</v>
      </c>
      <c r="T110" s="48">
        <v>334460543.38999999</v>
      </c>
      <c r="U110" s="48">
        <v>338733034.85000002</v>
      </c>
    </row>
    <row r="111" spans="1:21" ht="14.25">
      <c r="A111" s="112">
        <v>95</v>
      </c>
      <c r="B111" s="65" t="s">
        <v>155</v>
      </c>
      <c r="C111" s="65" t="s">
        <v>49</v>
      </c>
      <c r="D111" s="48">
        <v>21065506459.48</v>
      </c>
      <c r="E111" s="48">
        <v>106840</v>
      </c>
      <c r="F111" s="93">
        <v>25073</v>
      </c>
      <c r="G111" s="43">
        <v>81768</v>
      </c>
      <c r="H111" s="30">
        <f>23767551*942.617</f>
        <v>22403697620.966999</v>
      </c>
      <c r="I111" s="44">
        <f t="shared" si="50"/>
        <v>2.9598588151654521E-2</v>
      </c>
      <c r="J111" s="48">
        <v>21065506459.48</v>
      </c>
      <c r="K111" s="44">
        <f t="shared" si="51"/>
        <v>2.9916315658973347E-2</v>
      </c>
      <c r="L111" s="44">
        <f t="shared" si="45"/>
        <v>-5.9730816944905715E-2</v>
      </c>
      <c r="M111" s="66">
        <f t="shared" si="52"/>
        <v>1.1902396008483589E-6</v>
      </c>
      <c r="N111" s="46">
        <f t="shared" si="53"/>
        <v>3.8816061772491769E-6</v>
      </c>
      <c r="O111" s="47">
        <f t="shared" si="54"/>
        <v>1747.4534959162916</v>
      </c>
      <c r="P111" s="47">
        <f t="shared" si="55"/>
        <v>6.7829262842043457E-3</v>
      </c>
      <c r="Q111" s="48">
        <v>984.12</v>
      </c>
      <c r="R111" s="48">
        <v>984.12</v>
      </c>
      <c r="S111" s="48">
        <v>142</v>
      </c>
      <c r="T111" s="48">
        <v>10476850</v>
      </c>
      <c r="U111" s="48">
        <v>12054974</v>
      </c>
    </row>
    <row r="112" spans="1:21" ht="14.25">
      <c r="A112" s="113">
        <v>96</v>
      </c>
      <c r="B112" s="42" t="s">
        <v>156</v>
      </c>
      <c r="C112" s="42" t="s">
        <v>35</v>
      </c>
      <c r="D112" s="48">
        <f>29061666.24*825.494</f>
        <v>23990231111.122559</v>
      </c>
      <c r="E112" s="48">
        <f>146305.05*825.494</f>
        <v>120773940.94469999</v>
      </c>
      <c r="F112" s="48">
        <f>53033.8*825.494</f>
        <v>43779083.6972</v>
      </c>
      <c r="G112" s="43">
        <f>93271.25*825.494</f>
        <v>76994857.247500002</v>
      </c>
      <c r="H112" s="32">
        <f>27089262.81*942.617</f>
        <v>25534799642.173767</v>
      </c>
      <c r="I112" s="44">
        <f t="shared" si="50"/>
        <v>3.3735235626300812E-2</v>
      </c>
      <c r="J112" s="48">
        <f>28187021.23*825.494</f>
        <v>23268216903.237621</v>
      </c>
      <c r="K112" s="44">
        <f t="shared" si="51"/>
        <v>3.3044509185557895E-2</v>
      </c>
      <c r="L112" s="44">
        <f t="shared" si="45"/>
        <v>-8.8764461468208045E-2</v>
      </c>
      <c r="M112" s="66">
        <f t="shared" si="52"/>
        <v>1.881497146053698E-3</v>
      </c>
      <c r="N112" s="46">
        <f t="shared" si="53"/>
        <v>3.3090140756246202E-3</v>
      </c>
      <c r="O112" s="47">
        <f t="shared" si="54"/>
        <v>927.09399928442156</v>
      </c>
      <c r="P112" s="47">
        <f t="shared" si="55"/>
        <v>3.0677670930592726</v>
      </c>
      <c r="Q112" s="48">
        <f>1.12*825.494</f>
        <v>924.55328000000009</v>
      </c>
      <c r="R112" s="48">
        <f>1.12*825.494</f>
        <v>924.55328000000009</v>
      </c>
      <c r="S112" s="48">
        <v>1161</v>
      </c>
      <c r="T112" s="48">
        <v>25011592.84</v>
      </c>
      <c r="U112" s="48">
        <v>25098012.629999999</v>
      </c>
    </row>
    <row r="113" spans="1:21" ht="15.75" customHeight="1">
      <c r="A113" s="123" t="s">
        <v>50</v>
      </c>
      <c r="B113" s="123"/>
      <c r="C113" s="123"/>
      <c r="D113" s="123"/>
      <c r="E113" s="123"/>
      <c r="F113" s="123"/>
      <c r="G113" s="123"/>
      <c r="H113" s="60">
        <f>SUM(H90:H112)</f>
        <v>756917779529.78687</v>
      </c>
      <c r="I113" s="52">
        <f>(H113/$H$174)</f>
        <v>0.3565293752636709</v>
      </c>
      <c r="J113" s="64">
        <f>SUM(J90:J112)</f>
        <v>704147753340.12219</v>
      </c>
      <c r="K113" s="52">
        <f>(J113/$J$174)</f>
        <v>0.33794889649649568</v>
      </c>
      <c r="L113" s="44">
        <f t="shared" si="45"/>
        <v>-6.9716985935310588E-2</v>
      </c>
      <c r="M113" s="66"/>
      <c r="N113" s="62"/>
      <c r="O113" s="73"/>
      <c r="P113" s="73"/>
      <c r="Q113" s="64"/>
      <c r="R113" s="64"/>
      <c r="S113" s="74">
        <f>SUM(S90:S112)</f>
        <v>13109</v>
      </c>
      <c r="T113" s="74"/>
      <c r="U113" s="64"/>
    </row>
    <row r="114" spans="1:21" ht="7.5" customHeight="1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</row>
    <row r="115" spans="1:21">
      <c r="A115" s="121" t="s">
        <v>157</v>
      </c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</row>
    <row r="116" spans="1:21" ht="14.25">
      <c r="A116" s="112">
        <v>97</v>
      </c>
      <c r="B116" s="32" t="s">
        <v>231</v>
      </c>
      <c r="C116" s="36" t="s">
        <v>232</v>
      </c>
      <c r="D116" s="38" t="s">
        <v>238</v>
      </c>
      <c r="E116" s="38" t="s">
        <v>239</v>
      </c>
      <c r="F116" s="38" t="s">
        <v>240</v>
      </c>
      <c r="G116" s="38" t="s">
        <v>241</v>
      </c>
      <c r="H116" s="38" t="s">
        <v>244</v>
      </c>
      <c r="I116" s="44">
        <f>(H116/$H$121)</f>
        <v>2.2872448436818571E-2</v>
      </c>
      <c r="J116" s="38" t="s">
        <v>242</v>
      </c>
      <c r="K116" s="44">
        <f>(J116/$J$121)</f>
        <v>2.2974214196266159E-2</v>
      </c>
      <c r="L116" s="44">
        <f>((J116-H116)/H116)</f>
        <v>1.1137277233389848E-2</v>
      </c>
      <c r="M116" s="66">
        <f>(F116/J116)</f>
        <v>1.4505417469360385E-3</v>
      </c>
      <c r="N116" s="46">
        <f>G116/J116</f>
        <v>1.131226973806467E-2</v>
      </c>
      <c r="O116" s="47">
        <f>J116/U116</f>
        <v>102.44385416399624</v>
      </c>
      <c r="P116" s="47">
        <f>G116/U116</f>
        <v>1.1588725113100848</v>
      </c>
      <c r="Q116" s="38" t="s">
        <v>243</v>
      </c>
      <c r="R116" s="38" t="s">
        <v>243</v>
      </c>
      <c r="S116" s="48">
        <v>8</v>
      </c>
      <c r="T116" s="38">
        <v>21220000</v>
      </c>
      <c r="U116" s="38">
        <v>21220000</v>
      </c>
    </row>
    <row r="117" spans="1:21" ht="14.25">
      <c r="A117" s="112">
        <v>98</v>
      </c>
      <c r="B117" s="65" t="s">
        <v>158</v>
      </c>
      <c r="C117" s="65" t="s">
        <v>43</v>
      </c>
      <c r="D117" s="48">
        <v>54330953714</v>
      </c>
      <c r="E117" s="48">
        <v>119252996</v>
      </c>
      <c r="F117" s="48">
        <v>98946221</v>
      </c>
      <c r="G117" s="51">
        <v>229491344</v>
      </c>
      <c r="H117" s="32">
        <v>54012067160</v>
      </c>
      <c r="I117" s="44">
        <f t="shared" ref="I117:I120" si="56">(H117/$H$121)</f>
        <v>0.57462205251280607</v>
      </c>
      <c r="J117" s="48">
        <v>54330953714</v>
      </c>
      <c r="K117" s="44">
        <f t="shared" ref="K117:K120" si="57">(J117/$J$121)</f>
        <v>0.57419142924890365</v>
      </c>
      <c r="L117" s="44">
        <f t="shared" ref="L117:L121" si="58">((J117-H117)/H117)</f>
        <v>5.90398721558577E-3</v>
      </c>
      <c r="M117" s="66">
        <f t="shared" ref="M117:M120" si="59">(F117/J117)</f>
        <v>1.8211758534712329E-3</v>
      </c>
      <c r="N117" s="46">
        <f t="shared" ref="N117:N120" si="60">G117/J117</f>
        <v>4.2239520625397134E-3</v>
      </c>
      <c r="O117" s="47">
        <f t="shared" ref="O117:O120" si="61">J117/U117</f>
        <v>102.38605198549698</v>
      </c>
      <c r="P117" s="47">
        <f t="shared" ref="P117:P120" si="62">G117/U117</f>
        <v>0.43247377545943827</v>
      </c>
      <c r="Q117" s="48">
        <v>102.5</v>
      </c>
      <c r="R117" s="48">
        <v>102.5</v>
      </c>
      <c r="S117" s="48">
        <v>675</v>
      </c>
      <c r="T117" s="48">
        <v>530648000</v>
      </c>
      <c r="U117" s="48">
        <v>530648000</v>
      </c>
    </row>
    <row r="118" spans="1:21" ht="14.25">
      <c r="A118" s="113">
        <v>99</v>
      </c>
      <c r="B118" s="67" t="s">
        <v>159</v>
      </c>
      <c r="C118" s="67" t="s">
        <v>123</v>
      </c>
      <c r="D118" s="48">
        <v>2912070938.1100001</v>
      </c>
      <c r="E118" s="48">
        <v>28463157.600000001</v>
      </c>
      <c r="F118" s="48">
        <v>6763617.1100000003</v>
      </c>
      <c r="G118" s="51">
        <v>21744540.489999998</v>
      </c>
      <c r="H118" s="32">
        <v>2575573617.4400001</v>
      </c>
      <c r="I118" s="44">
        <f t="shared" si="56"/>
        <v>2.7400939757907344E-2</v>
      </c>
      <c r="J118" s="48">
        <v>2597273157.9299998</v>
      </c>
      <c r="K118" s="44">
        <f t="shared" si="57"/>
        <v>2.7449030152352245E-2</v>
      </c>
      <c r="L118" s="44">
        <f t="shared" si="58"/>
        <v>8.4251291995948076E-3</v>
      </c>
      <c r="M118" s="66">
        <f t="shared" si="59"/>
        <v>2.6041223616966548E-3</v>
      </c>
      <c r="N118" s="46">
        <f t="shared" si="60"/>
        <v>8.3720653038012287E-3</v>
      </c>
      <c r="O118" s="47">
        <f t="shared" si="61"/>
        <v>129.8636578965</v>
      </c>
      <c r="P118" s="47">
        <f t="shared" si="62"/>
        <v>1.0872270245</v>
      </c>
      <c r="Q118" s="51">
        <v>101.35</v>
      </c>
      <c r="R118" s="51">
        <v>101.35</v>
      </c>
      <c r="S118" s="48">
        <v>2771</v>
      </c>
      <c r="T118" s="48">
        <v>20000000</v>
      </c>
      <c r="U118" s="48">
        <v>20000000</v>
      </c>
    </row>
    <row r="119" spans="1:21" ht="14.25">
      <c r="A119" s="113">
        <v>100</v>
      </c>
      <c r="B119" s="67" t="s">
        <v>160</v>
      </c>
      <c r="C119" s="67" t="s">
        <v>123</v>
      </c>
      <c r="D119" s="48">
        <v>11543565252.5</v>
      </c>
      <c r="E119" s="48">
        <v>130933505.3</v>
      </c>
      <c r="F119" s="51" t="s">
        <v>220</v>
      </c>
      <c r="G119" s="51">
        <v>111738288.47</v>
      </c>
      <c r="H119" s="32">
        <v>10748520361</v>
      </c>
      <c r="I119" s="44">
        <f t="shared" si="56"/>
        <v>0.11435105442302992</v>
      </c>
      <c r="J119" s="93">
        <v>10860258654</v>
      </c>
      <c r="K119" s="44">
        <f t="shared" si="57"/>
        <v>0.11477559314307006</v>
      </c>
      <c r="L119" s="44">
        <f t="shared" si="58"/>
        <v>1.0395690685522813E-2</v>
      </c>
      <c r="M119" s="66">
        <f t="shared" si="59"/>
        <v>1.7674732657430867E-3</v>
      </c>
      <c r="N119" s="46">
        <f t="shared" si="60"/>
        <v>1.0288731790825725E-2</v>
      </c>
      <c r="O119" s="47">
        <f t="shared" si="61"/>
        <v>57.728315679998964</v>
      </c>
      <c r="P119" s="47">
        <f t="shared" si="62"/>
        <v>0.59395115676762855</v>
      </c>
      <c r="Q119" s="51">
        <v>36.6</v>
      </c>
      <c r="R119" s="51">
        <v>36.6</v>
      </c>
      <c r="S119" s="48">
        <v>5274</v>
      </c>
      <c r="T119" s="48">
        <v>188127066</v>
      </c>
      <c r="U119" s="48">
        <v>188127066</v>
      </c>
    </row>
    <row r="120" spans="1:21" ht="16.5" customHeight="1">
      <c r="A120" s="113">
        <v>101</v>
      </c>
      <c r="B120" s="67" t="s">
        <v>161</v>
      </c>
      <c r="C120" s="42" t="s">
        <v>162</v>
      </c>
      <c r="D120" s="91">
        <v>26809786896.91</v>
      </c>
      <c r="E120" s="91">
        <v>152469463.31</v>
      </c>
      <c r="F120" s="91">
        <v>36450716.640000001</v>
      </c>
      <c r="G120" s="91">
        <v>116018746.67</v>
      </c>
      <c r="H120" s="30">
        <v>26659652151.02</v>
      </c>
      <c r="I120" s="44">
        <f t="shared" si="56"/>
        <v>0.28362595330625662</v>
      </c>
      <c r="J120" s="91">
        <v>26833187571.959999</v>
      </c>
      <c r="K120" s="44">
        <f t="shared" si="57"/>
        <v>0.283583947455674</v>
      </c>
      <c r="L120" s="44">
        <f t="shared" si="58"/>
        <v>6.509290517256773E-3</v>
      </c>
      <c r="M120" s="66">
        <f t="shared" si="59"/>
        <v>1.3584191793184525E-3</v>
      </c>
      <c r="N120" s="46">
        <f t="shared" si="60"/>
        <v>4.3237034869176945E-3</v>
      </c>
      <c r="O120" s="47">
        <f t="shared" si="61"/>
        <v>10.056400814070692</v>
      </c>
      <c r="P120" s="47">
        <f t="shared" si="62"/>
        <v>4.3480895265639398E-2</v>
      </c>
      <c r="Q120" s="51">
        <v>10.050000000000001</v>
      </c>
      <c r="R120" s="51">
        <v>10.050000000000001</v>
      </c>
      <c r="S120" s="32">
        <v>208300</v>
      </c>
      <c r="T120" s="91">
        <v>2668269500</v>
      </c>
      <c r="U120" s="91">
        <v>2668269500</v>
      </c>
    </row>
    <row r="121" spans="1:21" ht="15" customHeight="1">
      <c r="A121" s="123" t="s">
        <v>50</v>
      </c>
      <c r="B121" s="123"/>
      <c r="C121" s="123"/>
      <c r="D121" s="123"/>
      <c r="E121" s="123"/>
      <c r="F121" s="123"/>
      <c r="G121" s="123"/>
      <c r="H121" s="60">
        <f t="shared" ref="H121" si="63">SUM(H117:H120)</f>
        <v>93995813289.460007</v>
      </c>
      <c r="I121" s="52">
        <f>(H121/$H$174)</f>
        <v>4.4274648443732363E-2</v>
      </c>
      <c r="J121" s="64">
        <f>SUM(J117:J120)</f>
        <v>94621673097.889999</v>
      </c>
      <c r="K121" s="52">
        <f>(J121/$J$174)</f>
        <v>4.5412755854719301E-2</v>
      </c>
      <c r="L121" s="44">
        <f t="shared" si="58"/>
        <v>6.6583796291294177E-3</v>
      </c>
      <c r="M121" s="66"/>
      <c r="N121" s="62"/>
      <c r="O121" s="63"/>
      <c r="P121" s="63"/>
      <c r="Q121" s="64"/>
      <c r="R121" s="64"/>
      <c r="S121" s="64">
        <f>SUM(S117:S120)</f>
        <v>217020</v>
      </c>
      <c r="T121" s="64"/>
      <c r="U121" s="64"/>
    </row>
    <row r="122" spans="1:21" ht="8.25" customHeight="1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</row>
    <row r="123" spans="1:21">
      <c r="A123" s="121" t="s">
        <v>163</v>
      </c>
      <c r="B123" s="121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</row>
    <row r="124" spans="1:21" ht="14.25">
      <c r="A124" s="112">
        <v>102</v>
      </c>
      <c r="B124" s="65" t="s">
        <v>164</v>
      </c>
      <c r="C124" s="65" t="s">
        <v>54</v>
      </c>
      <c r="D124" s="70">
        <v>228634783.00999999</v>
      </c>
      <c r="E124" s="70">
        <v>4376959.1100000003</v>
      </c>
      <c r="F124" s="48">
        <v>1573591.35</v>
      </c>
      <c r="G124" s="43">
        <v>2803367.76</v>
      </c>
      <c r="H124" s="32">
        <v>213976253</v>
      </c>
      <c r="I124" s="44">
        <f>(H124/$H$148)</f>
        <v>5.275617792463938E-3</v>
      </c>
      <c r="J124" s="48">
        <v>224967557.37</v>
      </c>
      <c r="K124" s="44">
        <f>(J124/$J$148)</f>
        <v>5.3112178408756712E-3</v>
      </c>
      <c r="L124" s="44">
        <f>((J124-H124)/H124)</f>
        <v>5.1366935423436941E-2</v>
      </c>
      <c r="M124" s="66">
        <f t="shared" ref="M124" si="64">(F124/J124)</f>
        <v>6.9947479023028348E-3</v>
      </c>
      <c r="N124" s="46">
        <f t="shared" ref="N124" si="65">G124/J124</f>
        <v>1.2461209041752418E-2</v>
      </c>
      <c r="O124" s="47">
        <f t="shared" ref="O124" si="66">J124/U124</f>
        <v>5.0925806320971381</v>
      </c>
      <c r="P124" s="47">
        <f t="shared" ref="P124" si="67">G124/U124</f>
        <v>6.3459711818542097E-2</v>
      </c>
      <c r="Q124" s="48">
        <v>5.0282</v>
      </c>
      <c r="R124" s="48">
        <v>5.1353999999999997</v>
      </c>
      <c r="S124" s="48">
        <v>11822</v>
      </c>
      <c r="T124" s="48">
        <v>43963062.369999997</v>
      </c>
      <c r="U124" s="48">
        <v>44175551.380000003</v>
      </c>
    </row>
    <row r="125" spans="1:21" ht="14.25">
      <c r="A125" s="112">
        <v>103</v>
      </c>
      <c r="B125" s="65" t="s">
        <v>165</v>
      </c>
      <c r="C125" s="50" t="s">
        <v>25</v>
      </c>
      <c r="D125" s="70">
        <v>5230666073.2200003</v>
      </c>
      <c r="E125" s="70">
        <v>53569834</v>
      </c>
      <c r="F125" s="48">
        <v>10492945.289999999</v>
      </c>
      <c r="G125" s="43">
        <v>119767190.19</v>
      </c>
      <c r="H125" s="32">
        <v>6086221894</v>
      </c>
      <c r="I125" s="44">
        <f t="shared" ref="I125:I147" si="68">(H125/$H$148)</f>
        <v>0.15005674724507848</v>
      </c>
      <c r="J125" s="48">
        <v>6202888652.2799997</v>
      </c>
      <c r="K125" s="44">
        <f t="shared" ref="K125:K147" si="69">(J125/$J$148)</f>
        <v>0.14644286162902556</v>
      </c>
      <c r="L125" s="44">
        <f t="shared" ref="L125:L148" si="70">((J125-H125)/H125)</f>
        <v>1.9168995201278103E-2</v>
      </c>
      <c r="M125" s="66">
        <f t="shared" ref="M125:M147" si="71">(F125/J125)</f>
        <v>1.6916223840553869E-3</v>
      </c>
      <c r="N125" s="46">
        <f t="shared" ref="N125:N147" si="72">G125/J125</f>
        <v>1.9308292781618303E-2</v>
      </c>
      <c r="O125" s="47">
        <f t="shared" ref="O125:O147" si="73">J125/U125</f>
        <v>663.5838635374073</v>
      </c>
      <c r="P125" s="47">
        <f t="shared" ref="P125:P147" si="74">G125/U125</f>
        <v>12.812671522337705</v>
      </c>
      <c r="Q125" s="48">
        <v>661.07</v>
      </c>
      <c r="R125" s="48">
        <v>681.01</v>
      </c>
      <c r="S125" s="48">
        <v>21198</v>
      </c>
      <c r="T125" s="48">
        <v>9324732</v>
      </c>
      <c r="U125" s="48">
        <v>9347558</v>
      </c>
    </row>
    <row r="126" spans="1:21" ht="14.25">
      <c r="A126" s="112">
        <v>104</v>
      </c>
      <c r="B126" s="65" t="s">
        <v>166</v>
      </c>
      <c r="C126" s="65" t="s">
        <v>107</v>
      </c>
      <c r="D126" s="58">
        <v>1327437206.3199999</v>
      </c>
      <c r="E126" s="93">
        <v>10112127.73</v>
      </c>
      <c r="F126" s="93">
        <v>2511670.3199999998</v>
      </c>
      <c r="G126" s="43">
        <v>60518148.240000002</v>
      </c>
      <c r="H126" s="32">
        <v>1245484033.28</v>
      </c>
      <c r="I126" s="44">
        <f t="shared" si="68"/>
        <v>3.0707602521676623E-2</v>
      </c>
      <c r="J126" s="48">
        <v>1327437206.3199999</v>
      </c>
      <c r="K126" s="44">
        <f t="shared" si="69"/>
        <v>3.1339221776113389E-2</v>
      </c>
      <c r="L126" s="44">
        <f t="shared" si="70"/>
        <v>6.580025985895227E-2</v>
      </c>
      <c r="M126" s="66">
        <f t="shared" si="71"/>
        <v>1.892119874327616E-3</v>
      </c>
      <c r="N126" s="46">
        <f t="shared" si="72"/>
        <v>4.5590215455668895E-2</v>
      </c>
      <c r="O126" s="47">
        <f t="shared" si="73"/>
        <v>3.1430334360388041</v>
      </c>
      <c r="P126" s="47">
        <f t="shared" si="74"/>
        <v>0.1432915715333804</v>
      </c>
      <c r="Q126" s="58">
        <v>3.1042999999999998</v>
      </c>
      <c r="R126" s="58">
        <v>3.1818</v>
      </c>
      <c r="S126" s="58">
        <v>2754</v>
      </c>
      <c r="T126" s="58">
        <v>424615432.19349998</v>
      </c>
      <c r="U126" s="58">
        <v>422342693.24000001</v>
      </c>
    </row>
    <row r="127" spans="1:21" ht="14.25">
      <c r="A127" s="112">
        <v>105</v>
      </c>
      <c r="B127" s="65" t="s">
        <v>167</v>
      </c>
      <c r="C127" s="65" t="s">
        <v>59</v>
      </c>
      <c r="D127" s="70">
        <v>2677639634.1799998</v>
      </c>
      <c r="E127" s="70">
        <v>69899676.040000007</v>
      </c>
      <c r="F127" s="48">
        <v>6854493.3499999996</v>
      </c>
      <c r="G127" s="43">
        <v>63469822.200000003</v>
      </c>
      <c r="H127" s="32">
        <v>2903606134.2399998</v>
      </c>
      <c r="I127" s="44">
        <f t="shared" si="68"/>
        <v>7.158886077000319E-2</v>
      </c>
      <c r="J127" s="48">
        <v>3109790657.5999999</v>
      </c>
      <c r="K127" s="44">
        <f t="shared" si="69"/>
        <v>7.3418477824643696E-2</v>
      </c>
      <c r="L127" s="44">
        <f t="shared" si="70"/>
        <v>7.1009811189136227E-2</v>
      </c>
      <c r="M127" s="66">
        <f t="shared" si="71"/>
        <v>2.2041655226046619E-3</v>
      </c>
      <c r="N127" s="46">
        <f t="shared" si="72"/>
        <v>2.0409676788013514E-2</v>
      </c>
      <c r="O127" s="47">
        <f t="shared" si="73"/>
        <v>5816.3436335618444</v>
      </c>
      <c r="P127" s="47">
        <f t="shared" si="74"/>
        <v>118.70969364901735</v>
      </c>
      <c r="Q127" s="48">
        <v>5785.91</v>
      </c>
      <c r="R127" s="48">
        <v>5830.14</v>
      </c>
      <c r="S127" s="48">
        <v>848</v>
      </c>
      <c r="T127" s="48">
        <v>531121.49</v>
      </c>
      <c r="U127" s="48">
        <v>534664.18999999994</v>
      </c>
    </row>
    <row r="128" spans="1:21" ht="14.25" customHeight="1">
      <c r="A128" s="112">
        <v>106</v>
      </c>
      <c r="B128" s="65" t="s">
        <v>168</v>
      </c>
      <c r="C128" s="50" t="s">
        <v>61</v>
      </c>
      <c r="D128" s="70">
        <v>322908056.45999998</v>
      </c>
      <c r="E128" s="70">
        <v>2328458.29</v>
      </c>
      <c r="F128" s="48">
        <v>697696.78</v>
      </c>
      <c r="G128" s="43">
        <v>25403030.09</v>
      </c>
      <c r="H128" s="32">
        <v>412353175.04000002</v>
      </c>
      <c r="I128" s="44">
        <f t="shared" si="68"/>
        <v>1.0166631654308016E-2</v>
      </c>
      <c r="J128" s="48">
        <v>468615930.75</v>
      </c>
      <c r="K128" s="44">
        <f t="shared" si="69"/>
        <v>1.1063467644023333E-2</v>
      </c>
      <c r="L128" s="44">
        <f t="shared" si="70"/>
        <v>0.13644312476687551</v>
      </c>
      <c r="M128" s="66">
        <f t="shared" si="71"/>
        <v>1.4888456286224964E-3</v>
      </c>
      <c r="N128" s="46">
        <f t="shared" si="72"/>
        <v>5.4208635308969383E-2</v>
      </c>
      <c r="O128" s="47">
        <f t="shared" si="73"/>
        <v>177.38482141370065</v>
      </c>
      <c r="P128" s="47">
        <f t="shared" si="74"/>
        <v>9.6157890933619594</v>
      </c>
      <c r="Q128" s="48">
        <v>172.95</v>
      </c>
      <c r="R128" s="48">
        <v>174.2</v>
      </c>
      <c r="S128" s="48">
        <v>640</v>
      </c>
      <c r="T128" s="48">
        <v>2553410</v>
      </c>
      <c r="U128" s="48">
        <v>2641804</v>
      </c>
    </row>
    <row r="129" spans="1:21" ht="15" customHeight="1">
      <c r="A129" s="112">
        <v>107</v>
      </c>
      <c r="B129" s="65" t="s">
        <v>169</v>
      </c>
      <c r="C129" s="50" t="s">
        <v>63</v>
      </c>
      <c r="D129" s="29">
        <v>248331135.28999999</v>
      </c>
      <c r="E129" s="29">
        <v>1956454.75</v>
      </c>
      <c r="F129" s="32">
        <v>691169.45</v>
      </c>
      <c r="G129" s="33">
        <v>3676035.92</v>
      </c>
      <c r="H129" s="32">
        <v>331444396.5</v>
      </c>
      <c r="I129" s="44">
        <f t="shared" si="68"/>
        <v>8.1718131375441566E-3</v>
      </c>
      <c r="J129" s="32">
        <v>331444396.5</v>
      </c>
      <c r="K129" s="44">
        <f t="shared" si="69"/>
        <v>7.8250100260181792E-3</v>
      </c>
      <c r="L129" s="44">
        <f t="shared" si="70"/>
        <v>0</v>
      </c>
      <c r="M129" s="66">
        <f t="shared" si="71"/>
        <v>2.0853254944076267E-3</v>
      </c>
      <c r="N129" s="46">
        <f t="shared" si="72"/>
        <v>1.1090958117917675E-2</v>
      </c>
      <c r="O129" s="47">
        <f t="shared" si="73"/>
        <v>137.41595449214111</v>
      </c>
      <c r="P129" s="47">
        <f t="shared" si="74"/>
        <v>1.5240745960060182</v>
      </c>
      <c r="Q129" s="32">
        <v>141.68</v>
      </c>
      <c r="R129" s="32">
        <v>142.58000000000001</v>
      </c>
      <c r="S129" s="32">
        <f>549+27+3</f>
        <v>579</v>
      </c>
      <c r="T129" s="32">
        <v>2411979</v>
      </c>
      <c r="U129" s="32">
        <v>2411979</v>
      </c>
    </row>
    <row r="130" spans="1:21" ht="14.25">
      <c r="A130" s="112">
        <v>108</v>
      </c>
      <c r="B130" s="67" t="s">
        <v>170</v>
      </c>
      <c r="C130" s="42" t="s">
        <v>65</v>
      </c>
      <c r="D130" s="51">
        <v>172472113.97</v>
      </c>
      <c r="E130" s="51">
        <v>1002740.95</v>
      </c>
      <c r="F130" s="48">
        <v>1269213.99</v>
      </c>
      <c r="G130" s="51">
        <v>7619012.5800000001</v>
      </c>
      <c r="H130" s="30">
        <v>163548919.58000001</v>
      </c>
      <c r="I130" s="44">
        <f t="shared" si="68"/>
        <v>4.0323240452037534E-3</v>
      </c>
      <c r="J130" s="51">
        <v>172558226.05000001</v>
      </c>
      <c r="K130" s="44">
        <f t="shared" si="69"/>
        <v>4.0738955407657986E-3</v>
      </c>
      <c r="L130" s="44">
        <f t="shared" si="70"/>
        <v>5.5086309913487952E-2</v>
      </c>
      <c r="M130" s="66">
        <f t="shared" si="71"/>
        <v>7.3552795427569819E-3</v>
      </c>
      <c r="N130" s="46">
        <f t="shared" si="72"/>
        <v>4.4153285267271671E-2</v>
      </c>
      <c r="O130" s="47">
        <f t="shared" si="73"/>
        <v>1.524257559460412</v>
      </c>
      <c r="P130" s="47">
        <f t="shared" si="74"/>
        <v>6.7300978843650883E-2</v>
      </c>
      <c r="Q130" s="48">
        <v>1.5306999999999999</v>
      </c>
      <c r="R130" s="48">
        <v>1.5454000000000001</v>
      </c>
      <c r="S130" s="48">
        <v>271</v>
      </c>
      <c r="T130" s="51">
        <v>112335887.8</v>
      </c>
      <c r="U130" s="51">
        <v>113208050.03</v>
      </c>
    </row>
    <row r="131" spans="1:21" ht="14.25">
      <c r="A131" s="112">
        <v>109</v>
      </c>
      <c r="B131" s="75" t="s">
        <v>233</v>
      </c>
      <c r="C131" s="76" t="s">
        <v>47</v>
      </c>
      <c r="D131" s="70">
        <v>142587412.02000001</v>
      </c>
      <c r="E131" s="70">
        <v>587388.02</v>
      </c>
      <c r="F131" s="48">
        <v>52149.919999999998</v>
      </c>
      <c r="G131" s="43">
        <v>535238.1</v>
      </c>
      <c r="H131" s="32">
        <v>129329875.98</v>
      </c>
      <c r="I131" s="44">
        <f t="shared" si="68"/>
        <v>3.1886482039539337E-3</v>
      </c>
      <c r="J131" s="48">
        <v>142587412.02000001</v>
      </c>
      <c r="K131" s="44">
        <f t="shared" si="69"/>
        <v>3.3663200839193701E-3</v>
      </c>
      <c r="L131" s="44">
        <f t="shared" si="70"/>
        <v>0.10250946225333267</v>
      </c>
      <c r="M131" s="66">
        <f t="shared" si="71"/>
        <v>3.6573999949368038E-4</v>
      </c>
      <c r="N131" s="46">
        <f t="shared" si="72"/>
        <v>3.7537542228827663E-3</v>
      </c>
      <c r="O131" s="47">
        <f t="shared" si="73"/>
        <v>265.27503183441883</v>
      </c>
      <c r="P131" s="47">
        <f t="shared" si="74"/>
        <v>0.99577727097380997</v>
      </c>
      <c r="Q131" s="48">
        <v>132.9</v>
      </c>
      <c r="R131" s="48">
        <v>133.4</v>
      </c>
      <c r="S131" s="48">
        <v>83</v>
      </c>
      <c r="T131" s="48">
        <v>537507.85</v>
      </c>
      <c r="U131" s="48">
        <v>537507.85</v>
      </c>
    </row>
    <row r="132" spans="1:21" ht="14.25">
      <c r="A132" s="112">
        <v>110</v>
      </c>
      <c r="B132" s="75" t="s">
        <v>171</v>
      </c>
      <c r="C132" s="76" t="s">
        <v>172</v>
      </c>
      <c r="D132" s="70">
        <v>107783226.08</v>
      </c>
      <c r="E132" s="70">
        <v>1910286.99</v>
      </c>
      <c r="F132" s="48">
        <v>566332.59</v>
      </c>
      <c r="G132" s="43">
        <v>1343954.4</v>
      </c>
      <c r="H132" s="30">
        <v>180253084.46000001</v>
      </c>
      <c r="I132" s="44">
        <f t="shared" si="68"/>
        <v>4.4441678279303308E-3</v>
      </c>
      <c r="J132" s="48">
        <v>183870271.62</v>
      </c>
      <c r="K132" s="44">
        <f t="shared" si="69"/>
        <v>4.3409595519083872E-3</v>
      </c>
      <c r="L132" s="44">
        <f t="shared" si="70"/>
        <v>2.0067269144582584E-2</v>
      </c>
      <c r="M132" s="66">
        <f t="shared" si="71"/>
        <v>3.0800660977453988E-3</v>
      </c>
      <c r="N132" s="46">
        <f t="shared" si="72"/>
        <v>7.3092533565051569E-3</v>
      </c>
      <c r="O132" s="47">
        <f t="shared" si="73"/>
        <v>118.32596810667147</v>
      </c>
      <c r="P132" s="47">
        <f t="shared" si="74"/>
        <v>0.86487447954541063</v>
      </c>
      <c r="Q132" s="48">
        <v>116.11</v>
      </c>
      <c r="R132" s="48">
        <v>118.45</v>
      </c>
      <c r="S132" s="48">
        <v>51</v>
      </c>
      <c r="T132" s="51">
        <v>1553931</v>
      </c>
      <c r="U132" s="48">
        <v>1553930</v>
      </c>
    </row>
    <row r="133" spans="1:21" ht="14.25">
      <c r="A133" s="112">
        <v>111</v>
      </c>
      <c r="B133" s="67" t="s">
        <v>173</v>
      </c>
      <c r="C133" s="42" t="s">
        <v>70</v>
      </c>
      <c r="D133" s="51">
        <v>478646359.57999998</v>
      </c>
      <c r="E133" s="70">
        <v>4622946.67</v>
      </c>
      <c r="F133" s="48">
        <v>1013087.76</v>
      </c>
      <c r="G133" s="43">
        <v>13641716.08</v>
      </c>
      <c r="H133" s="30">
        <v>469568522.67000002</v>
      </c>
      <c r="I133" s="44">
        <f t="shared" si="68"/>
        <v>1.1577284947497693E-2</v>
      </c>
      <c r="J133" s="48">
        <v>475113306.23000002</v>
      </c>
      <c r="K133" s="44">
        <f t="shared" si="69"/>
        <v>1.121686299120883E-2</v>
      </c>
      <c r="L133" s="44">
        <f t="shared" si="70"/>
        <v>1.1808252240742136E-2</v>
      </c>
      <c r="M133" s="66">
        <f t="shared" si="71"/>
        <v>2.1323076973760219E-3</v>
      </c>
      <c r="N133" s="46">
        <f t="shared" si="72"/>
        <v>2.8712553197565282E-2</v>
      </c>
      <c r="O133" s="47">
        <f t="shared" si="73"/>
        <v>1.3125701214006962</v>
      </c>
      <c r="P133" s="47">
        <f t="shared" si="74"/>
        <v>3.7687239436252205E-2</v>
      </c>
      <c r="Q133" s="48">
        <v>1.3</v>
      </c>
      <c r="R133" s="48">
        <v>1.32</v>
      </c>
      <c r="S133" s="48">
        <v>102</v>
      </c>
      <c r="T133" s="48">
        <v>369734157.91000003</v>
      </c>
      <c r="U133" s="48">
        <v>361971751.81999999</v>
      </c>
    </row>
    <row r="134" spans="1:21" ht="14.25">
      <c r="A134" s="112">
        <v>112</v>
      </c>
      <c r="B134" s="50" t="s">
        <v>174</v>
      </c>
      <c r="C134" s="50" t="s">
        <v>74</v>
      </c>
      <c r="D134" s="70">
        <v>7344463013.4399996</v>
      </c>
      <c r="E134" s="70">
        <v>40803252.25</v>
      </c>
      <c r="F134" s="93">
        <v>48717005.18</v>
      </c>
      <c r="G134" s="51">
        <v>266989316.22</v>
      </c>
      <c r="H134" s="32">
        <v>6820447758</v>
      </c>
      <c r="I134" s="44">
        <f t="shared" si="68"/>
        <v>0.16815920009906696</v>
      </c>
      <c r="J134" s="48">
        <v>7253610957.1599998</v>
      </c>
      <c r="K134" s="44">
        <f t="shared" si="69"/>
        <v>0.17124917199984196</v>
      </c>
      <c r="L134" s="44">
        <f t="shared" si="70"/>
        <v>6.3509495934768193E-2</v>
      </c>
      <c r="M134" s="66">
        <f t="shared" si="71"/>
        <v>6.7162418094551526E-3</v>
      </c>
      <c r="N134" s="46">
        <f t="shared" si="72"/>
        <v>3.6807779986663923E-2</v>
      </c>
      <c r="O134" s="47">
        <f t="shared" si="73"/>
        <v>270.41470776454622</v>
      </c>
      <c r="P134" s="47">
        <f t="shared" si="74"/>
        <v>9.9533650685554367</v>
      </c>
      <c r="Q134" s="48">
        <v>270.41000000000003</v>
      </c>
      <c r="R134" s="48">
        <v>272.74</v>
      </c>
      <c r="S134" s="48">
        <v>5477</v>
      </c>
      <c r="T134" s="48">
        <v>26312927.02</v>
      </c>
      <c r="U134" s="48">
        <v>26824025.280000001</v>
      </c>
    </row>
    <row r="135" spans="1:21" ht="14.25">
      <c r="A135" s="112">
        <v>113</v>
      </c>
      <c r="B135" s="77" t="s">
        <v>175</v>
      </c>
      <c r="C135" s="67" t="s">
        <v>219</v>
      </c>
      <c r="D135" s="70">
        <v>2592074476.9000001</v>
      </c>
      <c r="E135" s="70">
        <v>15576708.66</v>
      </c>
      <c r="F135" s="48">
        <v>7574696.0499999998</v>
      </c>
      <c r="G135" s="43">
        <v>8002012.6100000003</v>
      </c>
      <c r="H135" s="32">
        <v>2419106757.1799998</v>
      </c>
      <c r="I135" s="44">
        <f t="shared" si="68"/>
        <v>5.9643453285671597E-2</v>
      </c>
      <c r="J135" s="48">
        <v>2053014105.0899999</v>
      </c>
      <c r="K135" s="44">
        <f t="shared" si="69"/>
        <v>4.8469233830857619E-2</v>
      </c>
      <c r="L135" s="44">
        <f t="shared" si="70"/>
        <v>-0.15133381402181742</v>
      </c>
      <c r="M135" s="66">
        <f t="shared" si="71"/>
        <v>3.6895489569312729E-3</v>
      </c>
      <c r="N135" s="46">
        <f t="shared" si="72"/>
        <v>3.8976900305559316E-3</v>
      </c>
      <c r="O135" s="47">
        <f t="shared" si="73"/>
        <v>1.4440279276141557</v>
      </c>
      <c r="P135" s="47">
        <f t="shared" si="74"/>
        <v>5.6283732573060366E-3</v>
      </c>
      <c r="Q135" s="48">
        <v>1.7438</v>
      </c>
      <c r="R135" s="48">
        <v>1.7746</v>
      </c>
      <c r="S135" s="48">
        <v>10310</v>
      </c>
      <c r="T135" s="48">
        <v>1421090499.49</v>
      </c>
      <c r="U135" s="48">
        <v>1421727423.5699999</v>
      </c>
    </row>
    <row r="136" spans="1:21" ht="14.25">
      <c r="A136" s="112">
        <v>114</v>
      </c>
      <c r="B136" s="65" t="s">
        <v>176</v>
      </c>
      <c r="C136" s="50" t="s">
        <v>78</v>
      </c>
      <c r="D136" s="48">
        <v>160237025.09</v>
      </c>
      <c r="E136" s="70">
        <v>1396594.56</v>
      </c>
      <c r="F136" s="48">
        <v>291695.58</v>
      </c>
      <c r="G136" s="43">
        <v>1104898.98</v>
      </c>
      <c r="H136" s="30">
        <v>179728533.16999999</v>
      </c>
      <c r="I136" s="44">
        <f t="shared" si="68"/>
        <v>4.4312349343041211E-3</v>
      </c>
      <c r="J136" s="48">
        <v>192060050.78</v>
      </c>
      <c r="K136" s="44">
        <f t="shared" si="69"/>
        <v>4.5343105474738672E-3</v>
      </c>
      <c r="L136" s="44">
        <f t="shared" si="70"/>
        <v>6.8611908151144763E-2</v>
      </c>
      <c r="M136" s="66">
        <f t="shared" si="71"/>
        <v>1.5187727943180127E-3</v>
      </c>
      <c r="N136" s="46">
        <f t="shared" si="72"/>
        <v>5.7528828900791779E-3</v>
      </c>
      <c r="O136" s="47">
        <f t="shared" si="73"/>
        <v>249.89757504432865</v>
      </c>
      <c r="P136" s="47">
        <f t="shared" si="74"/>
        <v>1.4376314837447957</v>
      </c>
      <c r="Q136" s="48">
        <v>233.85</v>
      </c>
      <c r="R136" s="48">
        <v>125.65</v>
      </c>
      <c r="S136" s="48">
        <v>39</v>
      </c>
      <c r="T136" s="48">
        <v>768555.08</v>
      </c>
      <c r="U136" s="43">
        <v>768555.08</v>
      </c>
    </row>
    <row r="137" spans="1:21" ht="14.25">
      <c r="A137" s="112">
        <v>115</v>
      </c>
      <c r="B137" s="50" t="s">
        <v>177</v>
      </c>
      <c r="C137" s="50" t="s">
        <v>35</v>
      </c>
      <c r="D137" s="91">
        <v>2722678491.5599999</v>
      </c>
      <c r="E137" s="91">
        <v>15037137.6</v>
      </c>
      <c r="F137" s="91">
        <v>6572256.3600000003</v>
      </c>
      <c r="G137" s="91">
        <v>100981528.05</v>
      </c>
      <c r="H137" s="30">
        <v>2624286452.9699998</v>
      </c>
      <c r="I137" s="44">
        <f t="shared" si="68"/>
        <v>6.4702190592199074E-2</v>
      </c>
      <c r="J137" s="91">
        <v>2645326093.48</v>
      </c>
      <c r="K137" s="44">
        <f t="shared" si="69"/>
        <v>6.2453019034728198E-2</v>
      </c>
      <c r="L137" s="44">
        <f t="shared" si="70"/>
        <v>8.017280463490907E-3</v>
      </c>
      <c r="M137" s="66">
        <f t="shared" si="71"/>
        <v>2.4844787099022694E-3</v>
      </c>
      <c r="N137" s="46">
        <f t="shared" si="72"/>
        <v>3.8173565179314431E-2</v>
      </c>
      <c r="O137" s="47">
        <f t="shared" si="73"/>
        <v>3.6663818620463888</v>
      </c>
      <c r="P137" s="47">
        <f t="shared" si="74"/>
        <v>0.13995886698308402</v>
      </c>
      <c r="Q137" s="48">
        <v>3.64</v>
      </c>
      <c r="R137" s="48">
        <v>3.71</v>
      </c>
      <c r="S137" s="48">
        <v>2518</v>
      </c>
      <c r="T137" s="91">
        <v>720601928.51999998</v>
      </c>
      <c r="U137" s="91">
        <v>721508613.39999998</v>
      </c>
    </row>
    <row r="138" spans="1:21" ht="14.25">
      <c r="A138" s="112">
        <v>116</v>
      </c>
      <c r="B138" s="50" t="s">
        <v>178</v>
      </c>
      <c r="C138" s="50" t="s">
        <v>116</v>
      </c>
      <c r="D138" s="70">
        <v>185676136.91</v>
      </c>
      <c r="E138" s="70">
        <v>2961098.62</v>
      </c>
      <c r="F138" s="98">
        <v>5980956.7300000004</v>
      </c>
      <c r="G138" s="43">
        <v>3019858.11</v>
      </c>
      <c r="H138" s="32">
        <v>174212114.75999999</v>
      </c>
      <c r="I138" s="44">
        <f t="shared" si="68"/>
        <v>4.2952267805653433E-3</v>
      </c>
      <c r="J138" s="48">
        <v>179809676.81999999</v>
      </c>
      <c r="K138" s="44">
        <f t="shared" si="69"/>
        <v>4.2450937133027937E-3</v>
      </c>
      <c r="L138" s="44">
        <f t="shared" si="70"/>
        <v>3.213072792159935E-2</v>
      </c>
      <c r="M138" s="66">
        <f t="shared" si="71"/>
        <v>3.3262707746187031E-2</v>
      </c>
      <c r="N138" s="46">
        <f t="shared" si="72"/>
        <v>1.6794747443003608E-2</v>
      </c>
      <c r="O138" s="47">
        <f t="shared" si="73"/>
        <v>179.25777082487355</v>
      </c>
      <c r="P138" s="47">
        <f t="shared" si="74"/>
        <v>3.0105889881995718</v>
      </c>
      <c r="Q138" s="48">
        <v>179.2578</v>
      </c>
      <c r="R138" s="48">
        <v>185.1062</v>
      </c>
      <c r="S138" s="48">
        <v>139</v>
      </c>
      <c r="T138" s="99">
        <v>1003078.84</v>
      </c>
      <c r="U138" s="100">
        <v>1003078.84</v>
      </c>
    </row>
    <row r="139" spans="1:21" ht="14.25">
      <c r="A139" s="112">
        <v>117</v>
      </c>
      <c r="B139" s="65" t="s">
        <v>179</v>
      </c>
      <c r="C139" s="50" t="s">
        <v>31</v>
      </c>
      <c r="D139" s="70">
        <v>1590403438.6600001</v>
      </c>
      <c r="E139" s="51">
        <v>13595437.57</v>
      </c>
      <c r="F139" s="48">
        <v>3355259.7</v>
      </c>
      <c r="G139" s="51">
        <v>10240177.869999999</v>
      </c>
      <c r="H139" s="30">
        <v>1547436919.1500001</v>
      </c>
      <c r="I139" s="44">
        <f t="shared" si="68"/>
        <v>3.8152297878509538E-2</v>
      </c>
      <c r="J139" s="91">
        <v>1563291063.75</v>
      </c>
      <c r="K139" s="44">
        <f t="shared" si="69"/>
        <v>3.6907452280395915E-2</v>
      </c>
      <c r="L139" s="44">
        <f t="shared" si="70"/>
        <v>1.0245422222902962E-2</v>
      </c>
      <c r="M139" s="66">
        <f t="shared" si="71"/>
        <v>2.1462795878532379E-3</v>
      </c>
      <c r="N139" s="46">
        <f t="shared" si="72"/>
        <v>6.5503974963152471E-3</v>
      </c>
      <c r="O139" s="47">
        <f t="shared" si="73"/>
        <v>2095.7048914136335</v>
      </c>
      <c r="P139" s="47">
        <f t="shared" si="74"/>
        <v>13.727700073731482</v>
      </c>
      <c r="Q139" s="48"/>
      <c r="R139" s="48" t="s">
        <v>214</v>
      </c>
      <c r="S139" s="48">
        <v>830</v>
      </c>
      <c r="T139" s="51">
        <v>745950</v>
      </c>
      <c r="U139" s="48">
        <v>745950</v>
      </c>
    </row>
    <row r="140" spans="1:21" ht="14.25">
      <c r="A140" s="112">
        <v>118</v>
      </c>
      <c r="B140" s="67" t="s">
        <v>180</v>
      </c>
      <c r="C140" s="42" t="s">
        <v>85</v>
      </c>
      <c r="D140" s="91">
        <v>26908645.629999999</v>
      </c>
      <c r="E140" s="70">
        <v>54680.11</v>
      </c>
      <c r="F140" s="48">
        <v>10880.24</v>
      </c>
      <c r="G140" s="43">
        <v>43799.87</v>
      </c>
      <c r="H140" s="32">
        <v>26439150.879999999</v>
      </c>
      <c r="I140" s="44">
        <f t="shared" si="68"/>
        <v>6.5186137641248712E-4</v>
      </c>
      <c r="J140" s="48">
        <v>27240222.16</v>
      </c>
      <c r="K140" s="44">
        <f t="shared" si="69"/>
        <v>6.4310941371718909E-4</v>
      </c>
      <c r="L140" s="44">
        <f t="shared" si="70"/>
        <v>3.0298676520885349E-2</v>
      </c>
      <c r="M140" s="66">
        <f t="shared" si="71"/>
        <v>3.9941818154393496E-4</v>
      </c>
      <c r="N140" s="46">
        <f t="shared" si="72"/>
        <v>1.607911629454934E-3</v>
      </c>
      <c r="O140" s="47">
        <f t="shared" si="73"/>
        <v>1.6291070941802974</v>
      </c>
      <c r="P140" s="47">
        <f t="shared" si="74"/>
        <v>2.6194602423600345E-3</v>
      </c>
      <c r="Q140" s="48">
        <v>1.63</v>
      </c>
      <c r="R140" s="48">
        <v>1.63</v>
      </c>
      <c r="S140" s="48">
        <v>7</v>
      </c>
      <c r="T140" s="58">
        <v>16265952.300000001</v>
      </c>
      <c r="U140" s="91">
        <v>16720952.390000001</v>
      </c>
    </row>
    <row r="141" spans="1:21" ht="14.25">
      <c r="A141" s="112">
        <v>119</v>
      </c>
      <c r="B141" s="50" t="s">
        <v>181</v>
      </c>
      <c r="C141" s="50" t="s">
        <v>41</v>
      </c>
      <c r="D141" s="70">
        <v>194199229.41</v>
      </c>
      <c r="E141" s="70">
        <v>2999445.97</v>
      </c>
      <c r="F141" s="58">
        <v>298512.82</v>
      </c>
      <c r="G141" s="43">
        <v>2700933.15</v>
      </c>
      <c r="H141" s="32">
        <v>202060090.06999999</v>
      </c>
      <c r="I141" s="44">
        <f t="shared" si="68"/>
        <v>4.9818229423811708E-3</v>
      </c>
      <c r="J141" s="48">
        <v>227742183.81</v>
      </c>
      <c r="K141" s="44">
        <f t="shared" si="69"/>
        <v>5.3767234880995338E-3</v>
      </c>
      <c r="L141" s="44">
        <f t="shared" si="70"/>
        <v>0.12710126839547048</v>
      </c>
      <c r="M141" s="66">
        <f t="shared" si="71"/>
        <v>1.3107489135567537E-3</v>
      </c>
      <c r="N141" s="46">
        <f t="shared" si="72"/>
        <v>1.1859608548644311E-2</v>
      </c>
      <c r="O141" s="47">
        <f t="shared" si="73"/>
        <v>2.3116579336236311</v>
      </c>
      <c r="P141" s="47">
        <f t="shared" si="74"/>
        <v>2.7415358191144257E-2</v>
      </c>
      <c r="Q141" s="48">
        <v>2.3199999999999998</v>
      </c>
      <c r="R141" s="48">
        <v>2.37</v>
      </c>
      <c r="S141" s="48">
        <v>116</v>
      </c>
      <c r="T141" s="48">
        <v>98518980.900000006</v>
      </c>
      <c r="U141" s="48">
        <v>98518980.900000006</v>
      </c>
    </row>
    <row r="142" spans="1:21" ht="14.25">
      <c r="A142" s="112">
        <v>120</v>
      </c>
      <c r="B142" s="67" t="s">
        <v>182</v>
      </c>
      <c r="C142" s="67" t="s">
        <v>45</v>
      </c>
      <c r="D142" s="91">
        <v>2333427911.5500002</v>
      </c>
      <c r="E142" s="91">
        <v>12352348.130000001</v>
      </c>
      <c r="F142" s="91">
        <v>3213817.03</v>
      </c>
      <c r="G142" s="91">
        <v>76244186.400000006</v>
      </c>
      <c r="H142" s="30">
        <v>2150935491.48</v>
      </c>
      <c r="I142" s="44">
        <f t="shared" si="68"/>
        <v>5.3031649027399562E-2</v>
      </c>
      <c r="J142" s="91">
        <v>2357230552.3400002</v>
      </c>
      <c r="K142" s="44">
        <f t="shared" si="69"/>
        <v>5.5651424192042026E-2</v>
      </c>
      <c r="L142" s="44">
        <f t="shared" si="70"/>
        <v>9.5909459710506767E-2</v>
      </c>
      <c r="M142" s="66">
        <f t="shared" si="71"/>
        <v>1.3633868044047174E-3</v>
      </c>
      <c r="N142" s="46">
        <f t="shared" si="72"/>
        <v>3.2344815115480804E-2</v>
      </c>
      <c r="O142" s="47">
        <f t="shared" si="73"/>
        <v>5018.8930008322204</v>
      </c>
      <c r="P142" s="47">
        <f t="shared" si="74"/>
        <v>162.33516619629884</v>
      </c>
      <c r="Q142" s="91">
        <v>4978.1000000000004</v>
      </c>
      <c r="R142" s="91">
        <v>5021.2299999999996</v>
      </c>
      <c r="S142" s="91">
        <v>1962</v>
      </c>
      <c r="T142" s="91">
        <v>447824.84</v>
      </c>
      <c r="U142" s="91">
        <v>469671.41</v>
      </c>
    </row>
    <row r="143" spans="1:21" ht="14.25">
      <c r="A143" s="112">
        <v>121</v>
      </c>
      <c r="B143" s="67" t="s">
        <v>183</v>
      </c>
      <c r="C143" s="67" t="s">
        <v>49</v>
      </c>
      <c r="D143" s="70">
        <v>1249086741</v>
      </c>
      <c r="E143" s="70">
        <v>23309717</v>
      </c>
      <c r="F143" s="70">
        <v>3007562</v>
      </c>
      <c r="G143" s="43">
        <v>93288979</v>
      </c>
      <c r="H143" s="30">
        <v>1451306853.99</v>
      </c>
      <c r="I143" s="44">
        <f t="shared" si="68"/>
        <v>3.578219617311696E-2</v>
      </c>
      <c r="J143" s="48">
        <v>1638840284.9000001</v>
      </c>
      <c r="K143" s="44">
        <f t="shared" si="69"/>
        <v>3.869107999955277E-2</v>
      </c>
      <c r="L143" s="44">
        <f t="shared" si="70"/>
        <v>0.12921694016287769</v>
      </c>
      <c r="M143" s="66">
        <f t="shared" si="71"/>
        <v>1.8351770015120892E-3</v>
      </c>
      <c r="N143" s="46">
        <f t="shared" si="72"/>
        <v>5.6923777051094623E-2</v>
      </c>
      <c r="O143" s="47">
        <f t="shared" si="73"/>
        <v>1.8172376449514809</v>
      </c>
      <c r="P143" s="47">
        <f t="shared" si="74"/>
        <v>0.10344403055007435</v>
      </c>
      <c r="Q143" s="48">
        <v>1.82</v>
      </c>
      <c r="R143" s="48">
        <v>1.82</v>
      </c>
      <c r="S143" s="48">
        <v>1391</v>
      </c>
      <c r="T143" s="48">
        <v>895062147</v>
      </c>
      <c r="U143" s="48">
        <v>901830473</v>
      </c>
    </row>
    <row r="144" spans="1:21" ht="14.25">
      <c r="A144" s="112">
        <v>122</v>
      </c>
      <c r="B144" s="78" t="s">
        <v>184</v>
      </c>
      <c r="C144" s="67" t="s">
        <v>92</v>
      </c>
      <c r="D144" s="101">
        <v>6578215036.5600004</v>
      </c>
      <c r="E144" s="51">
        <v>22730483.93</v>
      </c>
      <c r="F144" s="51">
        <v>8898397.4600000009</v>
      </c>
      <c r="G144" s="51">
        <v>575658615.98000002</v>
      </c>
      <c r="H144" s="35">
        <v>6488721686.8000002</v>
      </c>
      <c r="I144" s="44">
        <f t="shared" si="68"/>
        <v>0.15998044222799199</v>
      </c>
      <c r="J144" s="51">
        <v>7101600166.9399996</v>
      </c>
      <c r="K144" s="44">
        <f t="shared" si="69"/>
        <v>0.16766037710665554</v>
      </c>
      <c r="L144" s="44">
        <f t="shared" si="70"/>
        <v>9.4452884516033023E-2</v>
      </c>
      <c r="M144" s="66">
        <f t="shared" si="71"/>
        <v>1.2530130183088331E-3</v>
      </c>
      <c r="N144" s="46">
        <f t="shared" si="72"/>
        <v>8.1060409266612496E-2</v>
      </c>
      <c r="O144" s="47">
        <f t="shared" si="73"/>
        <v>350.41297445258004</v>
      </c>
      <c r="P144" s="47">
        <f t="shared" si="74"/>
        <v>28.40461912145717</v>
      </c>
      <c r="Q144" s="48">
        <v>347.78</v>
      </c>
      <c r="R144" s="48">
        <v>351.76</v>
      </c>
      <c r="S144" s="48">
        <v>29</v>
      </c>
      <c r="T144" s="51">
        <v>20266373.350000001</v>
      </c>
      <c r="U144" s="51">
        <v>20266373.350000001</v>
      </c>
    </row>
    <row r="145" spans="1:21" ht="14.25">
      <c r="A145" s="112">
        <v>123</v>
      </c>
      <c r="B145" s="65" t="s">
        <v>185</v>
      </c>
      <c r="C145" s="65" t="s">
        <v>49</v>
      </c>
      <c r="D145" s="51">
        <v>884758954.25</v>
      </c>
      <c r="E145" s="51" t="s">
        <v>212</v>
      </c>
      <c r="F145" s="51" t="s">
        <v>213</v>
      </c>
      <c r="G145" s="101">
        <v>37278807</v>
      </c>
      <c r="H145" s="30">
        <v>841049557</v>
      </c>
      <c r="I145" s="44">
        <f t="shared" si="68"/>
        <v>2.0736207616707414E-2</v>
      </c>
      <c r="J145" s="51">
        <v>884758954.25</v>
      </c>
      <c r="K145" s="44">
        <f t="shared" si="69"/>
        <v>2.0888112035454518E-2</v>
      </c>
      <c r="L145" s="44">
        <f t="shared" si="70"/>
        <v>5.1970061557264455E-2</v>
      </c>
      <c r="M145" s="66">
        <f t="shared" si="71"/>
        <v>1.5101062199846054E-3</v>
      </c>
      <c r="N145" s="46">
        <f t="shared" si="72"/>
        <v>4.2134421834250681E-2</v>
      </c>
      <c r="O145" s="47">
        <f t="shared" si="73"/>
        <v>1.465260379798238</v>
      </c>
      <c r="P145" s="47">
        <f t="shared" si="74"/>
        <v>6.1737898939433329E-2</v>
      </c>
      <c r="Q145" s="48">
        <v>1.42</v>
      </c>
      <c r="R145" s="48">
        <v>1.43</v>
      </c>
      <c r="S145" s="48">
        <v>459</v>
      </c>
      <c r="T145" s="48">
        <v>554637471</v>
      </c>
      <c r="U145" s="48">
        <v>603823707</v>
      </c>
    </row>
    <row r="146" spans="1:21" ht="14.25">
      <c r="A146" s="112">
        <v>124</v>
      </c>
      <c r="B146" s="65" t="s">
        <v>186</v>
      </c>
      <c r="C146" s="65" t="s">
        <v>43</v>
      </c>
      <c r="D146" s="70">
        <v>241304740.59</v>
      </c>
      <c r="E146" s="70">
        <v>22393338.300000001</v>
      </c>
      <c r="F146" s="48">
        <v>440486.31</v>
      </c>
      <c r="G146" s="43">
        <v>21952851.989999998</v>
      </c>
      <c r="H146" s="32">
        <v>276920236.76999998</v>
      </c>
      <c r="I146" s="44">
        <f t="shared" si="68"/>
        <v>6.8275115005268288E-3</v>
      </c>
      <c r="J146" s="48">
        <v>294240806.19</v>
      </c>
      <c r="K146" s="44">
        <f t="shared" si="69"/>
        <v>6.946677279247416E-3</v>
      </c>
      <c r="L146" s="44">
        <f t="shared" si="70"/>
        <v>6.2547142173599468E-2</v>
      </c>
      <c r="M146" s="66">
        <f t="shared" si="71"/>
        <v>1.4970265875208517E-3</v>
      </c>
      <c r="N146" s="46">
        <f t="shared" si="72"/>
        <v>7.4608455143452782E-2</v>
      </c>
      <c r="O146" s="47">
        <f t="shared" si="73"/>
        <v>227.42248742664091</v>
      </c>
      <c r="P146" s="47">
        <f t="shared" si="74"/>
        <v>16.967640451782994</v>
      </c>
      <c r="Q146" s="48">
        <v>212.41</v>
      </c>
      <c r="R146" s="48">
        <v>215.78</v>
      </c>
      <c r="S146" s="48">
        <v>734</v>
      </c>
      <c r="T146" s="48">
        <v>1293750</v>
      </c>
      <c r="U146" s="48">
        <v>1293807</v>
      </c>
    </row>
    <row r="147" spans="1:21" ht="14.25">
      <c r="A147" s="112">
        <v>125</v>
      </c>
      <c r="B147" s="67" t="s">
        <v>187</v>
      </c>
      <c r="C147" s="67" t="s">
        <v>96</v>
      </c>
      <c r="D147" s="48">
        <v>3286284225.29</v>
      </c>
      <c r="E147" s="51">
        <v>14891940.18</v>
      </c>
      <c r="F147" s="101">
        <v>27639866.09</v>
      </c>
      <c r="G147" s="101">
        <v>50496205.439999998</v>
      </c>
      <c r="H147" s="30">
        <v>3221030481.75</v>
      </c>
      <c r="I147" s="44">
        <f t="shared" si="68"/>
        <v>7.9415007419486816E-2</v>
      </c>
      <c r="J147" s="91">
        <v>3299018368.1300001</v>
      </c>
      <c r="K147" s="44">
        <f t="shared" si="69"/>
        <v>7.7885920170128381E-2</v>
      </c>
      <c r="L147" s="44">
        <f t="shared" si="70"/>
        <v>2.421209200653977E-2</v>
      </c>
      <c r="M147" s="66">
        <f t="shared" si="71"/>
        <v>8.378209214296448E-3</v>
      </c>
      <c r="N147" s="46">
        <f t="shared" si="72"/>
        <v>1.5306433552421542E-2</v>
      </c>
      <c r="O147" s="47">
        <f t="shared" si="73"/>
        <v>18.552417339838748</v>
      </c>
      <c r="P147" s="47">
        <f t="shared" si="74"/>
        <v>0.283971343249035</v>
      </c>
      <c r="Q147" s="51">
        <v>18.552399999999999</v>
      </c>
      <c r="R147" s="51">
        <v>18.7668</v>
      </c>
      <c r="S147" s="51">
        <v>6269</v>
      </c>
      <c r="T147" s="51">
        <v>177860826.55000001</v>
      </c>
      <c r="U147" s="101">
        <v>177821483.19</v>
      </c>
    </row>
    <row r="148" spans="1:21" ht="15.75" customHeight="1">
      <c r="A148" s="123" t="s">
        <v>50</v>
      </c>
      <c r="B148" s="123"/>
      <c r="C148" s="123"/>
      <c r="D148" s="123"/>
      <c r="E148" s="123"/>
      <c r="F148" s="123"/>
      <c r="G148" s="123"/>
      <c r="H148" s="60">
        <f>SUM(H124:H147)</f>
        <v>40559468372.720001</v>
      </c>
      <c r="I148" s="52">
        <f>(H148/$H$174)</f>
        <v>1.9104640307082935E-2</v>
      </c>
      <c r="J148" s="64">
        <f>SUM(J124:J147)</f>
        <v>42357057102.540001</v>
      </c>
      <c r="K148" s="52">
        <f>(J148/$J$174)</f>
        <v>2.0328859445679651E-2</v>
      </c>
      <c r="L148" s="44">
        <f t="shared" si="70"/>
        <v>4.431982967087026E-2</v>
      </c>
      <c r="M148" s="61"/>
      <c r="N148" s="62"/>
      <c r="O148" s="73"/>
      <c r="P148" s="73"/>
      <c r="Q148" s="64"/>
      <c r="R148" s="64"/>
      <c r="S148" s="64">
        <f>SUM(S124:S147)</f>
        <v>68628</v>
      </c>
      <c r="T148" s="64"/>
      <c r="U148" s="79"/>
    </row>
    <row r="149" spans="1:21" ht="6" customHeight="1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</row>
    <row r="150" spans="1:21">
      <c r="A150" s="121" t="s">
        <v>188</v>
      </c>
      <c r="B150" s="121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</row>
    <row r="151" spans="1:21" ht="14.25">
      <c r="A151" s="112">
        <v>126</v>
      </c>
      <c r="B151" s="50" t="s">
        <v>189</v>
      </c>
      <c r="C151" s="50" t="s">
        <v>25</v>
      </c>
      <c r="D151" s="48">
        <v>595754022.63</v>
      </c>
      <c r="E151" s="48">
        <v>11692959.68</v>
      </c>
      <c r="F151" s="48">
        <v>1773357.45</v>
      </c>
      <c r="G151" s="43">
        <v>11560284.68</v>
      </c>
      <c r="H151" s="32">
        <v>744779336</v>
      </c>
      <c r="I151" s="44">
        <f>(H151/$H$154)</f>
        <v>0.21452143552777006</v>
      </c>
      <c r="J151" s="48">
        <v>762577595.23000002</v>
      </c>
      <c r="K151" s="44">
        <f>(J151/$J$154)</f>
        <v>0.17301883642171839</v>
      </c>
      <c r="L151" s="44">
        <f>((J151-H151)/H151)</f>
        <v>2.3897359083013037E-2</v>
      </c>
      <c r="M151" s="66">
        <f>(F151/J151)</f>
        <v>2.3254780380285627E-3</v>
      </c>
      <c r="N151" s="46">
        <f>G151/J151</f>
        <v>1.5159486394972459E-2</v>
      </c>
      <c r="O151" s="47">
        <f>J151/U151</f>
        <v>54.722474076027005</v>
      </c>
      <c r="P151" s="47">
        <f>G151/U151</f>
        <v>0.8295646012547645</v>
      </c>
      <c r="Q151" s="48">
        <v>54.47</v>
      </c>
      <c r="R151" s="48">
        <v>56.11</v>
      </c>
      <c r="S151" s="48">
        <v>1417</v>
      </c>
      <c r="T151" s="48">
        <v>13807386</v>
      </c>
      <c r="U151" s="48">
        <v>13935364</v>
      </c>
    </row>
    <row r="152" spans="1:21" ht="14.25">
      <c r="A152" s="113">
        <v>127</v>
      </c>
      <c r="B152" s="42" t="s">
        <v>190</v>
      </c>
      <c r="C152" s="67" t="s">
        <v>45</v>
      </c>
      <c r="D152" s="91">
        <v>2820308368</v>
      </c>
      <c r="E152" s="30">
        <v>10526385.880000001</v>
      </c>
      <c r="F152" s="91">
        <v>8744055</v>
      </c>
      <c r="G152" s="91">
        <v>97892948.069999993</v>
      </c>
      <c r="H152" s="30">
        <v>2727038453.0599999</v>
      </c>
      <c r="I152" s="44">
        <f t="shared" ref="I152:I153" si="75">(H152/$H$154)</f>
        <v>0.78547856447222997</v>
      </c>
      <c r="J152" s="91">
        <v>2852125466.4499998</v>
      </c>
      <c r="K152" s="44">
        <f t="shared" ref="K152:K153" si="76">(J152/$J$154)</f>
        <v>0.64710979265669943</v>
      </c>
      <c r="L152" s="44">
        <f t="shared" ref="L152:L154" si="77">((J152-H152)/H152)</f>
        <v>4.5869178430410537E-2</v>
      </c>
      <c r="M152" s="66">
        <f t="shared" ref="M152:M153" si="78">(F152/J152)</f>
        <v>3.0658030661195284E-3</v>
      </c>
      <c r="N152" s="46">
        <f t="shared" ref="N152:N153" si="79">G152/J152</f>
        <v>3.4322805648464676E-2</v>
      </c>
      <c r="O152" s="47">
        <f t="shared" ref="O152:O153" si="80">J152/U152</f>
        <v>2.0853233943049392</v>
      </c>
      <c r="P152" s="47">
        <f t="shared" ref="P152:P153" si="81">G152/U152</f>
        <v>7.1574149576925095E-2</v>
      </c>
      <c r="Q152" s="48">
        <v>2.06</v>
      </c>
      <c r="R152" s="48">
        <v>2.08</v>
      </c>
      <c r="S152" s="48">
        <v>9900</v>
      </c>
      <c r="T152" s="91">
        <v>1364858272.4100001</v>
      </c>
      <c r="U152" s="91">
        <v>1367713743.7</v>
      </c>
    </row>
    <row r="153" spans="1:21" ht="14.25">
      <c r="A153" s="113">
        <v>128</v>
      </c>
      <c r="B153" s="42" t="s">
        <v>191</v>
      </c>
      <c r="C153" s="67" t="s">
        <v>96</v>
      </c>
      <c r="D153" s="51">
        <v>694078616.30999994</v>
      </c>
      <c r="E153" s="51">
        <v>4210813.55</v>
      </c>
      <c r="F153" s="51">
        <v>9892453.4100000001</v>
      </c>
      <c r="G153" s="101">
        <v>-52543012.539999999</v>
      </c>
      <c r="H153" s="35" t="s">
        <v>234</v>
      </c>
      <c r="I153" s="44">
        <f t="shared" si="75"/>
        <v>0.19541080570466404</v>
      </c>
      <c r="J153" s="51">
        <v>792780025.13999999</v>
      </c>
      <c r="K153" s="44">
        <f t="shared" si="76"/>
        <v>0.17987137092158215</v>
      </c>
      <c r="L153" s="44">
        <f t="shared" si="77"/>
        <v>0.16854973071702403</v>
      </c>
      <c r="M153" s="66">
        <f t="shared" si="78"/>
        <v>1.2478181962585466E-2</v>
      </c>
      <c r="N153" s="46">
        <f t="shared" si="79"/>
        <v>-6.6276912729632959E-2</v>
      </c>
      <c r="O153" s="47">
        <f t="shared" si="80"/>
        <v>21.890300691039922</v>
      </c>
      <c r="P153" s="47">
        <f t="shared" si="81"/>
        <v>-1.4508215485254767</v>
      </c>
      <c r="Q153" s="51">
        <v>21.8903</v>
      </c>
      <c r="R153" s="51">
        <v>22.071100000000001</v>
      </c>
      <c r="S153" s="51">
        <v>1505</v>
      </c>
      <c r="T153" s="51">
        <v>36225998.890000001</v>
      </c>
      <c r="U153" s="51">
        <v>36216040.899999999</v>
      </c>
    </row>
    <row r="154" spans="1:21" ht="15.75" customHeight="1">
      <c r="A154" s="123" t="s">
        <v>50</v>
      </c>
      <c r="B154" s="123"/>
      <c r="C154" s="123"/>
      <c r="D154" s="123"/>
      <c r="E154" s="123"/>
      <c r="F154" s="123"/>
      <c r="G154" s="123"/>
      <c r="H154" s="60">
        <f t="shared" ref="H154" si="82">SUM(H151:H153)</f>
        <v>3471817789.0599999</v>
      </c>
      <c r="I154" s="52">
        <f>(H154/$H$174)</f>
        <v>1.6353229648427752E-3</v>
      </c>
      <c r="J154" s="64">
        <f>SUM(J151:J153)</f>
        <v>4407483086.8199997</v>
      </c>
      <c r="K154" s="52">
        <f>(J154/$J$174)</f>
        <v>2.115328833263091E-3</v>
      </c>
      <c r="L154" s="44">
        <f t="shared" si="77"/>
        <v>0.26950299658823185</v>
      </c>
      <c r="M154" s="66"/>
      <c r="N154" s="80"/>
      <c r="O154" s="73"/>
      <c r="P154" s="73"/>
      <c r="Q154" s="64"/>
      <c r="R154" s="64"/>
      <c r="S154" s="64">
        <f>SUM(S151:S153)</f>
        <v>12822</v>
      </c>
      <c r="T154" s="64"/>
      <c r="U154" s="79"/>
    </row>
    <row r="155" spans="1:21" ht="8.25" customHeight="1">
      <c r="A155" s="120"/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</row>
    <row r="156" spans="1:21">
      <c r="A156" s="121" t="s">
        <v>192</v>
      </c>
      <c r="B156" s="121"/>
      <c r="C156" s="121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</row>
    <row r="157" spans="1:21" ht="13.5" customHeight="1">
      <c r="A157" s="122" t="s">
        <v>193</v>
      </c>
      <c r="B157" s="122"/>
      <c r="C157" s="122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</row>
    <row r="158" spans="1:21" ht="15" customHeight="1">
      <c r="A158" s="112">
        <v>129</v>
      </c>
      <c r="B158" s="50" t="s">
        <v>194</v>
      </c>
      <c r="C158" s="65" t="s">
        <v>119</v>
      </c>
      <c r="D158" s="107">
        <v>734553564.69000006</v>
      </c>
      <c r="E158" s="70">
        <v>1614031.59</v>
      </c>
      <c r="F158" s="93">
        <v>1241529.8999999999</v>
      </c>
      <c r="G158" s="43">
        <v>16339005.050000001</v>
      </c>
      <c r="H158" s="29">
        <v>3718546005.1700001</v>
      </c>
      <c r="I158" s="44">
        <f>(H158/$H$173)</f>
        <v>8.0145191469111352E-2</v>
      </c>
      <c r="J158" s="70">
        <v>3739837952.98</v>
      </c>
      <c r="K158" s="44">
        <f>(J158/$J$173)</f>
        <v>8.0266946346205778E-2</v>
      </c>
      <c r="L158" s="81">
        <f>((J158-H158)/H158)</f>
        <v>5.7258798950980154E-3</v>
      </c>
      <c r="M158" s="66">
        <f>(F158/J158)</f>
        <v>3.3197425011709844E-4</v>
      </c>
      <c r="N158" s="46">
        <f>G158/J158</f>
        <v>4.3689072241701425E-3</v>
      </c>
      <c r="O158" s="47">
        <f>J158/U158</f>
        <v>111.97119619700599</v>
      </c>
      <c r="P158" s="47">
        <f>G158/U158</f>
        <v>0.48919176796407188</v>
      </c>
      <c r="Q158" s="70">
        <v>1.82</v>
      </c>
      <c r="R158" s="70">
        <v>1.82</v>
      </c>
      <c r="S158" s="70">
        <v>14968</v>
      </c>
      <c r="T158" s="70">
        <v>33400000</v>
      </c>
      <c r="U158" s="48">
        <v>33400000</v>
      </c>
    </row>
    <row r="159" spans="1:21" ht="14.25">
      <c r="A159" s="113">
        <v>130</v>
      </c>
      <c r="B159" s="67" t="s">
        <v>195</v>
      </c>
      <c r="C159" s="67" t="s">
        <v>45</v>
      </c>
      <c r="D159" s="91">
        <v>556828440.52999997</v>
      </c>
      <c r="E159" s="91">
        <v>2357916.46</v>
      </c>
      <c r="F159" s="91">
        <v>1333329.67</v>
      </c>
      <c r="G159" s="91">
        <v>14975599.890000001</v>
      </c>
      <c r="H159" s="30">
        <v>539812646.12</v>
      </c>
      <c r="I159" s="44">
        <f>(H159/$H$173)</f>
        <v>1.1634490421951141E-2</v>
      </c>
      <c r="J159" s="91">
        <v>556820399.09000003</v>
      </c>
      <c r="K159" s="44">
        <f>(J159/$J$173)</f>
        <v>1.1950858208339311E-2</v>
      </c>
      <c r="L159" s="81">
        <f>((J159-H159)/H159)</f>
        <v>3.1506770158584274E-2</v>
      </c>
      <c r="M159" s="66">
        <f>(F159/J159)</f>
        <v>2.3945417089227205E-3</v>
      </c>
      <c r="N159" s="46">
        <f>G159/J159</f>
        <v>2.6894847808151986E-2</v>
      </c>
      <c r="O159" s="47">
        <f>J159/U159</f>
        <v>381.42533981762801</v>
      </c>
      <c r="P159" s="47">
        <f>G159/U159</f>
        <v>10.258376464567759</v>
      </c>
      <c r="Q159" s="48">
        <v>377.2</v>
      </c>
      <c r="R159" s="48">
        <v>381.87</v>
      </c>
      <c r="S159" s="48">
        <v>701</v>
      </c>
      <c r="T159" s="91">
        <v>1461405.05</v>
      </c>
      <c r="U159" s="91">
        <v>1459841.13</v>
      </c>
    </row>
    <row r="160" spans="1:21" ht="7.5" customHeight="1">
      <c r="A160" s="120"/>
      <c r="B160" s="120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</row>
    <row r="161" spans="1:21" ht="13.5">
      <c r="A161" s="122" t="s">
        <v>147</v>
      </c>
      <c r="B161" s="122"/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</row>
    <row r="162" spans="1:21" ht="14.25">
      <c r="A162" s="113">
        <v>131</v>
      </c>
      <c r="B162" s="42" t="s">
        <v>196</v>
      </c>
      <c r="C162" s="67" t="s">
        <v>197</v>
      </c>
      <c r="D162" s="108">
        <v>324232376</v>
      </c>
      <c r="E162" s="48">
        <v>4752187</v>
      </c>
      <c r="F162" s="43">
        <v>4057931</v>
      </c>
      <c r="G162" s="82">
        <v>694256</v>
      </c>
      <c r="H162" s="30">
        <v>405998710.66839701</v>
      </c>
      <c r="I162" s="44">
        <f>(H162/$H$173)</f>
        <v>8.7504213629443703E-3</v>
      </c>
      <c r="J162" s="48">
        <v>406762558</v>
      </c>
      <c r="K162" s="44">
        <f>(J162/$J$173)</f>
        <v>8.7302147390143948E-3</v>
      </c>
      <c r="L162" s="44">
        <f t="shared" ref="L162:L173" si="83">((J162-H162)/H162)</f>
        <v>1.8814033432408351E-3</v>
      </c>
      <c r="M162" s="66">
        <f t="shared" ref="M162" si="84">(F162/J162)</f>
        <v>9.9761664887553399E-3</v>
      </c>
      <c r="N162" s="46">
        <f t="shared" ref="N162" si="85">G162/J162</f>
        <v>1.7067844282757216E-3</v>
      </c>
      <c r="O162" s="47">
        <f t="shared" ref="O162" si="86">J162/U162</f>
        <v>1029.5544716846459</v>
      </c>
      <c r="P162" s="47">
        <f t="shared" ref="P162" si="87">G162/U162</f>
        <v>1.7572275403329909</v>
      </c>
      <c r="Q162" s="48">
        <v>1029.55</v>
      </c>
      <c r="R162" s="48">
        <v>1029.55</v>
      </c>
      <c r="S162" s="58">
        <v>21</v>
      </c>
      <c r="T162" s="48">
        <v>394980</v>
      </c>
      <c r="U162" s="48">
        <v>395086</v>
      </c>
    </row>
    <row r="163" spans="1:21" ht="15" customHeight="1">
      <c r="A163" s="112">
        <v>132</v>
      </c>
      <c r="B163" s="50" t="s">
        <v>198</v>
      </c>
      <c r="C163" s="76" t="s">
        <v>61</v>
      </c>
      <c r="D163" s="48">
        <v>25070605.66</v>
      </c>
      <c r="E163" s="48">
        <v>607621.28</v>
      </c>
      <c r="F163" s="48">
        <v>125976.64</v>
      </c>
      <c r="G163" s="43">
        <v>481644.64</v>
      </c>
      <c r="H163" s="32">
        <v>50233970.530000001</v>
      </c>
      <c r="I163" s="44">
        <f t="shared" ref="I163:I172" si="88">(H163/$H$173)</f>
        <v>1.0826842483011019E-3</v>
      </c>
      <c r="J163" s="93">
        <v>107039568.84</v>
      </c>
      <c r="K163" s="44">
        <f t="shared" ref="K163:K172" si="89">(J163/$J$173)</f>
        <v>2.2973560451075587E-3</v>
      </c>
      <c r="L163" s="44">
        <f t="shared" si="83"/>
        <v>1.1308203932650593</v>
      </c>
      <c r="M163" s="66">
        <f t="shared" ref="M163:M172" si="90">(F163/J163)</f>
        <v>1.1769165493211828E-3</v>
      </c>
      <c r="N163" s="46">
        <f t="shared" ref="N163:N172" si="91">G163/J163</f>
        <v>4.4996877810667387E-3</v>
      </c>
      <c r="O163" s="47">
        <f t="shared" ref="O163:O172" si="92">J163/U163</f>
        <v>108.62417835382561</v>
      </c>
      <c r="P163" s="47">
        <f t="shared" ref="P163:P172" si="93">G163/U163</f>
        <v>0.48877488806712321</v>
      </c>
      <c r="Q163" s="48">
        <v>109.34</v>
      </c>
      <c r="R163" s="48">
        <v>109.34</v>
      </c>
      <c r="S163" s="58">
        <v>64</v>
      </c>
      <c r="T163" s="48">
        <v>490992</v>
      </c>
      <c r="U163" s="48">
        <v>985412</v>
      </c>
    </row>
    <row r="164" spans="1:21" ht="15" customHeight="1">
      <c r="A164" s="113">
        <v>133</v>
      </c>
      <c r="B164" s="50" t="s">
        <v>199</v>
      </c>
      <c r="C164" s="76" t="s">
        <v>172</v>
      </c>
      <c r="D164" s="48">
        <v>34499019.840000004</v>
      </c>
      <c r="E164" s="48">
        <v>594127.39</v>
      </c>
      <c r="F164" s="48">
        <v>302207.09999999998</v>
      </c>
      <c r="G164" s="43">
        <v>291920.28999999998</v>
      </c>
      <c r="H164" s="32">
        <v>54281604.229999997</v>
      </c>
      <c r="I164" s="44">
        <f t="shared" si="88"/>
        <v>1.1699222110511411E-3</v>
      </c>
      <c r="J164" s="48">
        <v>54595103.850000001</v>
      </c>
      <c r="K164" s="44">
        <f t="shared" si="89"/>
        <v>1.1717572596966791E-3</v>
      </c>
      <c r="L164" s="44">
        <f t="shared" si="83"/>
        <v>5.7754302667927023E-3</v>
      </c>
      <c r="M164" s="66">
        <f t="shared" si="90"/>
        <v>5.5354249500159155E-3</v>
      </c>
      <c r="N164" s="46">
        <f t="shared" si="91"/>
        <v>5.3470049402607736E-3</v>
      </c>
      <c r="O164" s="47">
        <f t="shared" si="92"/>
        <v>111.30817974417211</v>
      </c>
      <c r="P164" s="47">
        <f t="shared" si="93"/>
        <v>0.59516538698352239</v>
      </c>
      <c r="Q164" s="48">
        <v>104.26</v>
      </c>
      <c r="R164" s="48">
        <v>110.31</v>
      </c>
      <c r="S164" s="58">
        <v>12</v>
      </c>
      <c r="T164" s="48">
        <v>490486</v>
      </c>
      <c r="U164" s="48">
        <v>490486</v>
      </c>
    </row>
    <row r="165" spans="1:21" ht="15" customHeight="1">
      <c r="A165" s="112">
        <v>134</v>
      </c>
      <c r="B165" s="65" t="s">
        <v>200</v>
      </c>
      <c r="C165" s="65" t="s">
        <v>74</v>
      </c>
      <c r="D165" s="51">
        <v>8372496883.0699997</v>
      </c>
      <c r="E165" s="51">
        <v>106812601.08</v>
      </c>
      <c r="F165" s="51">
        <v>13671327.23</v>
      </c>
      <c r="G165" s="51">
        <v>93141273.849999994</v>
      </c>
      <c r="H165" s="30">
        <v>8402239731.0799999</v>
      </c>
      <c r="I165" s="44">
        <f t="shared" si="88"/>
        <v>0.18109204809636223</v>
      </c>
      <c r="J165" s="51">
        <v>8310197306.2600002</v>
      </c>
      <c r="K165" s="44">
        <f t="shared" si="89"/>
        <v>0.17835910798660276</v>
      </c>
      <c r="L165" s="44">
        <f t="shared" si="83"/>
        <v>-1.0954510674044862E-2</v>
      </c>
      <c r="M165" s="66">
        <f t="shared" si="90"/>
        <v>1.6451266710239849E-3</v>
      </c>
      <c r="N165" s="46">
        <f t="shared" si="91"/>
        <v>1.1208070087558267E-2</v>
      </c>
      <c r="O165" s="47">
        <f t="shared" si="92"/>
        <v>133.71354789612514</v>
      </c>
      <c r="P165" s="47">
        <f t="shared" si="93"/>
        <v>1.4986708164758495</v>
      </c>
      <c r="Q165" s="48">
        <v>133.71</v>
      </c>
      <c r="R165" s="48">
        <v>133.71</v>
      </c>
      <c r="S165" s="48">
        <v>623</v>
      </c>
      <c r="T165" s="51">
        <v>63521986.469999999</v>
      </c>
      <c r="U165" s="51">
        <v>62149254.409999996</v>
      </c>
    </row>
    <row r="166" spans="1:21" ht="15" customHeight="1">
      <c r="A166" s="113">
        <v>135</v>
      </c>
      <c r="B166" s="117" t="s">
        <v>235</v>
      </c>
      <c r="C166" s="117" t="s">
        <v>59</v>
      </c>
      <c r="D166" s="51">
        <v>413688360.64999998</v>
      </c>
      <c r="E166" s="51">
        <v>2758032.78</v>
      </c>
      <c r="F166" s="51">
        <v>606565.79</v>
      </c>
      <c r="G166" s="51">
        <v>606565.79</v>
      </c>
      <c r="H166" s="30">
        <v>203870550.87</v>
      </c>
      <c r="I166" s="44">
        <f t="shared" si="88"/>
        <v>4.393987411120486E-3</v>
      </c>
      <c r="J166" s="51">
        <v>412841198.19</v>
      </c>
      <c r="K166" s="44">
        <f t="shared" si="89"/>
        <v>8.8606786500509231E-3</v>
      </c>
      <c r="L166" s="44">
        <f t="shared" si="83"/>
        <v>1.0250163470311713</v>
      </c>
      <c r="M166" s="66">
        <f t="shared" si="90"/>
        <v>1.4692472375803034E-3</v>
      </c>
      <c r="N166" s="46">
        <f t="shared" si="91"/>
        <v>1.4692472375803034E-3</v>
      </c>
      <c r="O166" s="47">
        <f t="shared" si="92"/>
        <v>2063.2887559335495</v>
      </c>
      <c r="P166" s="47">
        <f t="shared" si="93"/>
        <v>3.0314813049858689</v>
      </c>
      <c r="Q166" s="48">
        <v>1029.3</v>
      </c>
      <c r="R166" s="48">
        <v>1029.3</v>
      </c>
      <c r="S166" s="48">
        <v>6</v>
      </c>
      <c r="T166" s="51">
        <v>200069.31</v>
      </c>
      <c r="U166" s="51">
        <v>200088.91</v>
      </c>
    </row>
    <row r="167" spans="1:21" ht="15" customHeight="1">
      <c r="A167" s="112">
        <v>136</v>
      </c>
      <c r="B167" s="50" t="s">
        <v>118</v>
      </c>
      <c r="C167" s="65" t="s">
        <v>119</v>
      </c>
      <c r="D167" s="48">
        <v>13077096070.73</v>
      </c>
      <c r="E167" s="48">
        <v>183211965.15000001</v>
      </c>
      <c r="F167" s="48">
        <v>25218919.620000001</v>
      </c>
      <c r="G167" s="43">
        <v>201482160.06999999</v>
      </c>
      <c r="H167" s="32">
        <v>17986456218.810001</v>
      </c>
      <c r="I167" s="44">
        <f t="shared" si="88"/>
        <v>0.38765904079258906</v>
      </c>
      <c r="J167" s="48">
        <v>18051726959.330002</v>
      </c>
      <c r="K167" s="44">
        <f t="shared" si="89"/>
        <v>0.3874384445310875</v>
      </c>
      <c r="L167" s="44">
        <f t="shared" si="83"/>
        <v>3.6288827396550281E-3</v>
      </c>
      <c r="M167" s="66">
        <f t="shared" si="90"/>
        <v>1.3970363986125797E-3</v>
      </c>
      <c r="N167" s="46">
        <f t="shared" si="91"/>
        <v>1.1161378660553266E-2</v>
      </c>
      <c r="O167" s="47">
        <f t="shared" si="92"/>
        <v>1323.6911343674667</v>
      </c>
      <c r="P167" s="47">
        <f t="shared" si="93"/>
        <v>14.77421798029259</v>
      </c>
      <c r="Q167" s="43">
        <v>1213.29</v>
      </c>
      <c r="R167" s="43">
        <v>1213.29</v>
      </c>
      <c r="S167" s="48">
        <v>7418</v>
      </c>
      <c r="T167" s="48">
        <v>13755480.369999999</v>
      </c>
      <c r="U167" s="48">
        <v>13637416.23</v>
      </c>
    </row>
    <row r="168" spans="1:21" ht="15" customHeight="1">
      <c r="A168" s="113">
        <v>137</v>
      </c>
      <c r="B168" s="115" t="s">
        <v>236</v>
      </c>
      <c r="C168" s="116" t="s">
        <v>250</v>
      </c>
      <c r="D168" s="48">
        <v>191458162.88999999</v>
      </c>
      <c r="E168" s="48">
        <v>490286.81</v>
      </c>
      <c r="F168" s="48">
        <v>539520.31000000006</v>
      </c>
      <c r="G168" s="43">
        <v>-49233.5</v>
      </c>
      <c r="H168" s="32">
        <v>332027482.63</v>
      </c>
      <c r="I168" s="44">
        <f t="shared" si="88"/>
        <v>7.156132028860525E-3</v>
      </c>
      <c r="J168" s="48">
        <v>339036541.49000001</v>
      </c>
      <c r="K168" s="44">
        <f t="shared" si="89"/>
        <v>7.2766328988924864E-3</v>
      </c>
      <c r="L168" s="44">
        <f t="shared" si="83"/>
        <v>2.1109875617768267E-2</v>
      </c>
      <c r="M168" s="66">
        <f t="shared" si="90"/>
        <v>1.5913338061700154E-3</v>
      </c>
      <c r="N168" s="46">
        <f t="shared" si="91"/>
        <v>-1.4521591030756831E-4</v>
      </c>
      <c r="O168" s="47">
        <f t="shared" si="92"/>
        <v>99.445446212989665</v>
      </c>
      <c r="P168" s="47">
        <f t="shared" si="93"/>
        <v>-1.4441060997761615E-2</v>
      </c>
      <c r="Q168" s="43">
        <v>99.254599999999996</v>
      </c>
      <c r="R168" s="43">
        <v>99.545500000000004</v>
      </c>
      <c r="S168" s="48">
        <v>131</v>
      </c>
      <c r="T168" s="48">
        <v>3357200.53</v>
      </c>
      <c r="U168" s="48">
        <v>3409271.66</v>
      </c>
    </row>
    <row r="169" spans="1:21" ht="15" customHeight="1">
      <c r="A169" s="112">
        <v>138</v>
      </c>
      <c r="B169" s="115" t="s">
        <v>237</v>
      </c>
      <c r="C169" s="116" t="s">
        <v>250</v>
      </c>
      <c r="D169" s="48">
        <v>10197834.869999999</v>
      </c>
      <c r="E169" s="48">
        <v>0</v>
      </c>
      <c r="F169" s="48">
        <v>123563.93</v>
      </c>
      <c r="G169" s="43">
        <v>-123563.93</v>
      </c>
      <c r="H169" s="32">
        <v>42362895.829999998</v>
      </c>
      <c r="I169" s="44">
        <f t="shared" si="88"/>
        <v>9.130403100461713E-4</v>
      </c>
      <c r="J169" s="48">
        <v>115193021.16</v>
      </c>
      <c r="K169" s="44">
        <f t="shared" si="89"/>
        <v>2.4723509855659551E-3</v>
      </c>
      <c r="L169" s="44">
        <f t="shared" si="83"/>
        <v>1.7191961008110337</v>
      </c>
      <c r="M169" s="66">
        <f t="shared" si="90"/>
        <v>1.0726685415114951E-3</v>
      </c>
      <c r="N169" s="46">
        <f t="shared" si="91"/>
        <v>-1.0726685415114951E-3</v>
      </c>
      <c r="O169" s="47">
        <f t="shared" si="92"/>
        <v>100.14640270671786</v>
      </c>
      <c r="P169" s="47">
        <f t="shared" si="93"/>
        <v>-0.1074238957290379</v>
      </c>
      <c r="Q169" s="43">
        <v>100.1464</v>
      </c>
      <c r="R169" s="43">
        <v>100.1464</v>
      </c>
      <c r="S169" s="48">
        <v>41</v>
      </c>
      <c r="T169" s="48">
        <v>423397.41</v>
      </c>
      <c r="U169" s="48">
        <v>1150246.22</v>
      </c>
    </row>
    <row r="170" spans="1:21" ht="14.25">
      <c r="A170" s="113">
        <v>139</v>
      </c>
      <c r="B170" s="67" t="s">
        <v>201</v>
      </c>
      <c r="C170" s="67" t="s">
        <v>225</v>
      </c>
      <c r="D170" s="48">
        <v>682479941.99000001</v>
      </c>
      <c r="E170" s="93">
        <v>10576292.99</v>
      </c>
      <c r="F170" s="48">
        <v>1910263.52</v>
      </c>
      <c r="G170" s="43">
        <v>8666029.4700000007</v>
      </c>
      <c r="H170" s="30">
        <v>777938944.82000005</v>
      </c>
      <c r="I170" s="44">
        <f t="shared" si="88"/>
        <v>1.6766786157060599E-2</v>
      </c>
      <c r="J170" s="48">
        <v>919891012.73000002</v>
      </c>
      <c r="K170" s="44">
        <f t="shared" si="89"/>
        <v>1.9743326714014627E-2</v>
      </c>
      <c r="L170" s="44">
        <f t="shared" si="83"/>
        <v>0.18247199070724621</v>
      </c>
      <c r="M170" s="66">
        <f t="shared" si="90"/>
        <v>2.0766193968248794E-3</v>
      </c>
      <c r="N170" s="46">
        <f t="shared" si="91"/>
        <v>9.4207132693703063E-3</v>
      </c>
      <c r="O170" s="47">
        <f t="shared" si="92"/>
        <v>104.6119327604469</v>
      </c>
      <c r="P170" s="47">
        <f t="shared" si="93"/>
        <v>0.98551902309081651</v>
      </c>
      <c r="Q170" s="48">
        <v>104.61</v>
      </c>
      <c r="R170" s="48">
        <v>104.61</v>
      </c>
      <c r="S170" s="48">
        <v>517</v>
      </c>
      <c r="T170" s="48">
        <v>7508247</v>
      </c>
      <c r="U170" s="48">
        <v>8793366</v>
      </c>
    </row>
    <row r="171" spans="1:21" ht="14.25">
      <c r="A171" s="112">
        <v>140</v>
      </c>
      <c r="B171" s="42" t="s">
        <v>202</v>
      </c>
      <c r="C171" s="42" t="s">
        <v>45</v>
      </c>
      <c r="D171" s="91">
        <v>7996189248.5500002</v>
      </c>
      <c r="E171" s="91">
        <v>62669923.07</v>
      </c>
      <c r="F171" s="91">
        <v>13253815.789999999</v>
      </c>
      <c r="G171" s="91">
        <v>49416107.280000001</v>
      </c>
      <c r="H171" s="30">
        <v>8377315673.25</v>
      </c>
      <c r="I171" s="44">
        <f t="shared" si="88"/>
        <v>0.18055486410450214</v>
      </c>
      <c r="J171" s="91">
        <v>8214810719.2700005</v>
      </c>
      <c r="K171" s="44">
        <f t="shared" si="89"/>
        <v>0.17631185616544479</v>
      </c>
      <c r="L171" s="44">
        <f t="shared" si="83"/>
        <v>-1.9398213021732218E-2</v>
      </c>
      <c r="M171" s="66">
        <f t="shared" si="90"/>
        <v>1.6134048906214827E-3</v>
      </c>
      <c r="N171" s="46">
        <f t="shared" si="91"/>
        <v>6.0154894578497735E-3</v>
      </c>
      <c r="O171" s="47">
        <f t="shared" si="92"/>
        <v>128.8176937435301</v>
      </c>
      <c r="P171" s="47">
        <f t="shared" si="93"/>
        <v>0.77490147869872605</v>
      </c>
      <c r="Q171" s="91">
        <v>128.29</v>
      </c>
      <c r="R171" s="91">
        <v>128.29</v>
      </c>
      <c r="S171" s="48">
        <v>1105</v>
      </c>
      <c r="T171" s="91">
        <v>67462506.319999993</v>
      </c>
      <c r="U171" s="91">
        <v>63770825.890000001</v>
      </c>
    </row>
    <row r="172" spans="1:21" ht="15" customHeight="1">
      <c r="A172" s="113">
        <v>141</v>
      </c>
      <c r="B172" s="67" t="s">
        <v>203</v>
      </c>
      <c r="C172" s="67" t="s">
        <v>49</v>
      </c>
      <c r="D172" s="51">
        <v>3070392788</v>
      </c>
      <c r="E172" s="51">
        <v>53389778</v>
      </c>
      <c r="F172" s="101">
        <v>8178561</v>
      </c>
      <c r="G172" s="101">
        <v>45211216</v>
      </c>
      <c r="H172" s="30">
        <v>5506533901</v>
      </c>
      <c r="I172" s="44">
        <f t="shared" si="88"/>
        <v>0.11868139138609952</v>
      </c>
      <c r="J172" s="91">
        <v>5363750840</v>
      </c>
      <c r="K172" s="44">
        <f t="shared" si="89"/>
        <v>0.11512046946997721</v>
      </c>
      <c r="L172" s="44">
        <f t="shared" si="83"/>
        <v>-2.5929752466260173E-2</v>
      </c>
      <c r="M172" s="66">
        <f t="shared" si="90"/>
        <v>1.524783914086509E-3</v>
      </c>
      <c r="N172" s="46">
        <f t="shared" si="91"/>
        <v>8.4290298614989358E-3</v>
      </c>
      <c r="O172" s="47">
        <f t="shared" si="92"/>
        <v>1.2322242629346079</v>
      </c>
      <c r="P172" s="47">
        <f t="shared" si="93"/>
        <v>1.0386455108339325E-2</v>
      </c>
      <c r="Q172" s="43">
        <v>1.23</v>
      </c>
      <c r="R172" s="43">
        <v>1.23</v>
      </c>
      <c r="S172" s="48">
        <v>195</v>
      </c>
      <c r="T172" s="48">
        <v>4461534307</v>
      </c>
      <c r="U172" s="48">
        <v>4352901498</v>
      </c>
    </row>
    <row r="173" spans="1:21" ht="15" customHeight="1">
      <c r="A173" s="118" t="s">
        <v>50</v>
      </c>
      <c r="B173" s="118"/>
      <c r="C173" s="118"/>
      <c r="D173" s="118"/>
      <c r="E173" s="118"/>
      <c r="F173" s="118"/>
      <c r="G173" s="118"/>
      <c r="H173" s="60">
        <f>SUM(H158:H172)</f>
        <v>46397618335.008408</v>
      </c>
      <c r="I173" s="52">
        <f>(H173/$H$174)</f>
        <v>2.185457169334706E-2</v>
      </c>
      <c r="J173" s="64">
        <f>SUM(J158:J172)</f>
        <v>46592503181.190002</v>
      </c>
      <c r="K173" s="52">
        <f>(J173/$J$174)</f>
        <v>2.2361620782573088E-2</v>
      </c>
      <c r="L173" s="44">
        <f t="shared" si="83"/>
        <v>4.2003200417412012E-3</v>
      </c>
      <c r="M173" s="66"/>
      <c r="N173" s="62"/>
      <c r="O173" s="73"/>
      <c r="P173" s="73"/>
      <c r="Q173" s="64"/>
      <c r="R173" s="64"/>
      <c r="S173" s="64">
        <f>SUM(S158:S172)</f>
        <v>25802</v>
      </c>
      <c r="T173" s="64"/>
      <c r="U173" s="64"/>
    </row>
    <row r="174" spans="1:21" ht="15.75" customHeight="1">
      <c r="A174" s="119" t="s">
        <v>204</v>
      </c>
      <c r="B174" s="119"/>
      <c r="C174" s="119"/>
      <c r="D174" s="119"/>
      <c r="E174" s="119"/>
      <c r="F174" s="119"/>
      <c r="G174" s="119"/>
      <c r="H174" s="89">
        <f>SUM(H21,H53,H86,H113,H121,H148,H154,H173)</f>
        <v>2123016592868.4253</v>
      </c>
      <c r="I174" s="90"/>
      <c r="J174" s="89">
        <f>SUM(J21,J53,J86,J113,J121,J148,J154,J173)</f>
        <v>2083592402993.4619</v>
      </c>
      <c r="K174" s="83"/>
      <c r="L174" s="83"/>
      <c r="M174" s="84"/>
      <c r="N174" s="85"/>
      <c r="O174" s="86"/>
      <c r="P174" s="86"/>
      <c r="Q174" s="87"/>
      <c r="R174" s="87"/>
      <c r="S174" s="87">
        <f>SUM(S21,S53,S86,S113,S121,S148,S154,S173)</f>
        <v>697274</v>
      </c>
      <c r="T174" s="87"/>
      <c r="U174" s="87"/>
    </row>
    <row r="175" spans="1:21" ht="5.25" customHeight="1">
      <c r="A175" s="18"/>
      <c r="B175" s="18"/>
      <c r="C175" s="18"/>
      <c r="D175" s="19"/>
      <c r="E175" s="19"/>
      <c r="F175" s="19"/>
      <c r="G175" s="20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1:21">
      <c r="A176" s="21" t="s">
        <v>205</v>
      </c>
      <c r="B176" s="22" t="s">
        <v>247</v>
      </c>
      <c r="C176" s="23"/>
      <c r="D176" s="19"/>
      <c r="E176" s="19"/>
      <c r="F176" s="19"/>
      <c r="G176" s="20"/>
      <c r="H176" s="24"/>
      <c r="I176" s="19"/>
      <c r="J176" s="24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25"/>
    </row>
    <row r="178" spans="2:2" ht="15">
      <c r="B178" s="88"/>
    </row>
  </sheetData>
  <sheetProtection algorithmName="SHA-512" hashValue="WS34H3H30l9VGjRUbJUiN0M/T1+8+QYTbhSYaHcR0Tc7tM/6CVheqOgiINXDP0MNQ6aBYG5AqMz37lyImq78Lw==" saltValue="FZL9npCQ1oJL/NMohCjg/A==" spinCount="100000" sheet="1" objects="1" scenarios="1"/>
  <mergeCells count="32">
    <mergeCell ref="A1:U1"/>
    <mergeCell ref="A3:U3"/>
    <mergeCell ref="A4:U4"/>
    <mergeCell ref="A21:G21"/>
    <mergeCell ref="A22:U22"/>
    <mergeCell ref="A23:U23"/>
    <mergeCell ref="A53:G53"/>
    <mergeCell ref="A54:U54"/>
    <mergeCell ref="A55:U55"/>
    <mergeCell ref="A86:G86"/>
    <mergeCell ref="A87:U87"/>
    <mergeCell ref="A88:U88"/>
    <mergeCell ref="A89:U89"/>
    <mergeCell ref="A102:U102"/>
    <mergeCell ref="A103:U103"/>
    <mergeCell ref="A113:G113"/>
    <mergeCell ref="A114:U114"/>
    <mergeCell ref="A115:U115"/>
    <mergeCell ref="A121:G121"/>
    <mergeCell ref="A122:U122"/>
    <mergeCell ref="A123:U123"/>
    <mergeCell ref="A148:G148"/>
    <mergeCell ref="A149:U149"/>
    <mergeCell ref="A150:U150"/>
    <mergeCell ref="A154:G154"/>
    <mergeCell ref="A173:G173"/>
    <mergeCell ref="A174:G174"/>
    <mergeCell ref="A155:U155"/>
    <mergeCell ref="A156:U156"/>
    <mergeCell ref="A157:U157"/>
    <mergeCell ref="A160:U160"/>
    <mergeCell ref="A161:U161"/>
  </mergeCells>
  <pageMargins left="0.7" right="0.7" top="0.75" bottom="0.75" header="0.3" footer="0.3"/>
  <pageSetup orientation="portrait" r:id="rId1"/>
  <ignoredErrors>
    <ignoredError sqref="I173 I154 I148 I121 I113 I86 I53 I21" formula="1"/>
    <ignoredError sqref="D116:H116 Q116:R116 J116 F119 E145:F145 H153" numberStoredAsText="1"/>
    <ignoredError sqref="S121" formulaRange="1"/>
    <ignoredError sqref="L97 L9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5" sqref="A5"/>
    </sheetView>
  </sheetViews>
  <sheetFormatPr defaultColWidth="9" defaultRowHeight="15"/>
  <cols>
    <col min="1" max="1" width="34" customWidth="1"/>
    <col min="2" max="2" width="14.28515625" customWidth="1"/>
    <col min="3" max="3" width="14.85546875" customWidth="1"/>
    <col min="4" max="4" width="14.7109375" customWidth="1"/>
  </cols>
  <sheetData>
    <row r="1" spans="1:5">
      <c r="A1" s="16"/>
      <c r="B1" s="16"/>
      <c r="C1" s="16"/>
      <c r="D1" s="16"/>
      <c r="E1" s="16"/>
    </row>
    <row r="2" spans="1:5">
      <c r="A2" s="16"/>
      <c r="B2" s="16"/>
      <c r="C2" s="16"/>
      <c r="D2" s="16"/>
      <c r="E2" s="16"/>
    </row>
    <row r="3" spans="1:5">
      <c r="A3" s="1"/>
      <c r="B3" s="1"/>
      <c r="C3" s="1"/>
      <c r="D3" s="1"/>
      <c r="E3" s="1"/>
    </row>
    <row r="4" spans="1:5" ht="33" customHeight="1">
      <c r="A4" s="134" t="s">
        <v>206</v>
      </c>
      <c r="B4" s="135" t="s">
        <v>248</v>
      </c>
      <c r="C4" s="135" t="s">
        <v>245</v>
      </c>
      <c r="D4" s="135" t="s">
        <v>246</v>
      </c>
      <c r="E4" s="1"/>
    </row>
    <row r="5" spans="1:5" ht="19.5" customHeight="1">
      <c r="A5" s="136" t="s">
        <v>19</v>
      </c>
      <c r="B5" s="137">
        <v>22.54790675089</v>
      </c>
      <c r="C5" s="137">
        <v>23.04667578047</v>
      </c>
      <c r="D5" s="138">
        <f>'December 2023'!J21/1000000000</f>
        <v>24.813480452169998</v>
      </c>
      <c r="E5" s="1"/>
    </row>
    <row r="6" spans="1:5" ht="15.75">
      <c r="A6" s="134" t="s">
        <v>51</v>
      </c>
      <c r="B6" s="137">
        <v>864.77026955073995</v>
      </c>
      <c r="C6" s="137">
        <v>865.75717689171017</v>
      </c>
      <c r="D6" s="138">
        <f>'December 2023'!J53/1000000000</f>
        <v>877.05464123596983</v>
      </c>
      <c r="E6" s="1"/>
    </row>
    <row r="7" spans="1:5" ht="15.75">
      <c r="A7" s="134" t="s">
        <v>207</v>
      </c>
      <c r="B7" s="137">
        <v>297.86882694543999</v>
      </c>
      <c r="C7" s="137">
        <v>292.87024288021001</v>
      </c>
      <c r="D7" s="138">
        <f>'December 2023'!J86/1000000000</f>
        <v>289.59781149676002</v>
      </c>
      <c r="E7" s="1"/>
    </row>
    <row r="8" spans="1:5" ht="15.75">
      <c r="A8" s="134" t="s">
        <v>208</v>
      </c>
      <c r="B8" s="137">
        <v>648.61294131015234</v>
      </c>
      <c r="C8" s="137">
        <v>756.91777952978691</v>
      </c>
      <c r="D8" s="138">
        <f>'December 2023'!J113/1000000000</f>
        <v>704.14775334012222</v>
      </c>
      <c r="E8" s="1"/>
    </row>
    <row r="9" spans="1:5" ht="15.75">
      <c r="A9" s="134" t="s">
        <v>209</v>
      </c>
      <c r="B9" s="137">
        <v>92.89143036821001</v>
      </c>
      <c r="C9" s="137">
        <v>93.995813289460003</v>
      </c>
      <c r="D9" s="138">
        <f>'December 2023'!J121/1000000000</f>
        <v>94.621673097889996</v>
      </c>
      <c r="E9" s="1"/>
    </row>
    <row r="10" spans="1:5" ht="15.75">
      <c r="A10" s="134" t="s">
        <v>163</v>
      </c>
      <c r="B10" s="137">
        <v>39.71452184284999</v>
      </c>
      <c r="C10" s="137">
        <v>40.559468372719998</v>
      </c>
      <c r="D10" s="138">
        <f>'December 2023'!J148/1000000000</f>
        <v>42.357057102540004</v>
      </c>
      <c r="E10" s="1"/>
    </row>
    <row r="11" spans="1:5" ht="15.75">
      <c r="A11" s="134" t="s">
        <v>188</v>
      </c>
      <c r="B11" s="137">
        <v>3.89449754942</v>
      </c>
      <c r="C11" s="137">
        <v>3.4718177890600002</v>
      </c>
      <c r="D11" s="138">
        <f>'December 2023'!J154/1000000000</f>
        <v>4.4074830868200001</v>
      </c>
      <c r="E11" s="1"/>
    </row>
    <row r="12" spans="1:5" ht="15.75">
      <c r="A12" s="134" t="s">
        <v>210</v>
      </c>
      <c r="B12" s="137">
        <v>46.293023793199723</v>
      </c>
      <c r="C12" s="137">
        <v>46.39761833500841</v>
      </c>
      <c r="D12" s="138">
        <f>'December 2023'!J173/1000000000</f>
        <v>46.592503181190004</v>
      </c>
      <c r="E12" s="1"/>
    </row>
    <row r="13" spans="1:5">
      <c r="A13" s="1"/>
      <c r="B13" s="1"/>
      <c r="C13" s="1"/>
      <c r="D13" s="1"/>
      <c r="E13" s="1"/>
    </row>
    <row r="14" spans="1:5">
      <c r="A14" s="1"/>
      <c r="B14" s="1"/>
      <c r="C14" s="1"/>
      <c r="D14" s="1"/>
      <c r="E14" s="1"/>
    </row>
    <row r="15" spans="1:5">
      <c r="A15" s="1"/>
      <c r="B15" s="1"/>
      <c r="C15" s="1"/>
      <c r="D15" s="1"/>
      <c r="E15" s="1"/>
    </row>
    <row r="16" spans="1:5" ht="16.5">
      <c r="A16" s="1"/>
      <c r="B16" s="1"/>
      <c r="C16" s="139"/>
      <c r="D16" s="140"/>
      <c r="E16" s="1"/>
    </row>
    <row r="17" spans="1:5" ht="16.5">
      <c r="A17" s="141"/>
      <c r="B17" s="141"/>
      <c r="C17" s="10"/>
      <c r="D17" s="142"/>
      <c r="E17" s="1"/>
    </row>
    <row r="18" spans="1:5" ht="16.5">
      <c r="A18" s="134"/>
      <c r="B18" s="134"/>
      <c r="C18" s="11"/>
      <c r="D18" s="12"/>
      <c r="E18" s="1"/>
    </row>
    <row r="19" spans="1:5" ht="16.5">
      <c r="A19" s="7"/>
      <c r="B19" s="7"/>
      <c r="C19" s="10"/>
      <c r="D19" s="13">
        <v>329523427075.08801</v>
      </c>
      <c r="E19" s="1"/>
    </row>
    <row r="20" spans="1:5" ht="16.5">
      <c r="A20" s="7"/>
      <c r="B20" s="7"/>
      <c r="C20" s="11"/>
      <c r="D20" s="12">
        <v>92979365311.570007</v>
      </c>
      <c r="E20" s="1"/>
    </row>
    <row r="21" spans="1:5" ht="16.5">
      <c r="A21" s="7"/>
      <c r="B21" s="7"/>
      <c r="C21" s="10"/>
      <c r="D21" s="13">
        <v>33483827699.669998</v>
      </c>
      <c r="E21" s="1"/>
    </row>
    <row r="22" spans="1:5" ht="16.5">
      <c r="A22" s="7"/>
      <c r="B22" s="7"/>
      <c r="C22" s="14"/>
      <c r="D22" s="15">
        <v>3211014587.77</v>
      </c>
      <c r="E22" s="1"/>
    </row>
    <row r="23" spans="1:5" ht="16.5">
      <c r="A23" s="7"/>
      <c r="B23" s="7"/>
      <c r="C23" s="10"/>
      <c r="D23" s="13">
        <v>25485626359.523201</v>
      </c>
      <c r="E23" s="1"/>
    </row>
    <row r="24" spans="1:5" ht="16.5">
      <c r="A24" s="7"/>
      <c r="B24" s="7"/>
      <c r="C24" s="10"/>
      <c r="D24" s="10"/>
      <c r="E24" s="1"/>
    </row>
    <row r="25" spans="1:5" ht="16.5">
      <c r="A25" s="7"/>
      <c r="B25" s="7"/>
      <c r="C25" s="10"/>
      <c r="D25" s="10"/>
      <c r="E25" s="1"/>
    </row>
    <row r="26" spans="1:5" ht="16.5">
      <c r="A26" s="7"/>
      <c r="B26" s="7"/>
      <c r="C26" s="10"/>
      <c r="D26" s="10"/>
      <c r="E26" s="1"/>
    </row>
    <row r="27" spans="1:5">
      <c r="C27" s="16"/>
      <c r="D27" s="16"/>
    </row>
    <row r="28" spans="1:5">
      <c r="C28" s="16"/>
      <c r="D28" s="16"/>
    </row>
  </sheetData>
  <sheetProtection algorithmName="SHA-512" hashValue="gdoy7JVFAEOTpLxbKq4cCQM2pNKb6MF0A6hKAoW24kboaPVcvd124voPydRvlOyPDg5bZKNPGd81BxPEc0WxhQ==" saltValue="i8X+ScJwrohVZATiMvEJE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D5" sqref="D5"/>
    </sheetView>
  </sheetViews>
  <sheetFormatPr defaultColWidth="9" defaultRowHeight="15"/>
  <cols>
    <col min="1" max="1" width="26.7109375" customWidth="1"/>
    <col min="2" max="2" width="21.28515625" customWidth="1"/>
  </cols>
  <sheetData>
    <row r="1" spans="1:4">
      <c r="A1" s="145" t="s">
        <v>206</v>
      </c>
      <c r="B1" s="146" t="s">
        <v>246</v>
      </c>
      <c r="C1" s="16"/>
      <c r="D1" s="16"/>
    </row>
    <row r="2" spans="1:4">
      <c r="A2" s="145" t="s">
        <v>188</v>
      </c>
      <c r="B2" s="147">
        <f>'December 2023'!J154</f>
        <v>4407483086.8199997</v>
      </c>
      <c r="C2" s="16"/>
      <c r="D2" s="16"/>
    </row>
    <row r="3" spans="1:4">
      <c r="A3" s="145" t="s">
        <v>19</v>
      </c>
      <c r="B3" s="148">
        <f>'December 2023'!J21</f>
        <v>24813480452.169998</v>
      </c>
      <c r="C3" s="16"/>
      <c r="D3" s="16"/>
    </row>
    <row r="4" spans="1:4">
      <c r="A4" s="145" t="s">
        <v>163</v>
      </c>
      <c r="B4" s="149">
        <f>'December 2023'!J148</f>
        <v>42357057102.540001</v>
      </c>
      <c r="C4" s="16"/>
      <c r="D4" s="16"/>
    </row>
    <row r="5" spans="1:4">
      <c r="A5" s="145" t="s">
        <v>210</v>
      </c>
      <c r="B5" s="149">
        <f>'December 2023'!J173</f>
        <v>46592503181.190002</v>
      </c>
      <c r="C5" s="16"/>
      <c r="D5" s="16"/>
    </row>
    <row r="6" spans="1:4">
      <c r="A6" s="145" t="s">
        <v>209</v>
      </c>
      <c r="B6" s="150">
        <f>'December 2023'!J121</f>
        <v>94621673097.889999</v>
      </c>
      <c r="C6" s="16"/>
      <c r="D6" s="16"/>
    </row>
    <row r="7" spans="1:4">
      <c r="A7" s="145" t="s">
        <v>207</v>
      </c>
      <c r="B7" s="150">
        <f>'December 2023'!J86</f>
        <v>289597811496.76001</v>
      </c>
      <c r="C7" s="16"/>
      <c r="D7" s="16"/>
    </row>
    <row r="8" spans="1:4">
      <c r="A8" s="145" t="s">
        <v>208</v>
      </c>
      <c r="B8" s="149">
        <f>'December 2023'!J113</f>
        <v>704147753340.12219</v>
      </c>
      <c r="C8" s="16"/>
      <c r="D8" s="16"/>
    </row>
    <row r="9" spans="1:4">
      <c r="A9" s="145" t="s">
        <v>51</v>
      </c>
      <c r="B9" s="151">
        <f>'December 2023'!J53</f>
        <v>877054641235.96985</v>
      </c>
      <c r="C9" s="16"/>
      <c r="D9" s="16"/>
    </row>
    <row r="10" spans="1:4">
      <c r="A10" s="1"/>
      <c r="B10" s="1"/>
      <c r="C10" s="16"/>
      <c r="D10" s="16"/>
    </row>
    <row r="11" spans="1:4" ht="16.5">
      <c r="A11" s="152"/>
      <c r="B11" s="1"/>
      <c r="C11" s="16"/>
      <c r="D11" s="16"/>
    </row>
    <row r="12" spans="1:4">
      <c r="A12" s="143"/>
      <c r="B12" s="16"/>
      <c r="C12" s="16"/>
      <c r="D12" s="16"/>
    </row>
    <row r="13" spans="1:4" ht="15.75" customHeight="1">
      <c r="A13" s="26"/>
      <c r="B13" s="27"/>
      <c r="C13" s="16"/>
      <c r="D13" s="16"/>
    </row>
    <row r="14" spans="1:4">
      <c r="A14" s="28"/>
      <c r="B14" s="27"/>
      <c r="C14" s="16"/>
      <c r="D14" s="16"/>
    </row>
    <row r="15" spans="1:4">
      <c r="A15" s="28"/>
      <c r="B15" s="27"/>
      <c r="C15" s="16"/>
      <c r="D15" s="16"/>
    </row>
    <row r="16" spans="1:4">
      <c r="A16" s="4">
        <v>92979365311.570007</v>
      </c>
      <c r="B16" s="2"/>
      <c r="C16" s="1"/>
    </row>
    <row r="17" spans="1:17">
      <c r="A17" s="4">
        <v>324257293662.39001</v>
      </c>
      <c r="B17" s="2"/>
      <c r="C17" s="1"/>
    </row>
    <row r="18" spans="1:17">
      <c r="A18" s="3">
        <v>329523427075.08801</v>
      </c>
      <c r="B18" s="2"/>
      <c r="C18" s="1"/>
    </row>
    <row r="19" spans="1:17" ht="15" customHeight="1">
      <c r="A19" s="5">
        <v>749900598862.70996</v>
      </c>
      <c r="B19" s="2"/>
      <c r="C19" s="1"/>
    </row>
    <row r="20" spans="1:17" ht="16.5">
      <c r="A20" s="6"/>
      <c r="B20" s="2"/>
      <c r="C20" s="1"/>
    </row>
    <row r="21" spans="1:17" ht="16.5">
      <c r="A21" s="7"/>
      <c r="B21" s="144"/>
      <c r="C21" s="1"/>
    </row>
    <row r="22" spans="1:17" ht="16.5">
      <c r="B22" s="8"/>
    </row>
    <row r="32" spans="1:17" ht="16.5" customHeight="1">
      <c r="A32" s="133" t="s">
        <v>251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9"/>
    </row>
    <row r="33" spans="1:17" ht="15" customHeight="1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9"/>
    </row>
  </sheetData>
  <sheetProtection algorithmName="SHA-512" hashValue="69Cofocy/+MAemGAuYTP0Wh82T8MbZGQAevhyO4hPKPFriIVEMbXBBIyMOi3xJnzE0x33rzaZraHcDIxUcwGZw==" saltValue="HMlh9TonFDVQqpq7LIi50g==" spinCount="100000" sheet="1" objects="1" scenarios="1"/>
  <sortState xmlns:xlrd2="http://schemas.microsoft.com/office/spreadsheetml/2017/richdata2"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D18"/>
  <sheetViews>
    <sheetView workbookViewId="0">
      <selection activeCell="D7" sqref="D7"/>
    </sheetView>
  </sheetViews>
  <sheetFormatPr defaultColWidth="9" defaultRowHeight="15"/>
  <cols>
    <col min="1" max="1" width="34.7109375" customWidth="1"/>
    <col min="2" max="2" width="15" customWidth="1"/>
  </cols>
  <sheetData>
    <row r="3" spans="1:4">
      <c r="A3" s="16"/>
      <c r="B3" s="16"/>
      <c r="C3" s="16"/>
      <c r="D3" s="109"/>
    </row>
    <row r="4" spans="1:4">
      <c r="A4" s="1"/>
      <c r="B4" s="1"/>
      <c r="C4" s="1"/>
      <c r="D4" s="109"/>
    </row>
    <row r="5" spans="1:4" ht="15.75">
      <c r="A5" s="153" t="s">
        <v>206</v>
      </c>
      <c r="B5" s="154" t="s">
        <v>211</v>
      </c>
      <c r="C5" s="1"/>
      <c r="D5" s="109"/>
    </row>
    <row r="6" spans="1:4" ht="16.5">
      <c r="A6" s="155" t="s">
        <v>19</v>
      </c>
      <c r="B6" s="156">
        <f>'December 2023'!S21</f>
        <v>47671</v>
      </c>
      <c r="C6" s="1"/>
      <c r="D6" s="109"/>
    </row>
    <row r="7" spans="1:4" ht="16.5">
      <c r="A7" s="155" t="s">
        <v>51</v>
      </c>
      <c r="B7" s="156">
        <f>'December 2023'!S53</f>
        <v>267690</v>
      </c>
      <c r="C7" s="1"/>
      <c r="D7" s="109"/>
    </row>
    <row r="8" spans="1:4" ht="16.5">
      <c r="A8" s="155" t="s">
        <v>207</v>
      </c>
      <c r="B8" s="156">
        <f>'December 2023'!S86</f>
        <v>44532</v>
      </c>
      <c r="C8" s="1"/>
      <c r="D8" s="109"/>
    </row>
    <row r="9" spans="1:4" ht="16.5">
      <c r="A9" s="155" t="s">
        <v>208</v>
      </c>
      <c r="B9" s="156">
        <f>'December 2023'!S113</f>
        <v>13109</v>
      </c>
      <c r="C9" s="1"/>
      <c r="D9" s="109"/>
    </row>
    <row r="10" spans="1:4" ht="16.5">
      <c r="A10" s="155" t="s">
        <v>209</v>
      </c>
      <c r="B10" s="156">
        <f>'December 2023'!S121</f>
        <v>217020</v>
      </c>
      <c r="C10" s="1"/>
      <c r="D10" s="109"/>
    </row>
    <row r="11" spans="1:4" ht="16.5">
      <c r="A11" s="155" t="s">
        <v>163</v>
      </c>
      <c r="B11" s="156">
        <f>'December 2023'!S148</f>
        <v>68628</v>
      </c>
      <c r="C11" s="1"/>
      <c r="D11" s="109"/>
    </row>
    <row r="12" spans="1:4" ht="16.5">
      <c r="A12" s="155" t="s">
        <v>188</v>
      </c>
      <c r="B12" s="156">
        <v>11067</v>
      </c>
      <c r="C12" s="1"/>
      <c r="D12" s="109"/>
    </row>
    <row r="13" spans="1:4" ht="16.5">
      <c r="A13" s="155" t="s">
        <v>210</v>
      </c>
      <c r="B13" s="156">
        <f>'December 2023'!S173</f>
        <v>25802</v>
      </c>
      <c r="C13" s="1"/>
      <c r="D13" s="109"/>
    </row>
    <row r="14" spans="1:4">
      <c r="A14" s="1"/>
      <c r="B14" s="1"/>
      <c r="C14" s="1"/>
      <c r="D14" s="109"/>
    </row>
    <row r="15" spans="1:4">
      <c r="A15" s="1"/>
      <c r="B15" s="1"/>
      <c r="C15" s="1"/>
      <c r="D15" s="109"/>
    </row>
    <row r="16" spans="1:4">
      <c r="A16" s="16"/>
      <c r="B16" s="16"/>
      <c r="C16" s="16"/>
      <c r="D16" s="109"/>
    </row>
    <row r="17" spans="1:4">
      <c r="A17" s="16"/>
      <c r="B17" s="16"/>
      <c r="C17" s="16"/>
      <c r="D17" s="109"/>
    </row>
    <row r="18" spans="1:4">
      <c r="A18" s="16"/>
      <c r="B18" s="16"/>
      <c r="C18" s="16"/>
    </row>
  </sheetData>
  <sheetProtection algorithmName="SHA-512" hashValue="yS34ReJjiA9Ldnf+eY4gvRS0wXLzENRGvaCN0eZePpbJ4y9oj8IEQrUnZQwQNTHV+ARhW9BFu9SMpPTD8xKLIA==" saltValue="aV+3K98Ac7M4oY82eQd60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December 2023</vt:lpstr>
      <vt:lpstr>NAV Comparison</vt:lpstr>
      <vt:lpstr>Market Share</vt:lpstr>
      <vt:lpstr>Unitholders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tundeisaac.ti@gmail.com</cp:lastModifiedBy>
  <dcterms:created xsi:type="dcterms:W3CDTF">2023-10-09T09:40:00Z</dcterms:created>
  <dcterms:modified xsi:type="dcterms:W3CDTF">2024-07-02T13:54:32Z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A28B6CC3FF9C449EAFECA2D87E614F85_13</vt:lpwstr>
  </property>
  <property fmtid="{D5CDD505-2E9C-101B-9397-08002B2CF9AE}" pid="3" name="KSOProductBuildVer">
    <vt:lpwstr>1033-12.2.0.13266</vt:lpwstr>
  </property>
</Properties>
</file>