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A9C476AA-EFFE-49E5-9453-D8063D84A3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ember 2023" sheetId="7" r:id="rId1"/>
    <sheet name="NAV Comparison" sheetId="2" r:id="rId2"/>
    <sheet name="Market Share" sheetId="3" r:id="rId3"/>
    <sheet name="Unitholders" sheetId="6" r:id="rId4"/>
  </sheets>
  <definedNames>
    <definedName name="Component">"Group"</definedName>
    <definedName name="pbCountingPages">FALSE</definedName>
  </definedNames>
  <calcPr calcId="181029"/>
</workbook>
</file>

<file path=xl/calcChain.xml><?xml version="1.0" encoding="utf-8"?>
<calcChain xmlns="http://schemas.openxmlformats.org/spreadsheetml/2006/main">
  <c r="P156" i="7" l="1"/>
  <c r="O156" i="7"/>
  <c r="N156" i="7"/>
  <c r="M156" i="7"/>
  <c r="L156" i="7"/>
  <c r="K156" i="7"/>
  <c r="I156" i="7"/>
  <c r="B12" i="6"/>
  <c r="B11" i="6"/>
  <c r="B10" i="6"/>
  <c r="B9" i="6"/>
  <c r="B8" i="6"/>
  <c r="B7" i="6"/>
  <c r="B9" i="3"/>
  <c r="B8" i="3"/>
  <c r="B7" i="3"/>
  <c r="B6" i="3"/>
  <c r="B4" i="3"/>
  <c r="B2" i="3"/>
  <c r="C11" i="2"/>
  <c r="C10" i="2"/>
  <c r="C9" i="2"/>
  <c r="C8" i="2"/>
  <c r="C7" i="2"/>
  <c r="C6" i="2"/>
  <c r="L161" i="7"/>
  <c r="L162" i="7"/>
  <c r="L163" i="7"/>
  <c r="L164" i="7"/>
  <c r="L165" i="7"/>
  <c r="L166" i="7"/>
  <c r="L167" i="7"/>
  <c r="L168" i="7"/>
  <c r="L169" i="7"/>
  <c r="L170" i="7"/>
  <c r="L157" i="7"/>
  <c r="L150" i="7"/>
  <c r="L151" i="7"/>
  <c r="L152" i="7"/>
  <c r="K150" i="7"/>
  <c r="K151" i="7"/>
  <c r="I150" i="7"/>
  <c r="I151" i="7"/>
  <c r="M123" i="7"/>
  <c r="N123" i="7"/>
  <c r="O123" i="7"/>
  <c r="P123" i="7"/>
  <c r="M124" i="7"/>
  <c r="N124" i="7"/>
  <c r="O124" i="7"/>
  <c r="P124" i="7"/>
  <c r="M125" i="7"/>
  <c r="N125" i="7"/>
  <c r="O125" i="7"/>
  <c r="P125" i="7"/>
  <c r="M126" i="7"/>
  <c r="N126" i="7"/>
  <c r="O126" i="7"/>
  <c r="P126" i="7"/>
  <c r="M127" i="7"/>
  <c r="N127" i="7"/>
  <c r="O127" i="7"/>
  <c r="P127" i="7"/>
  <c r="M128" i="7"/>
  <c r="N128" i="7"/>
  <c r="O128" i="7"/>
  <c r="P128" i="7"/>
  <c r="M129" i="7"/>
  <c r="N129" i="7"/>
  <c r="O129" i="7"/>
  <c r="P129" i="7"/>
  <c r="M130" i="7"/>
  <c r="N130" i="7"/>
  <c r="O130" i="7"/>
  <c r="P130" i="7"/>
  <c r="M131" i="7"/>
  <c r="N131" i="7"/>
  <c r="O131" i="7"/>
  <c r="P131" i="7"/>
  <c r="M132" i="7"/>
  <c r="N132" i="7"/>
  <c r="O132" i="7"/>
  <c r="P132" i="7"/>
  <c r="M133" i="7"/>
  <c r="N133" i="7"/>
  <c r="O133" i="7"/>
  <c r="P133" i="7"/>
  <c r="M134" i="7"/>
  <c r="N134" i="7"/>
  <c r="O134" i="7"/>
  <c r="P134" i="7"/>
  <c r="M135" i="7"/>
  <c r="N135" i="7"/>
  <c r="O135" i="7"/>
  <c r="P135" i="7"/>
  <c r="M136" i="7"/>
  <c r="N136" i="7"/>
  <c r="O136" i="7"/>
  <c r="P136" i="7"/>
  <c r="M137" i="7"/>
  <c r="N137" i="7"/>
  <c r="O137" i="7"/>
  <c r="P137" i="7"/>
  <c r="M138" i="7"/>
  <c r="N138" i="7"/>
  <c r="O138" i="7"/>
  <c r="P138" i="7"/>
  <c r="M139" i="7"/>
  <c r="N139" i="7"/>
  <c r="O139" i="7"/>
  <c r="P139" i="7"/>
  <c r="M140" i="7"/>
  <c r="N140" i="7"/>
  <c r="O140" i="7"/>
  <c r="P140" i="7"/>
  <c r="M141" i="7"/>
  <c r="N141" i="7"/>
  <c r="O141" i="7"/>
  <c r="P141" i="7"/>
  <c r="M142" i="7"/>
  <c r="N142" i="7"/>
  <c r="O142" i="7"/>
  <c r="P142" i="7"/>
  <c r="M143" i="7"/>
  <c r="N143" i="7"/>
  <c r="O143" i="7"/>
  <c r="P143" i="7"/>
  <c r="M144" i="7"/>
  <c r="N144" i="7"/>
  <c r="O144" i="7"/>
  <c r="P144" i="7"/>
  <c r="M145" i="7"/>
  <c r="N145" i="7"/>
  <c r="O145" i="7"/>
  <c r="P145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M115" i="7"/>
  <c r="N115" i="7"/>
  <c r="O115" i="7"/>
  <c r="P115" i="7"/>
  <c r="M116" i="7"/>
  <c r="N116" i="7"/>
  <c r="O116" i="7"/>
  <c r="P116" i="7"/>
  <c r="M117" i="7"/>
  <c r="N117" i="7"/>
  <c r="O117" i="7"/>
  <c r="P117" i="7"/>
  <c r="M118" i="7"/>
  <c r="N118" i="7"/>
  <c r="O118" i="7"/>
  <c r="P118" i="7"/>
  <c r="P114" i="7"/>
  <c r="O114" i="7"/>
  <c r="N114" i="7"/>
  <c r="M114" i="7"/>
  <c r="L115" i="7"/>
  <c r="L116" i="7"/>
  <c r="L117" i="7"/>
  <c r="L118" i="7"/>
  <c r="K115" i="7"/>
  <c r="K116" i="7"/>
  <c r="K117" i="7"/>
  <c r="K118" i="7"/>
  <c r="I115" i="7"/>
  <c r="I116" i="7"/>
  <c r="I117" i="7"/>
  <c r="I118" i="7"/>
  <c r="L114" i="7"/>
  <c r="K114" i="7"/>
  <c r="I114" i="7"/>
  <c r="K103" i="7"/>
  <c r="K104" i="7"/>
  <c r="K105" i="7"/>
  <c r="K106" i="7"/>
  <c r="K107" i="7"/>
  <c r="K108" i="7"/>
  <c r="K109" i="7"/>
  <c r="K110" i="7"/>
  <c r="I103" i="7"/>
  <c r="I104" i="7"/>
  <c r="I105" i="7"/>
  <c r="I106" i="7"/>
  <c r="I107" i="7"/>
  <c r="I108" i="7"/>
  <c r="I109" i="7"/>
  <c r="I110" i="7"/>
  <c r="K91" i="7"/>
  <c r="K92" i="7"/>
  <c r="K93" i="7"/>
  <c r="K94" i="7"/>
  <c r="K95" i="7"/>
  <c r="K96" i="7"/>
  <c r="K97" i="7"/>
  <c r="K98" i="7"/>
  <c r="K99" i="7"/>
  <c r="I91" i="7"/>
  <c r="I92" i="7"/>
  <c r="I93" i="7"/>
  <c r="I94" i="7"/>
  <c r="I95" i="7"/>
  <c r="I96" i="7"/>
  <c r="I97" i="7"/>
  <c r="I98" i="7"/>
  <c r="I99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M161" i="7"/>
  <c r="N161" i="7"/>
  <c r="O161" i="7"/>
  <c r="P161" i="7"/>
  <c r="M162" i="7"/>
  <c r="N162" i="7"/>
  <c r="O162" i="7"/>
  <c r="P162" i="7"/>
  <c r="M163" i="7"/>
  <c r="N163" i="7"/>
  <c r="O163" i="7"/>
  <c r="P163" i="7"/>
  <c r="M164" i="7"/>
  <c r="N164" i="7"/>
  <c r="O164" i="7"/>
  <c r="P164" i="7"/>
  <c r="M165" i="7"/>
  <c r="N165" i="7"/>
  <c r="O165" i="7"/>
  <c r="P165" i="7"/>
  <c r="M166" i="7"/>
  <c r="N166" i="7"/>
  <c r="O166" i="7"/>
  <c r="P166" i="7"/>
  <c r="M167" i="7"/>
  <c r="N167" i="7"/>
  <c r="O167" i="7"/>
  <c r="P167" i="7"/>
  <c r="M168" i="7"/>
  <c r="N168" i="7"/>
  <c r="O168" i="7"/>
  <c r="P168" i="7"/>
  <c r="M169" i="7"/>
  <c r="N169" i="7"/>
  <c r="O169" i="7"/>
  <c r="P169" i="7"/>
  <c r="M170" i="7"/>
  <c r="N170" i="7"/>
  <c r="O170" i="7"/>
  <c r="P170" i="7"/>
  <c r="M157" i="7"/>
  <c r="N157" i="7"/>
  <c r="O157" i="7"/>
  <c r="P157" i="7"/>
  <c r="M103" i="7"/>
  <c r="N103" i="7"/>
  <c r="O103" i="7"/>
  <c r="P103" i="7"/>
  <c r="M104" i="7"/>
  <c r="N104" i="7"/>
  <c r="O104" i="7"/>
  <c r="P104" i="7"/>
  <c r="M105" i="7"/>
  <c r="N105" i="7"/>
  <c r="O105" i="7"/>
  <c r="P105" i="7"/>
  <c r="M106" i="7"/>
  <c r="N106" i="7"/>
  <c r="O106" i="7"/>
  <c r="P106" i="7"/>
  <c r="M107" i="7"/>
  <c r="N107" i="7"/>
  <c r="O107" i="7"/>
  <c r="P107" i="7"/>
  <c r="M108" i="7"/>
  <c r="N108" i="7"/>
  <c r="O108" i="7"/>
  <c r="P108" i="7"/>
  <c r="M109" i="7"/>
  <c r="N109" i="7"/>
  <c r="O109" i="7"/>
  <c r="P109" i="7"/>
  <c r="M110" i="7"/>
  <c r="N110" i="7"/>
  <c r="O110" i="7"/>
  <c r="P110" i="7"/>
  <c r="M91" i="7"/>
  <c r="N91" i="7"/>
  <c r="O91" i="7"/>
  <c r="P91" i="7"/>
  <c r="M92" i="7"/>
  <c r="N92" i="7"/>
  <c r="O92" i="7"/>
  <c r="P92" i="7"/>
  <c r="M93" i="7"/>
  <c r="N93" i="7"/>
  <c r="O93" i="7"/>
  <c r="P93" i="7"/>
  <c r="M94" i="7"/>
  <c r="N94" i="7"/>
  <c r="O94" i="7"/>
  <c r="P94" i="7"/>
  <c r="M95" i="7"/>
  <c r="N95" i="7"/>
  <c r="O95" i="7"/>
  <c r="P95" i="7"/>
  <c r="M96" i="7"/>
  <c r="N96" i="7"/>
  <c r="O96" i="7"/>
  <c r="P96" i="7"/>
  <c r="M97" i="7"/>
  <c r="N97" i="7"/>
  <c r="O97" i="7"/>
  <c r="P97" i="7"/>
  <c r="M98" i="7"/>
  <c r="N98" i="7"/>
  <c r="O98" i="7"/>
  <c r="P98" i="7"/>
  <c r="M99" i="7"/>
  <c r="N99" i="7"/>
  <c r="O99" i="7"/>
  <c r="P99" i="7"/>
  <c r="M57" i="7"/>
  <c r="N57" i="7"/>
  <c r="O57" i="7"/>
  <c r="P57" i="7"/>
  <c r="M58" i="7"/>
  <c r="N58" i="7"/>
  <c r="O58" i="7"/>
  <c r="P58" i="7"/>
  <c r="M59" i="7"/>
  <c r="N59" i="7"/>
  <c r="O59" i="7"/>
  <c r="P59" i="7"/>
  <c r="M60" i="7"/>
  <c r="N60" i="7"/>
  <c r="O60" i="7"/>
  <c r="P60" i="7"/>
  <c r="M61" i="7"/>
  <c r="N61" i="7"/>
  <c r="O61" i="7"/>
  <c r="P61" i="7"/>
  <c r="M62" i="7"/>
  <c r="N62" i="7"/>
  <c r="O62" i="7"/>
  <c r="P62" i="7"/>
  <c r="M63" i="7"/>
  <c r="N63" i="7"/>
  <c r="O63" i="7"/>
  <c r="P63" i="7"/>
  <c r="M64" i="7"/>
  <c r="N64" i="7"/>
  <c r="O64" i="7"/>
  <c r="P64" i="7"/>
  <c r="M65" i="7"/>
  <c r="N65" i="7"/>
  <c r="O65" i="7"/>
  <c r="P65" i="7"/>
  <c r="M66" i="7"/>
  <c r="N66" i="7"/>
  <c r="O66" i="7"/>
  <c r="P66" i="7"/>
  <c r="M67" i="7"/>
  <c r="N67" i="7"/>
  <c r="O67" i="7"/>
  <c r="P67" i="7"/>
  <c r="M68" i="7"/>
  <c r="N68" i="7"/>
  <c r="O68" i="7"/>
  <c r="P68" i="7"/>
  <c r="M69" i="7"/>
  <c r="N69" i="7"/>
  <c r="O69" i="7"/>
  <c r="P69" i="7"/>
  <c r="M70" i="7"/>
  <c r="N70" i="7"/>
  <c r="O70" i="7"/>
  <c r="P70" i="7"/>
  <c r="M71" i="7"/>
  <c r="N71" i="7"/>
  <c r="O71" i="7"/>
  <c r="P71" i="7"/>
  <c r="M72" i="7"/>
  <c r="N72" i="7"/>
  <c r="O72" i="7"/>
  <c r="P72" i="7"/>
  <c r="M73" i="7"/>
  <c r="N73" i="7"/>
  <c r="O73" i="7"/>
  <c r="P73" i="7"/>
  <c r="M74" i="7"/>
  <c r="N74" i="7"/>
  <c r="O74" i="7"/>
  <c r="P74" i="7"/>
  <c r="M75" i="7"/>
  <c r="N75" i="7"/>
  <c r="O75" i="7"/>
  <c r="P75" i="7"/>
  <c r="M76" i="7"/>
  <c r="N76" i="7"/>
  <c r="O76" i="7"/>
  <c r="P76" i="7"/>
  <c r="M77" i="7"/>
  <c r="N77" i="7"/>
  <c r="O77" i="7"/>
  <c r="P77" i="7"/>
  <c r="M78" i="7"/>
  <c r="N78" i="7"/>
  <c r="O78" i="7"/>
  <c r="P78" i="7"/>
  <c r="M79" i="7"/>
  <c r="N79" i="7"/>
  <c r="O79" i="7"/>
  <c r="P79" i="7"/>
  <c r="M80" i="7"/>
  <c r="N80" i="7"/>
  <c r="O80" i="7"/>
  <c r="P80" i="7"/>
  <c r="M81" i="7"/>
  <c r="N81" i="7"/>
  <c r="O81" i="7"/>
  <c r="P81" i="7"/>
  <c r="M82" i="7"/>
  <c r="N82" i="7"/>
  <c r="O82" i="7"/>
  <c r="P82" i="7"/>
  <c r="M83" i="7"/>
  <c r="N83" i="7"/>
  <c r="O83" i="7"/>
  <c r="P83" i="7"/>
  <c r="M84" i="7"/>
  <c r="N84" i="7"/>
  <c r="O84" i="7"/>
  <c r="P84" i="7"/>
  <c r="M85" i="7"/>
  <c r="N85" i="7"/>
  <c r="O85" i="7"/>
  <c r="P85" i="7"/>
  <c r="M25" i="7"/>
  <c r="N25" i="7"/>
  <c r="O25" i="7"/>
  <c r="P25" i="7"/>
  <c r="M26" i="7"/>
  <c r="N26" i="7"/>
  <c r="O26" i="7"/>
  <c r="P26" i="7"/>
  <c r="M27" i="7"/>
  <c r="N27" i="7"/>
  <c r="O27" i="7"/>
  <c r="P27" i="7"/>
  <c r="M28" i="7"/>
  <c r="N28" i="7"/>
  <c r="O28" i="7"/>
  <c r="P28" i="7"/>
  <c r="M29" i="7"/>
  <c r="N29" i="7"/>
  <c r="O29" i="7"/>
  <c r="P29" i="7"/>
  <c r="M30" i="7"/>
  <c r="N30" i="7"/>
  <c r="O30" i="7"/>
  <c r="P30" i="7"/>
  <c r="M31" i="7"/>
  <c r="N31" i="7"/>
  <c r="O31" i="7"/>
  <c r="P31" i="7"/>
  <c r="M32" i="7"/>
  <c r="N32" i="7"/>
  <c r="O32" i="7"/>
  <c r="P32" i="7"/>
  <c r="M33" i="7"/>
  <c r="N33" i="7"/>
  <c r="O33" i="7"/>
  <c r="P33" i="7"/>
  <c r="M34" i="7"/>
  <c r="N34" i="7"/>
  <c r="O34" i="7"/>
  <c r="P34" i="7"/>
  <c r="M35" i="7"/>
  <c r="N35" i="7"/>
  <c r="O35" i="7"/>
  <c r="P35" i="7"/>
  <c r="M36" i="7"/>
  <c r="N36" i="7"/>
  <c r="O36" i="7"/>
  <c r="P36" i="7"/>
  <c r="M37" i="7"/>
  <c r="N37" i="7"/>
  <c r="O37" i="7"/>
  <c r="P37" i="7"/>
  <c r="M38" i="7"/>
  <c r="N38" i="7"/>
  <c r="O38" i="7"/>
  <c r="P38" i="7"/>
  <c r="M39" i="7"/>
  <c r="N39" i="7"/>
  <c r="O39" i="7"/>
  <c r="P39" i="7"/>
  <c r="M40" i="7"/>
  <c r="N40" i="7"/>
  <c r="O40" i="7"/>
  <c r="P40" i="7"/>
  <c r="M41" i="7"/>
  <c r="N41" i="7"/>
  <c r="O41" i="7"/>
  <c r="P41" i="7"/>
  <c r="M42" i="7"/>
  <c r="N42" i="7"/>
  <c r="O42" i="7"/>
  <c r="P42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M48" i="7"/>
  <c r="N48" i="7"/>
  <c r="O48" i="7"/>
  <c r="P48" i="7"/>
  <c r="M49" i="7"/>
  <c r="N49" i="7"/>
  <c r="O49" i="7"/>
  <c r="P49" i="7"/>
  <c r="M50" i="7"/>
  <c r="N50" i="7"/>
  <c r="O50" i="7"/>
  <c r="P50" i="7"/>
  <c r="M51" i="7"/>
  <c r="N51" i="7"/>
  <c r="O51" i="7"/>
  <c r="P51" i="7"/>
  <c r="M52" i="7"/>
  <c r="N52" i="7"/>
  <c r="O52" i="7"/>
  <c r="P52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S127" i="7"/>
  <c r="H110" i="7"/>
  <c r="H109" i="7"/>
  <c r="H108" i="7"/>
  <c r="H107" i="7"/>
  <c r="H106" i="7"/>
  <c r="H105" i="7"/>
  <c r="H104" i="7"/>
  <c r="H103" i="7"/>
  <c r="H102" i="7"/>
  <c r="H99" i="7"/>
  <c r="H97" i="7"/>
  <c r="H96" i="7"/>
  <c r="H95" i="7"/>
  <c r="H91" i="7"/>
  <c r="L83" i="7"/>
  <c r="R109" i="7" l="1"/>
  <c r="Q109" i="7"/>
  <c r="J109" i="7"/>
  <c r="G109" i="7"/>
  <c r="F109" i="7"/>
  <c r="E109" i="7"/>
  <c r="D109" i="7"/>
  <c r="R92" i="7" l="1"/>
  <c r="Q92" i="7"/>
  <c r="R94" i="7"/>
  <c r="Q94" i="7"/>
  <c r="R93" i="7"/>
  <c r="Q93" i="7"/>
  <c r="R91" i="7"/>
  <c r="Q91" i="7"/>
  <c r="Q110" i="7" l="1"/>
  <c r="R110" i="7"/>
  <c r="J110" i="7"/>
  <c r="G110" i="7"/>
  <c r="F110" i="7"/>
  <c r="E110" i="7"/>
  <c r="D110" i="7"/>
  <c r="R108" i="7" l="1"/>
  <c r="Q108" i="7"/>
  <c r="J108" i="7"/>
  <c r="G108" i="7"/>
  <c r="F108" i="7"/>
  <c r="E108" i="7"/>
  <c r="D108" i="7"/>
  <c r="R103" i="7"/>
  <c r="Q103" i="7"/>
  <c r="F103" i="7"/>
  <c r="J103" i="7"/>
  <c r="G103" i="7"/>
  <c r="E103" i="7"/>
  <c r="D103" i="7"/>
  <c r="J91" i="7"/>
  <c r="G91" i="7"/>
  <c r="F91" i="7"/>
  <c r="E91" i="7"/>
  <c r="D91" i="7"/>
  <c r="R95" i="7" l="1"/>
  <c r="Q95" i="7"/>
  <c r="J95" i="7"/>
  <c r="G95" i="7"/>
  <c r="F95" i="7"/>
  <c r="E95" i="7"/>
  <c r="D95" i="7"/>
  <c r="S53" i="7" l="1"/>
  <c r="R102" i="7"/>
  <c r="Q102" i="7"/>
  <c r="J102" i="7"/>
  <c r="G102" i="7"/>
  <c r="F102" i="7"/>
  <c r="E102" i="7"/>
  <c r="D102" i="7"/>
  <c r="R97" i="7" l="1"/>
  <c r="Q97" i="7"/>
  <c r="J97" i="7"/>
  <c r="G97" i="7"/>
  <c r="F97" i="7"/>
  <c r="E97" i="7"/>
  <c r="D97" i="7"/>
  <c r="R96" i="7" l="1"/>
  <c r="Q96" i="7"/>
  <c r="J96" i="7"/>
  <c r="G96" i="7"/>
  <c r="F96" i="7"/>
  <c r="E96" i="7"/>
  <c r="D96" i="7"/>
  <c r="S171" i="7" l="1"/>
  <c r="B13" i="6" s="1"/>
  <c r="H171" i="7"/>
  <c r="P160" i="7"/>
  <c r="O160" i="7"/>
  <c r="N160" i="7"/>
  <c r="M160" i="7"/>
  <c r="L160" i="7"/>
  <c r="I160" i="7"/>
  <c r="S152" i="7"/>
  <c r="J152" i="7"/>
  <c r="H152" i="7"/>
  <c r="P151" i="7"/>
  <c r="O151" i="7"/>
  <c r="N151" i="7"/>
  <c r="M151" i="7"/>
  <c r="P150" i="7"/>
  <c r="O150" i="7"/>
  <c r="N150" i="7"/>
  <c r="M150" i="7"/>
  <c r="P149" i="7"/>
  <c r="O149" i="7"/>
  <c r="N149" i="7"/>
  <c r="M149" i="7"/>
  <c r="L149" i="7"/>
  <c r="J146" i="7"/>
  <c r="H146" i="7"/>
  <c r="S146" i="7"/>
  <c r="P122" i="7"/>
  <c r="O122" i="7"/>
  <c r="N122" i="7"/>
  <c r="M122" i="7"/>
  <c r="L122" i="7"/>
  <c r="I122" i="7"/>
  <c r="S119" i="7"/>
  <c r="J119" i="7"/>
  <c r="H119" i="7"/>
  <c r="S111" i="7"/>
  <c r="L109" i="7"/>
  <c r="L107" i="7"/>
  <c r="L105" i="7"/>
  <c r="L103" i="7"/>
  <c r="P102" i="7"/>
  <c r="L98" i="7"/>
  <c r="L96" i="7"/>
  <c r="L94" i="7"/>
  <c r="L93" i="7"/>
  <c r="L92" i="7"/>
  <c r="P90" i="7"/>
  <c r="O90" i="7"/>
  <c r="N90" i="7"/>
  <c r="M90" i="7"/>
  <c r="L90" i="7"/>
  <c r="S86" i="7"/>
  <c r="J86" i="7"/>
  <c r="H86" i="7"/>
  <c r="L85" i="7"/>
  <c r="L84" i="7"/>
  <c r="L82" i="7"/>
  <c r="L66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5" i="7"/>
  <c r="L64" i="7"/>
  <c r="L63" i="7"/>
  <c r="L62" i="7"/>
  <c r="L61" i="7"/>
  <c r="L60" i="7"/>
  <c r="L59" i="7"/>
  <c r="L58" i="7"/>
  <c r="L57" i="7"/>
  <c r="P56" i="7"/>
  <c r="O56" i="7"/>
  <c r="N56" i="7"/>
  <c r="M56" i="7"/>
  <c r="L56" i="7"/>
  <c r="J53" i="7"/>
  <c r="H53" i="7"/>
  <c r="P24" i="7"/>
  <c r="O24" i="7"/>
  <c r="N24" i="7"/>
  <c r="M24" i="7"/>
  <c r="L24" i="7"/>
  <c r="S21" i="7"/>
  <c r="B6" i="6" s="1"/>
  <c r="J21" i="7"/>
  <c r="H21" i="7"/>
  <c r="P5" i="7"/>
  <c r="O5" i="7"/>
  <c r="N5" i="7"/>
  <c r="M5" i="7"/>
  <c r="L5" i="7"/>
  <c r="I5" i="7"/>
  <c r="I161" i="7" l="1"/>
  <c r="I162" i="7"/>
  <c r="I163" i="7"/>
  <c r="I164" i="7"/>
  <c r="I165" i="7"/>
  <c r="I166" i="7"/>
  <c r="I167" i="7"/>
  <c r="I168" i="7"/>
  <c r="I169" i="7"/>
  <c r="I170" i="7"/>
  <c r="I157" i="7"/>
  <c r="B3" i="3"/>
  <c r="C5" i="2"/>
  <c r="L21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J171" i="7"/>
  <c r="L119" i="7"/>
  <c r="I24" i="7"/>
  <c r="K160" i="7"/>
  <c r="K122" i="7"/>
  <c r="I56" i="7"/>
  <c r="L86" i="7"/>
  <c r="K56" i="7"/>
  <c r="K24" i="7"/>
  <c r="H111" i="7"/>
  <c r="L91" i="7"/>
  <c r="L97" i="7"/>
  <c r="O102" i="7"/>
  <c r="N102" i="7"/>
  <c r="L104" i="7"/>
  <c r="L108" i="7"/>
  <c r="K5" i="7"/>
  <c r="S172" i="7"/>
  <c r="J111" i="7"/>
  <c r="L95" i="7"/>
  <c r="L99" i="7"/>
  <c r="M102" i="7"/>
  <c r="I102" i="7"/>
  <c r="L102" i="7"/>
  <c r="L106" i="7"/>
  <c r="L110" i="7"/>
  <c r="K149" i="7"/>
  <c r="I149" i="7"/>
  <c r="B5" i="3" l="1"/>
  <c r="C12" i="2"/>
  <c r="L171" i="7"/>
  <c r="K161" i="7"/>
  <c r="K162" i="7"/>
  <c r="K163" i="7"/>
  <c r="K164" i="7"/>
  <c r="K165" i="7"/>
  <c r="K166" i="7"/>
  <c r="K167" i="7"/>
  <c r="K168" i="7"/>
  <c r="K169" i="7"/>
  <c r="K170" i="7"/>
  <c r="K157" i="7"/>
  <c r="I90" i="7"/>
  <c r="L111" i="7"/>
  <c r="K90" i="7"/>
  <c r="K102" i="7"/>
  <c r="H172" i="7"/>
  <c r="I111" i="7" s="1"/>
  <c r="J172" i="7"/>
  <c r="L172" i="7" s="1"/>
  <c r="K171" i="7" l="1"/>
  <c r="K146" i="7"/>
  <c r="K119" i="7"/>
  <c r="K86" i="7"/>
  <c r="K152" i="7"/>
  <c r="K53" i="7"/>
  <c r="K21" i="7"/>
  <c r="I171" i="7"/>
  <c r="I146" i="7"/>
  <c r="I119" i="7"/>
  <c r="I86" i="7"/>
  <c r="I21" i="7"/>
  <c r="I53" i="7"/>
  <c r="I152" i="7"/>
  <c r="K111" i="7"/>
</calcChain>
</file>

<file path=xl/sharedStrings.xml><?xml version="1.0" encoding="utf-8"?>
<sst xmlns="http://schemas.openxmlformats.org/spreadsheetml/2006/main" count="374" uniqueCount="253">
  <si>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</si>
  <si>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</si>
  <si>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</si>
  <si>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</si>
  <si>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</si>
  <si>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</si>
  <si>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</si>
  <si>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</si>
  <si>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</si>
  <si>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</si>
  <si>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</si>
  <si>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</si>
  <si>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</si>
  <si>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</si>
  <si>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</si>
  <si>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</si>
  <si>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</si>
  <si>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</si>
  <si>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</si>
  <si>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</si>
  <si>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</si>
  <si>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</si>
  <si>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</si>
  <si>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</si>
  <si>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</si>
  <si>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</si>
  <si>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</si>
  <si>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</si>
  <si>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</si>
  <si>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</si>
  <si>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</si>
  <si>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</si>
  <si>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</si>
  <si>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</si>
  <si>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</si>
  <si>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</si>
  <si>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</si>
  <si>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</si>
  <si>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</si>
  <si>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</si>
  <si>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</si>
  <si>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</si>
  <si>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</si>
  <si>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</si>
  <si>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</si>
  <si>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</si>
  <si>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</si>
  <si>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</si>
  <si>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</si>
  <si>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</si>
  <si>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</si>
  <si>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</si>
  <si>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</si>
  <si>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</si>
  <si>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</si>
  <si>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</si>
  <si>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</si>
  <si>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</si>
  <si>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</si>
  <si>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</si>
  <si>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</si>
  <si>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</si>
  <si>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</si>
  <si>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</si>
  <si>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</si>
  <si>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</si>
  <si>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</si>
  <si>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</si>
  <si>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</si>
  <si>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</si>
  <si>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</si>
  <si>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</si>
  <si>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</si>
  <si>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</si>
  <si>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</si>
  <si>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</si>
  <si>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</si>
  <si>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</si>
  <si>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</si>
  <si>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</si>
  <si>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</si>
  <si>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</si>
  <si>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</si>
  <si>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</si>
  <si>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</si>
  <si>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</si>
  <si>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</si>
  <si>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</si>
  <si>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</si>
  <si>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</si>
  <si>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</si>
  <si>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</si>
  <si>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</si>
  <si>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</si>
  <si>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</si>
  <si>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</si>
  <si>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</si>
  <si>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</si>
  <si>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</si>
  <si>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</si>
  <si>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</si>
  <si>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</si>
  <si>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</si>
  <si>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</si>
  <si>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</si>
  <si>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</si>
  <si>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</si>
  <si>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</si>
  <si>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</si>
  <si>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</si>
  <si>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</si>
  <si>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</si>
  <si>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</si>
  <si>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</si>
  <si>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</si>
  <si>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</si>
  <si>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</si>
  <si>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</si>
  <si>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</si>
  <si>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</si>
  <si>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</si>
  <si>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</si>
  <si>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</si>
  <si>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</si>
  <si>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</si>
  <si>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</si>
  <si>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</si>
  <si>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</si>
  <si>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</si>
  <si>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</si>
  <si>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</si>
  <si>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</si>
  <si>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</si>
  <si>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</si>
  <si>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</si>
  <si>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</si>
  <si>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</si>
  <si>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</si>
  <si>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</si>
  <si>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</si>
  <si>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</si>
  <si>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</si>
  <si>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</si>
  <si>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</si>
  <si>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</si>
  <si>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</si>
  <si>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</si>
  <si>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</si>
  <si>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</si>
  <si>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</si>
  <si>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</si>
  <si>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</si>
  <si>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</si>
  <si>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</si>
  <si>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</si>
  <si>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</si>
  <si>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</si>
  <si>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</si>
  <si>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</si>
  <si>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</si>
  <si>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</si>
  <si>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</si>
  <si>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</si>
  <si>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</si>
  <si>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</si>
  <si>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</si>
  <si>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</si>
  <si>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</si>
  <si>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</si>
  <si>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</si>
  <si>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</si>
  <si>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</si>
  <si>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</si>
  <si>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</si>
  <si>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</si>
  <si>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</si>
  <si>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</si>
  <si>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</si>
  <si>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</si>
  <si>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</si>
  <si>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</si>
  <si>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</si>
  <si>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</si>
  <si>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</si>
  <si>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</si>
  <si>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</si>
  <si>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</si>
  <si>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</si>
  <si>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</si>
  <si>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</si>
  <si>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</si>
  <si>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</si>
  <si>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</si>
  <si>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</si>
  <si>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</si>
  <si>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</si>
  <si>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</si>
  <si>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</si>
  <si>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</si>
  <si>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</si>
  <si>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</si>
  <si>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</si>
  <si>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</si>
  <si>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</si>
  <si>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</si>
  <si>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</si>
  <si>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</si>
  <si>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</si>
  <si>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</si>
  <si>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</si>
  <si>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</si>
  <si>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</si>
  <si>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</si>
  <si>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700,584,387.35</t>
  </si>
  <si>
    <t>3,437,902.74</t>
  </si>
  <si>
    <t>23,358,921.85</t>
  </si>
  <si>
    <t>678,430,711.42</t>
  </si>
  <si>
    <t>18.5908</t>
  </si>
  <si>
    <t>18.7804</t>
  </si>
  <si>
    <t>1,508.00</t>
  </si>
  <si>
    <t>35,733,327.1500</t>
  </si>
  <si>
    <t>36,494,245.4300</t>
  </si>
  <si>
    <t>MONTHLY UPDATE ON REGISTERED MUTUAL FUNDS AS AT 30TH NOVEMBER, 2023</t>
  </si>
  <si>
    <t>FSDH Halal Fund</t>
  </si>
  <si>
    <t>14691269.08</t>
  </si>
  <si>
    <t>FBN Bond Fund</t>
  </si>
  <si>
    <t>% OF TOTAL</t>
  </si>
  <si>
    <t>NET ASSET VALUE (N) PREVIOUS - OCTOBER</t>
  </si>
  <si>
    <t>Cowry Equity Fund</t>
  </si>
  <si>
    <t>Chapel Hill Denham Money Market Fund</t>
  </si>
  <si>
    <t>Coral Money Market Fund</t>
  </si>
  <si>
    <t>Cowry Fixed Income Fund</t>
  </si>
  <si>
    <t>Marble Halal Commodities Fund</t>
  </si>
  <si>
    <t>Marble Capital Limited</t>
  </si>
  <si>
    <t>Utica Capital Limited</t>
  </si>
  <si>
    <t>Marble Halal Fixed Income Fund</t>
  </si>
  <si>
    <t>Utica Custodian Assured Fixed Income Fund</t>
  </si>
  <si>
    <t>359,969,041.68</t>
  </si>
  <si>
    <t>AXA Mansard Dollar Bond Fund</t>
  </si>
  <si>
    <t>Housing Solution Fund</t>
  </si>
  <si>
    <t>Fundco Capital Managers Limited</t>
  </si>
  <si>
    <t>95</t>
  </si>
  <si>
    <t>2,150,402,958.69</t>
  </si>
  <si>
    <t>24,391,360.66</t>
  </si>
  <si>
    <t>19,789,522.82</t>
  </si>
  <si>
    <t>4,624,656.23</t>
  </si>
  <si>
    <t>2,149,914,392.74</t>
  </si>
  <si>
    <t>101.32</t>
  </si>
  <si>
    <t>Cowry Balanced Fund</t>
  </si>
  <si>
    <r>
      <t>US$/NG</t>
    </r>
    <r>
      <rPr>
        <strike/>
        <sz val="10"/>
        <color theme="0"/>
        <rFont val="Times New Roman"/>
        <family val="1"/>
      </rPr>
      <t>N</t>
    </r>
    <r>
      <rPr>
        <sz val="10"/>
        <color theme="0"/>
        <rFont val="Times New Roman"/>
        <family val="1"/>
      </rPr>
      <t xml:space="preserve"> I&amp;E as at 30th November, 2023 = N942.617</t>
    </r>
  </si>
  <si>
    <t>October 2023</t>
  </si>
  <si>
    <t>November 2023</t>
  </si>
  <si>
    <t>The chart above shows that the Money Market Fund has the highest share of the Aggregate Net Asset Value (NAV) at 40.78%, followed by Dollar Fund (Eurobonds and Fixed Income) with 35.65%, Bond/Fixed Income Fund with 13.80%, Real Estate Investment Trust at 4.43%.  Next is Shari'ah Compliant Fund at 2.19%, Balanced Fund at 1.91%, Equity Fund at 1.09% and Ethical Fund at 0.16%.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</si>
</sst>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  <numFmt numFmtId="169" formatCode="_-* #,##0_-;\-* #,##0_-;_-* &quot;-&quot;??_-;_-@_-"/>
  </numFmts>
  <fonts count="37">
    <font>
      <sz val="11"/>
      <color theme="1"/>
      <name val="Calibri"/>
      <charset val="134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8"/>
      <color theme="0"/>
      <name val="Century Gothic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0"/>
      <color indexed="8"/>
      <name val="Calibri"/>
      <family val="2"/>
    </font>
    <font>
      <b/>
      <sz val="10"/>
      <name val="Century Gothic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trike/>
      <sz val="10"/>
      <color theme="0"/>
      <name val="Times New Roman"/>
      <family val="1"/>
    </font>
    <font>
      <sz val="10"/>
      <color indexed="8"/>
      <name val="Arial Narrow"/>
      <family val="2"/>
    </font>
    <font>
      <b/>
      <sz val="9"/>
      <name val="Century Gothic"/>
      <family val="2"/>
    </font>
    <font>
      <sz val="11"/>
      <name val="Calibri"/>
      <charset val="134"/>
      <scheme val="minor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8"/>
      <name val="Century Gothic"/>
      <family val="2"/>
    </font>
    <font>
      <b/>
      <sz val="32"/>
      <color indexed="9"/>
      <name val="Segoe UI Black"/>
      <family val="2"/>
    </font>
    <font>
      <b/>
      <sz val="8"/>
      <name val="Century Gothic"/>
      <family val="2"/>
    </font>
    <font>
      <b/>
      <sz val="8"/>
      <color rgb="FF00B050"/>
      <name val="Century Gothic"/>
      <family val="2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color theme="0"/>
      <name val="Calibri"/>
      <charset val="134"/>
      <scheme val="minor"/>
    </font>
    <font>
      <b/>
      <sz val="8"/>
      <color theme="9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20651875362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8">
    <xf numFmtId="0" fontId="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2" fillId="0" borderId="0"/>
    <xf numFmtId="9" fontId="10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43" fontId="1" fillId="0" borderId="0" xfId="3" applyFont="1"/>
    <xf numFmtId="4" fontId="4" fillId="2" borderId="2" xfId="0" applyNumberFormat="1" applyFont="1" applyFill="1" applyBorder="1"/>
    <xf numFmtId="166" fontId="5" fillId="2" borderId="2" xfId="0" applyNumberFormat="1" applyFont="1" applyFill="1" applyBorder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wrapText="1"/>
    </xf>
    <xf numFmtId="0" fontId="2" fillId="0" borderId="0" xfId="0" applyFont="1" applyAlignment="1">
      <alignment horizontal="right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/>
    <xf numFmtId="164" fontId="6" fillId="2" borderId="0" xfId="1" applyFont="1" applyFill="1" applyBorder="1" applyAlignment="1">
      <alignment horizontal="right" vertical="top" wrapText="1"/>
    </xf>
    <xf numFmtId="164" fontId="4" fillId="2" borderId="0" xfId="1" applyFont="1" applyFill="1" applyBorder="1" applyAlignment="1">
      <alignment horizontal="right" vertical="top" wrapText="1"/>
    </xf>
    <xf numFmtId="0" fontId="9" fillId="0" borderId="0" xfId="0" applyFont="1"/>
    <xf numFmtId="0" fontId="13" fillId="0" borderId="0" xfId="0" applyFont="1"/>
    <xf numFmtId="0" fontId="17" fillId="2" borderId="0" xfId="0" applyFont="1" applyFill="1"/>
    <xf numFmtId="0" fontId="13" fillId="2" borderId="0" xfId="0" applyFont="1" applyFill="1"/>
    <xf numFmtId="164" fontId="13" fillId="2" borderId="0" xfId="1" applyFont="1" applyFill="1" applyBorder="1" applyAlignment="1"/>
    <xf numFmtId="0" fontId="18" fillId="7" borderId="0" xfId="0" applyFont="1" applyFill="1" applyAlignment="1">
      <alignment horizontal="right" vertical="center"/>
    </xf>
    <xf numFmtId="0" fontId="18" fillId="7" borderId="0" xfId="0" applyFont="1" applyFill="1" applyAlignment="1">
      <alignment horizontal="left"/>
    </xf>
    <xf numFmtId="0" fontId="20" fillId="2" borderId="0" xfId="0" applyFont="1" applyFill="1"/>
    <xf numFmtId="166" fontId="15" fillId="2" borderId="0" xfId="0" applyNumberFormat="1" applyFont="1" applyFill="1"/>
    <xf numFmtId="168" fontId="15" fillId="2" borderId="0" xfId="0" applyNumberFormat="1" applyFont="1" applyFill="1"/>
    <xf numFmtId="0" fontId="22" fillId="0" borderId="0" xfId="0" applyFont="1"/>
    <xf numFmtId="0" fontId="24" fillId="0" borderId="2" xfId="0" applyFont="1" applyBorder="1" applyAlignment="1">
      <alignment horizontal="right"/>
    </xf>
    <xf numFmtId="164" fontId="25" fillId="2" borderId="2" xfId="1" applyFont="1" applyFill="1" applyBorder="1"/>
    <xf numFmtId="43" fontId="9" fillId="0" borderId="0" xfId="3" applyFont="1"/>
    <xf numFmtId="4" fontId="25" fillId="2" borderId="2" xfId="0" applyNumberFormat="1" applyFont="1" applyFill="1" applyBorder="1"/>
    <xf numFmtId="4" fontId="25" fillId="2" borderId="2" xfId="0" applyNumberFormat="1" applyFont="1" applyFill="1" applyBorder="1" applyAlignment="1">
      <alignment horizontal="right"/>
    </xf>
    <xf numFmtId="16" fontId="23" fillId="2" borderId="0" xfId="0" applyNumberFormat="1" applyFont="1" applyFill="1"/>
    <xf numFmtId="164" fontId="25" fillId="2" borderId="0" xfId="1" applyFont="1" applyFill="1" applyBorder="1"/>
    <xf numFmtId="164" fontId="9" fillId="0" borderId="0" xfId="1" applyFont="1" applyBorder="1"/>
    <xf numFmtId="4" fontId="26" fillId="2" borderId="0" xfId="0" applyNumberFormat="1" applyFont="1" applyFill="1"/>
    <xf numFmtId="166" fontId="27" fillId="2" borderId="0" xfId="0" applyNumberFormat="1" applyFont="1" applyFill="1"/>
    <xf numFmtId="166" fontId="27" fillId="2" borderId="2" xfId="0" applyNumberFormat="1" applyFont="1" applyFill="1" applyBorder="1" applyAlignment="1">
      <alignment horizontal="left"/>
    </xf>
    <xf numFmtId="164" fontId="27" fillId="0" borderId="2" xfId="1" applyFont="1" applyBorder="1" applyAlignment="1">
      <alignment vertical="center"/>
    </xf>
    <xf numFmtId="167" fontId="27" fillId="2" borderId="2" xfId="0" applyNumberFormat="1" applyFont="1" applyFill="1" applyBorder="1" applyAlignment="1">
      <alignment horizontal="center" wrapText="1"/>
    </xf>
    <xf numFmtId="49" fontId="27" fillId="2" borderId="2" xfId="0" applyNumberFormat="1" applyFont="1" applyFill="1" applyBorder="1" applyAlignment="1">
      <alignment wrapText="1"/>
    </xf>
    <xf numFmtId="164" fontId="27" fillId="2" borderId="2" xfId="1" applyFont="1" applyFill="1" applyBorder="1" applyAlignment="1"/>
    <xf numFmtId="10" fontId="27" fillId="2" borderId="2" xfId="0" applyNumberFormat="1" applyFont="1" applyFill="1" applyBorder="1" applyAlignment="1">
      <alignment horizontal="center"/>
    </xf>
    <xf numFmtId="10" fontId="27" fillId="9" borderId="2" xfId="0" applyNumberFormat="1" applyFont="1" applyFill="1" applyBorder="1" applyAlignment="1">
      <alignment horizontal="center" vertical="center"/>
    </xf>
    <xf numFmtId="166" fontId="27" fillId="9" borderId="2" xfId="0" applyNumberFormat="1" applyFont="1" applyFill="1" applyBorder="1" applyAlignment="1">
      <alignment horizontal="right" vertical="center"/>
    </xf>
    <xf numFmtId="164" fontId="27" fillId="2" borderId="2" xfId="1" applyFont="1" applyFill="1" applyBorder="1"/>
    <xf numFmtId="164" fontId="27" fillId="2" borderId="2" xfId="1" applyFont="1" applyFill="1" applyBorder="1" applyAlignment="1">
      <alignment horizontal="right"/>
    </xf>
    <xf numFmtId="164" fontId="27" fillId="0" borderId="2" xfId="1" applyFont="1" applyBorder="1" applyAlignment="1">
      <alignment horizontal="right"/>
    </xf>
    <xf numFmtId="49" fontId="27" fillId="2" borderId="2" xfId="0" applyNumberFormat="1" applyFont="1" applyFill="1" applyBorder="1"/>
    <xf numFmtId="0" fontId="27" fillId="2" borderId="2" xfId="0" applyFont="1" applyFill="1" applyBorder="1" applyAlignment="1">
      <alignment wrapText="1"/>
    </xf>
    <xf numFmtId="4" fontId="27" fillId="2" borderId="2" xfId="0" applyNumberFormat="1" applyFont="1" applyFill="1" applyBorder="1"/>
    <xf numFmtId="164" fontId="27" fillId="2" borderId="2" xfId="1" applyFont="1" applyFill="1" applyBorder="1" applyAlignment="1">
      <alignment horizontal="center" vertical="top" wrapText="1"/>
    </xf>
    <xf numFmtId="10" fontId="16" fillId="5" borderId="2" xfId="0" applyNumberFormat="1" applyFont="1" applyFill="1" applyBorder="1"/>
    <xf numFmtId="164" fontId="16" fillId="5" borderId="2" xfId="1" applyFont="1" applyFill="1" applyBorder="1"/>
    <xf numFmtId="10" fontId="27" fillId="6" borderId="2" xfId="0" applyNumberFormat="1" applyFont="1" applyFill="1" applyBorder="1" applyAlignment="1">
      <alignment horizontal="center" vertical="center"/>
    </xf>
    <xf numFmtId="166" fontId="27" fillId="6" borderId="2" xfId="0" applyNumberFormat="1" applyFont="1" applyFill="1" applyBorder="1" applyAlignment="1">
      <alignment horizontal="right" vertical="center"/>
    </xf>
    <xf numFmtId="4" fontId="27" fillId="2" borderId="2" xfId="0" applyNumberFormat="1" applyFont="1" applyFill="1" applyBorder="1" applyAlignment="1">
      <alignment wrapText="1"/>
    </xf>
    <xf numFmtId="10" fontId="29" fillId="2" borderId="2" xfId="0" applyNumberFormat="1" applyFont="1" applyFill="1" applyBorder="1" applyAlignment="1">
      <alignment horizontal="center"/>
    </xf>
    <xf numFmtId="164" fontId="29" fillId="2" borderId="2" xfId="1" applyFont="1" applyFill="1" applyBorder="1"/>
    <xf numFmtId="166" fontId="27" fillId="6" borderId="2" xfId="0" applyNumberFormat="1" applyFont="1" applyFill="1" applyBorder="1" applyAlignment="1">
      <alignment horizontal="center" vertical="center"/>
    </xf>
    <xf numFmtId="164" fontId="29" fillId="2" borderId="2" xfId="1" applyFont="1" applyFill="1" applyBorder="1" applyAlignment="1"/>
    <xf numFmtId="164" fontId="27" fillId="2" borderId="2" xfId="1" applyFont="1" applyFill="1" applyBorder="1" applyAlignment="1">
      <alignment wrapText="1"/>
    </xf>
    <xf numFmtId="167" fontId="27" fillId="2" borderId="2" xfId="0" applyNumberFormat="1" applyFont="1" applyFill="1" applyBorder="1" applyAlignment="1">
      <alignment horizontal="right" wrapText="1"/>
    </xf>
    <xf numFmtId="164" fontId="29" fillId="2" borderId="2" xfId="1" applyFont="1" applyFill="1" applyBorder="1" applyAlignment="1">
      <alignment horizontal="left"/>
    </xf>
    <xf numFmtId="164" fontId="27" fillId="2" borderId="2" xfId="1" applyFont="1" applyFill="1" applyBorder="1" applyAlignment="1">
      <alignment horizontal="left"/>
    </xf>
    <xf numFmtId="10" fontId="29" fillId="5" borderId="2" xfId="0" applyNumberFormat="1" applyFont="1" applyFill="1" applyBorder="1"/>
    <xf numFmtId="164" fontId="29" fillId="5" borderId="2" xfId="1" applyFont="1" applyFill="1" applyBorder="1"/>
    <xf numFmtId="49" fontId="14" fillId="5" borderId="2" xfId="0" applyNumberFormat="1" applyFont="1" applyFill="1" applyBorder="1" applyAlignment="1">
      <alignment horizontal="center" vertical="top" wrapText="1"/>
    </xf>
    <xf numFmtId="164" fontId="14" fillId="5" borderId="2" xfId="1" applyFont="1" applyFill="1" applyBorder="1" applyAlignment="1">
      <alignment horizontal="center" vertical="top" wrapText="1"/>
    </xf>
    <xf numFmtId="164" fontId="27" fillId="0" borderId="2" xfId="1" applyFont="1" applyBorder="1"/>
    <xf numFmtId="164" fontId="27" fillId="8" borderId="2" xfId="1" applyFont="1" applyFill="1" applyBorder="1" applyAlignment="1">
      <alignment horizontal="right"/>
    </xf>
    <xf numFmtId="164" fontId="27" fillId="0" borderId="2" xfId="1" applyFont="1" applyBorder="1" applyAlignment="1"/>
    <xf numFmtId="10" fontId="27" fillId="6" borderId="2" xfId="0" applyNumberFormat="1" applyFont="1" applyFill="1" applyBorder="1" applyAlignment="1">
      <alignment horizontal="right" vertical="center"/>
    </xf>
    <xf numFmtId="10" fontId="27" fillId="5" borderId="2" xfId="0" applyNumberFormat="1" applyFont="1" applyFill="1" applyBorder="1" applyAlignment="1">
      <alignment horizontal="right" vertical="center"/>
    </xf>
    <xf numFmtId="166" fontId="27" fillId="5" borderId="2" xfId="0" applyNumberFormat="1" applyFont="1" applyFill="1" applyBorder="1" applyAlignment="1">
      <alignment horizontal="right" vertical="center"/>
    </xf>
    <xf numFmtId="164" fontId="27" fillId="5" borderId="2" xfId="1" applyFont="1" applyFill="1" applyBorder="1"/>
    <xf numFmtId="164" fontId="27" fillId="2" borderId="2" xfId="1" applyFont="1" applyFill="1" applyBorder="1" applyAlignment="1">
      <alignment horizontal="right" vertical="top" wrapText="1"/>
    </xf>
    <xf numFmtId="164" fontId="27" fillId="0" borderId="2" xfId="1" applyFont="1" applyFill="1" applyBorder="1" applyAlignment="1"/>
    <xf numFmtId="10" fontId="30" fillId="2" borderId="2" xfId="0" applyNumberFormat="1" applyFont="1" applyFill="1" applyBorder="1" applyAlignment="1">
      <alignment horizontal="center"/>
    </xf>
    <xf numFmtId="164" fontId="27" fillId="2" borderId="2" xfId="1" applyFont="1" applyFill="1" applyBorder="1" applyAlignment="1">
      <alignment vertical="center" wrapText="1"/>
    </xf>
    <xf numFmtId="164" fontId="27" fillId="8" borderId="2" xfId="1" applyFont="1" applyFill="1" applyBorder="1"/>
    <xf numFmtId="164" fontId="27" fillId="8" borderId="2" xfId="1" applyFont="1" applyFill="1" applyBorder="1" applyAlignment="1">
      <alignment horizontal="left"/>
    </xf>
    <xf numFmtId="164" fontId="27" fillId="2" borderId="2" xfId="1" applyFont="1" applyFill="1" applyBorder="1" applyAlignment="1">
      <alignment vertical="top" wrapText="1"/>
    </xf>
    <xf numFmtId="10" fontId="29" fillId="5" borderId="2" xfId="0" applyNumberFormat="1" applyFont="1" applyFill="1" applyBorder="1" applyAlignment="1">
      <alignment horizontal="center"/>
    </xf>
    <xf numFmtId="169" fontId="27" fillId="2" borderId="2" xfId="1" applyNumberFormat="1" applyFont="1" applyFill="1" applyBorder="1" applyAlignment="1">
      <alignment horizontal="center" wrapText="1"/>
    </xf>
    <xf numFmtId="169" fontId="27" fillId="2" borderId="2" xfId="1" applyNumberFormat="1" applyFont="1" applyFill="1" applyBorder="1" applyAlignment="1">
      <alignment horizontal="right" vertical="top" wrapText="1"/>
    </xf>
    <xf numFmtId="166" fontId="27" fillId="2" borderId="2" xfId="0" applyNumberFormat="1" applyFont="1" applyFill="1" applyBorder="1" applyAlignment="1">
      <alignment horizontal="right" wrapText="1"/>
    </xf>
    <xf numFmtId="43" fontId="28" fillId="4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 vertical="top" wrapText="1"/>
    </xf>
    <xf numFmtId="164" fontId="29" fillId="2" borderId="2" xfId="1" applyFont="1" applyFill="1" applyBorder="1" applyAlignment="1">
      <alignment horizontal="right"/>
    </xf>
    <xf numFmtId="167" fontId="27" fillId="2" borderId="2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 vertical="top" wrapText="1"/>
    </xf>
    <xf numFmtId="49" fontId="27" fillId="2" borderId="2" xfId="0" applyNumberFormat="1" applyFont="1" applyFill="1" applyBorder="1" applyAlignment="1">
      <alignment horizontal="center" wrapText="1"/>
    </xf>
    <xf numFmtId="166" fontId="21" fillId="2" borderId="2" xfId="0" applyNumberFormat="1" applyFont="1" applyFill="1" applyBorder="1" applyAlignment="1">
      <alignment horizontal="center" wrapText="1"/>
    </xf>
    <xf numFmtId="167" fontId="27" fillId="2" borderId="2" xfId="0" applyNumberFormat="1" applyFont="1" applyFill="1" applyBorder="1" applyAlignment="1">
      <alignment horizontal="center" wrapText="1"/>
    </xf>
    <xf numFmtId="164" fontId="16" fillId="5" borderId="2" xfId="1" applyFont="1" applyFill="1" applyBorder="1" applyAlignment="1">
      <alignment horizontal="right"/>
    </xf>
    <xf numFmtId="0" fontId="21" fillId="2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16" fontId="2" fillId="2" borderId="0" xfId="0" quotePrefix="1" applyNumberFormat="1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43" fontId="1" fillId="0" borderId="0" xfId="3" applyFont="1" applyBorder="1"/>
    <xf numFmtId="43" fontId="32" fillId="0" borderId="0" xfId="3" applyFont="1" applyBorder="1"/>
    <xf numFmtId="0" fontId="33" fillId="0" borderId="2" xfId="0" applyFont="1" applyBorder="1" applyAlignment="1">
      <alignment horizontal="right"/>
    </xf>
    <xf numFmtId="16" fontId="33" fillId="2" borderId="2" xfId="0" quotePrefix="1" applyNumberFormat="1" applyFont="1" applyFill="1" applyBorder="1" applyAlignment="1">
      <alignment horizontal="right"/>
    </xf>
    <xf numFmtId="164" fontId="34" fillId="2" borderId="2" xfId="1" applyFont="1" applyFill="1" applyBorder="1" applyAlignment="1">
      <alignment horizontal="right" vertical="top" wrapText="1"/>
    </xf>
    <xf numFmtId="164" fontId="34" fillId="2" borderId="2" xfId="1" applyFont="1" applyFill="1" applyBorder="1"/>
    <xf numFmtId="4" fontId="34" fillId="2" borderId="2" xfId="0" applyNumberFormat="1" applyFont="1" applyFill="1" applyBorder="1"/>
    <xf numFmtId="4" fontId="34" fillId="2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5" fillId="0" borderId="0" xfId="0" applyFont="1"/>
    <xf numFmtId="0" fontId="2" fillId="0" borderId="1" xfId="0" applyFont="1" applyBorder="1" applyAlignment="1">
      <alignment horizontal="right"/>
    </xf>
    <xf numFmtId="0" fontId="31" fillId="0" borderId="0" xfId="0" applyFont="1" applyAlignment="1">
      <alignment horizontal="right"/>
    </xf>
    <xf numFmtId="165" fontId="1" fillId="0" borderId="0" xfId="3" applyNumberFormat="1" applyFont="1"/>
    <xf numFmtId="10" fontId="36" fillId="2" borderId="2" xfId="0" applyNumberFormat="1" applyFont="1" applyFill="1" applyBorder="1" applyAlignment="1">
      <alignment horizontal="center"/>
    </xf>
  </cellXfs>
  <cellStyles count="8">
    <cellStyle name="Comma" xfId="1" builtinId="3"/>
    <cellStyle name="Comma 10 13" xfId="2" xr:uid="{00000000-0005-0000-0000-000001000000}"/>
    <cellStyle name="Comma 2" xfId="3" xr:uid="{00000000-0005-0000-0000-000002000000}"/>
    <cellStyle name="Comma 3 2" xfId="4" xr:uid="{00000000-0005-0000-0000-000003000000}"/>
    <cellStyle name="Normal" xfId="0" builtinId="0"/>
    <cellStyle name="Normal 2" xfId="5" xr:uid="{00000000-0005-0000-0000-000006000000}"/>
    <cellStyle name="Normal 27 2" xfId="6" xr:uid="{00000000-0005-0000-0000-000007000000}"/>
    <cellStyle name="Percent 2 2" xfId="7" xr:uid="{00000000-0005-0000-0000-000008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8E-2"/>
          <c:y val="0.12704992830139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October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22.54790675089</c:v>
                </c:pt>
                <c:pt idx="1">
                  <c:v>864.77026955073995</c:v>
                </c:pt>
                <c:pt idx="2">
                  <c:v>297.86882694543999</c:v>
                </c:pt>
                <c:pt idx="3">
                  <c:v>648.61294131015234</c:v>
                </c:pt>
                <c:pt idx="4">
                  <c:v>92.89143036821001</c:v>
                </c:pt>
                <c:pt idx="5">
                  <c:v>39.71452184284999</c:v>
                </c:pt>
                <c:pt idx="6">
                  <c:v>3.89449754942</c:v>
                </c:pt>
                <c:pt idx="7">
                  <c:v>46.293023793199723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A-4359-9F0D-FE85636E117C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November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23.04667578047</c:v>
                </c:pt>
                <c:pt idx="1">
                  <c:v>865.75717689171017</c:v>
                </c:pt>
                <c:pt idx="2">
                  <c:v>292.87024288021001</c:v>
                </c:pt>
                <c:pt idx="3">
                  <c:v>756.91777952978691</c:v>
                </c:pt>
                <c:pt idx="4">
                  <c:v>93.995813289460003</c:v>
                </c:pt>
                <c:pt idx="5">
                  <c:v>40.559468372719998</c:v>
                </c:pt>
                <c:pt idx="6">
                  <c:v>3.4718177890600002</c:v>
                </c:pt>
                <c:pt idx="7">
                  <c:v>46.39761833500841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A-4359-9F0D-FE85636E11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November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FB-4C10-9AB4-42CC08E056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FB-4C10-9AB4-42CC08E056A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FB-4C10-9AB4-42CC08E056A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FB-4C10-9AB4-42CC08E056A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FB-4C10-9AB4-42CC08E056A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EFB-4C10-9AB4-42CC08E056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EFB-4C10-9AB4-42CC08E056A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EFB-4C10-9AB4-42CC08E056A6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B-4C10-9AB4-42CC08E056A6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B-4C10-9AB4-42CC08E056A6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B-4C10-9AB4-42CC08E056A6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B-4C10-9AB4-42CC08E056A6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B-4C10-9AB4-42CC08E056A6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FB-4C10-9AB4-42CC08E056A6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FB-4C10-9AB4-42CC08E056A6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FB-4C10-9AB4-42CC08E056A6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3471817789.0599999</c:v>
                </c:pt>
                <c:pt idx="1">
                  <c:v>23046675780.470001</c:v>
                </c:pt>
                <c:pt idx="2" formatCode="#,##0.00">
                  <c:v>40559468372.720001</c:v>
                </c:pt>
                <c:pt idx="3" formatCode="#,##0.00">
                  <c:v>46397618335.008408</c:v>
                </c:pt>
                <c:pt idx="4" formatCode="#,##0.00">
                  <c:v>93995813289.460007</c:v>
                </c:pt>
                <c:pt idx="5" formatCode="#,##0.00">
                  <c:v>292870242880.21002</c:v>
                </c:pt>
                <c:pt idx="6" formatCode="#,##0.00">
                  <c:v>756917779529.78687</c:v>
                </c:pt>
                <c:pt idx="7" formatCode="#,##0.00">
                  <c:v>865757176891.71021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FB-4C10-9AB4-42CC08E056A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47379</c:v>
                </c:pt>
                <c:pt idx="1">
                  <c:v>254575</c:v>
                </c:pt>
                <c:pt idx="2">
                  <c:v>44102</c:v>
                </c:pt>
                <c:pt idx="3">
                  <c:v>12628</c:v>
                </c:pt>
                <c:pt idx="4">
                  <c:v>216982</c:v>
                </c:pt>
                <c:pt idx="5">
                  <c:v>67954</c:v>
                </c:pt>
                <c:pt idx="6">
                  <c:v>11288</c:v>
                </c:pt>
                <c:pt idx="7">
                  <c:v>25361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643-B890-E38BB02CC0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272415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4"/>
  <sheetViews>
    <sheetView tabSelected="1" zoomScaleNormal="100" workbookViewId="0">
      <pane ySplit="2" topLeftCell="A3" activePane="bottomLeft" state="frozen"/>
      <selection pane="bottomLeft" activeCell="A3" sqref="A3:U3"/>
    </sheetView>
  </sheetViews>
  <sheetFormatPr defaultColWidth="9" defaultRowHeight="12.75"/>
  <cols>
    <col min="1" max="1" width="6.7109375" style="18" customWidth="1"/>
    <col min="2" max="2" width="53.7109375" style="18" customWidth="1"/>
    <col min="3" max="3" width="55.5703125" style="18" customWidth="1"/>
    <col min="4" max="4" width="21.5703125" style="18" customWidth="1"/>
    <col min="5" max="5" width="19.28515625" style="18" customWidth="1"/>
    <col min="6" max="6" width="19.7109375" style="18" customWidth="1"/>
    <col min="7" max="7" width="20" style="18" customWidth="1"/>
    <col min="8" max="8" width="22" style="18" customWidth="1"/>
    <col min="9" max="9" width="9" style="18"/>
    <col min="10" max="10" width="23" style="18" customWidth="1"/>
    <col min="11" max="11" width="9" style="18"/>
    <col min="12" max="12" width="11.5703125" style="18" customWidth="1"/>
    <col min="13" max="13" width="12.140625" style="18" customWidth="1"/>
    <col min="14" max="14" width="12.5703125" style="18" customWidth="1"/>
    <col min="15" max="15" width="14.42578125" style="18" bestFit="1" customWidth="1"/>
    <col min="16" max="16" width="12.7109375" style="18" customWidth="1"/>
    <col min="17" max="18" width="14.42578125" style="18" customWidth="1"/>
    <col min="19" max="19" width="13.7109375" style="18" customWidth="1"/>
    <col min="20" max="20" width="20.85546875" style="18" customWidth="1"/>
    <col min="21" max="21" width="21.28515625" style="18" customWidth="1"/>
    <col min="22" max="16384" width="9" style="18"/>
  </cols>
  <sheetData>
    <row r="1" spans="1:21" ht="40.5" customHeight="1">
      <c r="A1" s="88" t="s">
        <v>222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ht="48" customHeight="1">
      <c r="A2" s="68" t="s">
        <v>0</v>
      </c>
      <c r="B2" s="68" t="s">
        <v>1</v>
      </c>
      <c r="C2" s="68" t="s">
        <v>2</v>
      </c>
      <c r="D2" s="68" t="s">
        <v>3</v>
      </c>
      <c r="E2" s="68" t="s">
        <v>4</v>
      </c>
      <c r="F2" s="68" t="s">
        <v>5</v>
      </c>
      <c r="G2" s="69" t="s">
        <v>6</v>
      </c>
      <c r="H2" s="68" t="s">
        <v>227</v>
      </c>
      <c r="I2" s="68" t="s">
        <v>226</v>
      </c>
      <c r="J2" s="68" t="s">
        <v>7</v>
      </c>
      <c r="K2" s="68" t="s">
        <v>226</v>
      </c>
      <c r="L2" s="68" t="s">
        <v>8</v>
      </c>
      <c r="M2" s="68" t="s">
        <v>9</v>
      </c>
      <c r="N2" s="68" t="s">
        <v>10</v>
      </c>
      <c r="O2" s="68" t="s">
        <v>11</v>
      </c>
      <c r="P2" s="68" t="s">
        <v>12</v>
      </c>
      <c r="Q2" s="68" t="s">
        <v>13</v>
      </c>
      <c r="R2" s="68" t="s">
        <v>14</v>
      </c>
      <c r="S2" s="68" t="s">
        <v>15</v>
      </c>
      <c r="T2" s="68" t="s">
        <v>16</v>
      </c>
      <c r="U2" s="68" t="s">
        <v>17</v>
      </c>
    </row>
    <row r="3" spans="1:21" ht="6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21" ht="17.25" customHeight="1">
      <c r="A4" s="89" t="s">
        <v>18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15" customHeight="1">
      <c r="A5" s="85">
        <v>1</v>
      </c>
      <c r="B5" s="62" t="s">
        <v>19</v>
      </c>
      <c r="C5" s="62" t="s">
        <v>20</v>
      </c>
      <c r="D5" s="46">
        <v>736029671.85000002</v>
      </c>
      <c r="E5" s="46">
        <v>8533471.4100000001</v>
      </c>
      <c r="F5" s="46">
        <v>1366721.15</v>
      </c>
      <c r="G5" s="42">
        <v>7166750.2599999998</v>
      </c>
      <c r="H5" s="65">
        <v>705761438.03999996</v>
      </c>
      <c r="I5" s="43">
        <f>(H5/$H$21)</f>
        <v>3.130053028147025E-2</v>
      </c>
      <c r="J5" s="65">
        <v>748758543.25999999</v>
      </c>
      <c r="K5" s="43">
        <f>(J5/$J$21)</f>
        <v>3.2488787120201777E-2</v>
      </c>
      <c r="L5" s="43">
        <f t="shared" ref="L5:L21" si="0">((J5-H5)/H5)</f>
        <v>6.0923001601517243E-2</v>
      </c>
      <c r="M5" s="55">
        <f t="shared" ref="M5" si="1">(F5/J5)</f>
        <v>1.825316268245126E-3</v>
      </c>
      <c r="N5" s="55">
        <f t="shared" ref="N5" si="2">G5/J5</f>
        <v>9.5715105016323087E-3</v>
      </c>
      <c r="O5" s="56">
        <f t="shared" ref="O5" si="3">J5/U5</f>
        <v>293.74178614066392</v>
      </c>
      <c r="P5" s="56">
        <f t="shared" ref="P5" si="4">G5/U5</f>
        <v>2.8115525908135965</v>
      </c>
      <c r="Q5" s="46">
        <v>293.74</v>
      </c>
      <c r="R5" s="46">
        <v>297.79000000000002</v>
      </c>
      <c r="S5" s="46">
        <v>1726</v>
      </c>
      <c r="T5" s="46">
        <v>2511256.21</v>
      </c>
      <c r="U5" s="46">
        <v>2549036.5299999998</v>
      </c>
    </row>
    <row r="6" spans="1:21" ht="14.25">
      <c r="A6" s="85">
        <v>2</v>
      </c>
      <c r="B6" s="62" t="s">
        <v>21</v>
      </c>
      <c r="C6" s="62" t="s">
        <v>22</v>
      </c>
      <c r="D6" s="46">
        <v>492306620.42000002</v>
      </c>
      <c r="E6" s="46">
        <v>1562667.48</v>
      </c>
      <c r="F6" s="46">
        <v>5848698.6299999999</v>
      </c>
      <c r="G6" s="42">
        <v>-4286031.1500000004</v>
      </c>
      <c r="H6" s="65">
        <v>487335131.87</v>
      </c>
      <c r="I6" s="43">
        <f t="shared" ref="I6:I20" si="5">(H6/$H$21)</f>
        <v>2.1613320351822202E-2</v>
      </c>
      <c r="J6" s="65">
        <v>493306974.68000001</v>
      </c>
      <c r="K6" s="43">
        <f t="shared" ref="K6:K20" si="6">(J6/$J$21)</f>
        <v>2.1404691044338533E-2</v>
      </c>
      <c r="L6" s="43">
        <f t="shared" si="0"/>
        <v>1.2254078188627355E-2</v>
      </c>
      <c r="M6" s="55">
        <f t="shared" ref="M6:M20" si="7">(F6/J6)</f>
        <v>1.1856103664039927E-2</v>
      </c>
      <c r="N6" s="55">
        <f t="shared" ref="N6:N20" si="8">G6/J6</f>
        <v>-8.688365196499152E-3</v>
      </c>
      <c r="O6" s="56">
        <f t="shared" ref="O6:O20" si="9">J6/U6</f>
        <v>182.0043091060073</v>
      </c>
      <c r="P6" s="56">
        <f t="shared" ref="P6:P20" si="10">G6/U6</f>
        <v>-1.5813199048495075</v>
      </c>
      <c r="Q6" s="46">
        <v>183.11</v>
      </c>
      <c r="R6" s="46">
        <v>185.51</v>
      </c>
      <c r="S6" s="46">
        <v>285</v>
      </c>
      <c r="T6" s="46">
        <v>2710313.43</v>
      </c>
      <c r="U6" s="46">
        <v>2710413.71</v>
      </c>
    </row>
    <row r="7" spans="1:21" ht="14.25">
      <c r="A7" s="85">
        <v>3</v>
      </c>
      <c r="B7" s="62" t="s">
        <v>23</v>
      </c>
      <c r="C7" s="46" t="s">
        <v>24</v>
      </c>
      <c r="D7" s="46">
        <v>2722718868.9200001</v>
      </c>
      <c r="E7" s="46">
        <v>10414963.91</v>
      </c>
      <c r="F7" s="70">
        <v>6146855.0099999998</v>
      </c>
      <c r="G7" s="42">
        <v>23375133.98</v>
      </c>
      <c r="H7" s="70">
        <v>3185685313</v>
      </c>
      <c r="I7" s="43">
        <f t="shared" si="5"/>
        <v>0.14128519104658158</v>
      </c>
      <c r="J7" s="65">
        <v>3195423444</v>
      </c>
      <c r="K7" s="43">
        <f t="shared" si="6"/>
        <v>0.13865008014335134</v>
      </c>
      <c r="L7" s="43">
        <f t="shared" si="0"/>
        <v>3.0568402221842431E-3</v>
      </c>
      <c r="M7" s="55">
        <f t="shared" si="7"/>
        <v>1.9236433348268317E-3</v>
      </c>
      <c r="N7" s="55">
        <f t="shared" si="8"/>
        <v>7.315191363414182E-3</v>
      </c>
      <c r="O7" s="56">
        <f t="shared" si="9"/>
        <v>29.650050447120574</v>
      </c>
      <c r="P7" s="56">
        <f t="shared" si="10"/>
        <v>0.21689579295557124</v>
      </c>
      <c r="Q7" s="46">
        <v>29.501799999999999</v>
      </c>
      <c r="R7" s="46">
        <v>30.391400000000001</v>
      </c>
      <c r="S7" s="46">
        <v>6341</v>
      </c>
      <c r="T7" s="46">
        <v>108121954</v>
      </c>
      <c r="U7" s="46">
        <v>107771265</v>
      </c>
    </row>
    <row r="8" spans="1:21" ht="14.25">
      <c r="A8" s="85">
        <v>4</v>
      </c>
      <c r="B8" s="80" t="s">
        <v>25</v>
      </c>
      <c r="C8" s="80" t="s">
        <v>26</v>
      </c>
      <c r="D8" s="46">
        <v>388287813.36000001</v>
      </c>
      <c r="E8" s="46">
        <v>592836.18000000005</v>
      </c>
      <c r="F8" s="46">
        <v>769663.86</v>
      </c>
      <c r="G8" s="42">
        <v>-176827.68</v>
      </c>
      <c r="H8" s="65">
        <v>413897606.10000002</v>
      </c>
      <c r="I8" s="43">
        <f t="shared" si="5"/>
        <v>1.8356364990894904E-2</v>
      </c>
      <c r="J8" s="65">
        <v>460037318.63</v>
      </c>
      <c r="K8" s="43">
        <f t="shared" si="6"/>
        <v>1.9961113828825611E-2</v>
      </c>
      <c r="L8" s="43">
        <f t="shared" si="0"/>
        <v>0.11147615219318846</v>
      </c>
      <c r="M8" s="55">
        <f t="shared" si="7"/>
        <v>1.6730465743346079E-3</v>
      </c>
      <c r="N8" s="55">
        <f t="shared" si="8"/>
        <v>-3.8437681648653254E-4</v>
      </c>
      <c r="O8" s="56">
        <f t="shared" si="9"/>
        <v>194.44558848873038</v>
      </c>
      <c r="P8" s="56">
        <f t="shared" si="10"/>
        <v>-7.4740376283148544E-2</v>
      </c>
      <c r="Q8" s="46">
        <v>194.44560000000001</v>
      </c>
      <c r="R8" s="46">
        <v>194.44560000000001</v>
      </c>
      <c r="S8" s="46">
        <v>1695</v>
      </c>
      <c r="T8" s="70">
        <v>2221474.67</v>
      </c>
      <c r="U8" s="46">
        <v>2365892.29</v>
      </c>
    </row>
    <row r="9" spans="1:21" ht="14.25">
      <c r="A9" s="85">
        <v>5</v>
      </c>
      <c r="B9" s="62" t="s">
        <v>228</v>
      </c>
      <c r="C9" s="62" t="s">
        <v>46</v>
      </c>
      <c r="D9" s="46">
        <v>33603480.229999997</v>
      </c>
      <c r="E9" s="46">
        <v>773398.68</v>
      </c>
      <c r="F9" s="46">
        <v>181534.97</v>
      </c>
      <c r="G9" s="46">
        <v>591863.71</v>
      </c>
      <c r="H9" s="47">
        <v>123644681.22</v>
      </c>
      <c r="I9" s="43">
        <f t="shared" si="5"/>
        <v>5.4836434524069321E-3</v>
      </c>
      <c r="J9" s="70">
        <v>123749125.16</v>
      </c>
      <c r="K9" s="43">
        <f t="shared" si="6"/>
        <v>5.3694999807679996E-3</v>
      </c>
      <c r="L9" s="43">
        <f t="shared" si="0"/>
        <v>8.4471033423719492E-4</v>
      </c>
      <c r="M9" s="55">
        <f t="shared" si="7"/>
        <v>1.4669596230703567E-3</v>
      </c>
      <c r="N9" s="55">
        <f t="shared" si="8"/>
        <v>4.7827708618930166E-3</v>
      </c>
      <c r="O9" s="56">
        <f t="shared" si="9"/>
        <v>133.08441102176857</v>
      </c>
      <c r="P9" s="56">
        <f t="shared" si="10"/>
        <v>0.63651224320710853</v>
      </c>
      <c r="Q9" s="46">
        <v>132.8535</v>
      </c>
      <c r="R9" s="46">
        <v>133.64320000000001</v>
      </c>
      <c r="S9" s="46">
        <v>61</v>
      </c>
      <c r="T9" s="39">
        <v>958470.46</v>
      </c>
      <c r="U9" s="46">
        <v>929854.4</v>
      </c>
    </row>
    <row r="10" spans="1:21" ht="14.25">
      <c r="A10" s="85">
        <v>6</v>
      </c>
      <c r="B10" s="62" t="s">
        <v>27</v>
      </c>
      <c r="C10" s="62" t="s">
        <v>28</v>
      </c>
      <c r="D10" s="70">
        <v>766956621.58000004</v>
      </c>
      <c r="E10" s="70">
        <v>1871875.42</v>
      </c>
      <c r="F10" s="70">
        <v>3799582.13</v>
      </c>
      <c r="G10" s="70">
        <v>12083605.74</v>
      </c>
      <c r="H10" s="47">
        <v>718038024.95000005</v>
      </c>
      <c r="I10" s="43">
        <f t="shared" si="5"/>
        <v>3.1844997093650747E-2</v>
      </c>
      <c r="J10" s="70">
        <v>766956621.58000004</v>
      </c>
      <c r="K10" s="43">
        <f t="shared" si="6"/>
        <v>3.3278405479627883E-2</v>
      </c>
      <c r="L10" s="43">
        <f t="shared" si="0"/>
        <v>6.8128142145962814E-2</v>
      </c>
      <c r="M10" s="55">
        <f t="shared" si="7"/>
        <v>4.9541030393251148E-3</v>
      </c>
      <c r="N10" s="55">
        <f t="shared" si="8"/>
        <v>1.5755266204112925E-2</v>
      </c>
      <c r="O10" s="56">
        <f t="shared" si="9"/>
        <v>234.11619692619124</v>
      </c>
      <c r="P10" s="56">
        <f t="shared" si="10"/>
        <v>3.6885630052666669</v>
      </c>
      <c r="Q10" s="70">
        <v>234.12</v>
      </c>
      <c r="R10" s="70">
        <v>236.98</v>
      </c>
      <c r="S10" s="70">
        <v>1577</v>
      </c>
      <c r="T10" s="70">
        <v>3138236.9</v>
      </c>
      <c r="U10" s="70">
        <v>3275965.66</v>
      </c>
    </row>
    <row r="11" spans="1:21" ht="14.25">
      <c r="A11" s="85">
        <v>7</v>
      </c>
      <c r="B11" s="62" t="s">
        <v>29</v>
      </c>
      <c r="C11" s="46" t="s">
        <v>30</v>
      </c>
      <c r="D11" s="46">
        <v>320215437.17000002</v>
      </c>
      <c r="E11" s="46">
        <v>3334176.3</v>
      </c>
      <c r="F11" s="46">
        <v>1117268</v>
      </c>
      <c r="G11" s="42">
        <v>2216908.2999999998</v>
      </c>
      <c r="H11" s="65">
        <v>300677488.77999997</v>
      </c>
      <c r="I11" s="43">
        <f t="shared" si="5"/>
        <v>1.3335051102609859E-2</v>
      </c>
      <c r="J11" s="65">
        <v>301924410.87</v>
      </c>
      <c r="K11" s="43">
        <f t="shared" si="6"/>
        <v>1.3100562256612035E-2</v>
      </c>
      <c r="L11" s="43">
        <f t="shared" si="0"/>
        <v>4.1470417192169071E-3</v>
      </c>
      <c r="M11" s="55">
        <f t="shared" si="7"/>
        <v>3.7004891283237895E-3</v>
      </c>
      <c r="N11" s="55">
        <f t="shared" si="8"/>
        <v>7.3425937757465292E-3</v>
      </c>
      <c r="O11" s="56">
        <f t="shared" si="9"/>
        <v>151.8706195458133</v>
      </c>
      <c r="P11" s="56">
        <f t="shared" si="10"/>
        <v>1.1151242657958578</v>
      </c>
      <c r="Q11" s="46">
        <v>151.87</v>
      </c>
      <c r="R11" s="46">
        <v>156.58000000000001</v>
      </c>
      <c r="S11" s="46">
        <v>2470</v>
      </c>
      <c r="T11" s="46">
        <v>1988037</v>
      </c>
      <c r="U11" s="46">
        <v>1988037</v>
      </c>
    </row>
    <row r="12" spans="1:21" ht="14.25">
      <c r="A12" s="85">
        <v>8</v>
      </c>
      <c r="B12" s="62" t="s">
        <v>31</v>
      </c>
      <c r="C12" s="62" t="s">
        <v>32</v>
      </c>
      <c r="D12" s="46">
        <v>43950706.450000003</v>
      </c>
      <c r="E12" s="46">
        <v>13335882.960000001</v>
      </c>
      <c r="F12" s="46">
        <v>139360.51</v>
      </c>
      <c r="G12" s="42">
        <v>139360.51</v>
      </c>
      <c r="H12" s="65">
        <v>43888325.469999999</v>
      </c>
      <c r="I12" s="43">
        <f t="shared" si="5"/>
        <v>1.9464478878185737E-3</v>
      </c>
      <c r="J12" s="65">
        <v>43888325.469999999</v>
      </c>
      <c r="K12" s="43">
        <f t="shared" si="6"/>
        <v>1.9043234646096525E-3</v>
      </c>
      <c r="L12" s="43">
        <f t="shared" si="0"/>
        <v>0</v>
      </c>
      <c r="M12" s="55">
        <f t="shared" si="7"/>
        <v>3.175343522624492E-3</v>
      </c>
      <c r="N12" s="55">
        <f t="shared" si="8"/>
        <v>3.175343522624492E-3</v>
      </c>
      <c r="O12" s="56">
        <f t="shared" si="9"/>
        <v>173.47164217391304</v>
      </c>
      <c r="P12" s="56">
        <f t="shared" si="10"/>
        <v>0.55083205533596846</v>
      </c>
      <c r="Q12" s="46">
        <v>178.57</v>
      </c>
      <c r="R12" s="46">
        <v>184.17</v>
      </c>
      <c r="S12" s="46">
        <v>4</v>
      </c>
      <c r="T12" s="46">
        <v>253000</v>
      </c>
      <c r="U12" s="46">
        <v>253000</v>
      </c>
    </row>
    <row r="13" spans="1:21" ht="14.25">
      <c r="A13" s="85">
        <v>9</v>
      </c>
      <c r="B13" s="46" t="s">
        <v>33</v>
      </c>
      <c r="C13" s="46" t="s">
        <v>34</v>
      </c>
      <c r="D13" s="46">
        <v>524149293.27999997</v>
      </c>
      <c r="E13" s="46">
        <v>1272348.4099999999</v>
      </c>
      <c r="F13" s="46">
        <v>1044551.24</v>
      </c>
      <c r="G13" s="42">
        <v>-3683852.84</v>
      </c>
      <c r="H13" s="70">
        <v>528828023.98000002</v>
      </c>
      <c r="I13" s="43">
        <f t="shared" si="5"/>
        <v>2.3453530734471678E-2</v>
      </c>
      <c r="J13" s="65">
        <v>525700405.48000002</v>
      </c>
      <c r="K13" s="43">
        <f t="shared" si="6"/>
        <v>2.2810248666121479E-2</v>
      </c>
      <c r="L13" s="43">
        <f t="shared" si="0"/>
        <v>-5.9142450062712347E-3</v>
      </c>
      <c r="M13" s="55">
        <f t="shared" si="7"/>
        <v>1.9869705807935493E-3</v>
      </c>
      <c r="N13" s="55">
        <f t="shared" si="8"/>
        <v>-7.0075137884597844E-3</v>
      </c>
      <c r="O13" s="56">
        <f t="shared" si="9"/>
        <v>1.6559566094874669</v>
      </c>
      <c r="P13" s="56">
        <f t="shared" si="10"/>
        <v>-1.1604138774074541E-2</v>
      </c>
      <c r="Q13" s="46">
        <v>1.63</v>
      </c>
      <c r="R13" s="46">
        <v>1.68</v>
      </c>
      <c r="S13" s="46">
        <v>360</v>
      </c>
      <c r="T13" s="46">
        <v>316975921.00999999</v>
      </c>
      <c r="U13" s="46">
        <v>317460253.76999998</v>
      </c>
    </row>
    <row r="14" spans="1:21" ht="14.25">
      <c r="A14" s="85">
        <v>10</v>
      </c>
      <c r="B14" s="62" t="s">
        <v>35</v>
      </c>
      <c r="C14" s="46" t="s">
        <v>36</v>
      </c>
      <c r="D14" s="70">
        <v>1320299987.9400001</v>
      </c>
      <c r="E14" s="70">
        <v>7512229.5099999998</v>
      </c>
      <c r="F14" s="70">
        <v>2011027.48</v>
      </c>
      <c r="G14" s="70">
        <v>5501202.0300000003</v>
      </c>
      <c r="H14" s="65">
        <v>1305381093.1600001</v>
      </c>
      <c r="I14" s="43">
        <f t="shared" si="5"/>
        <v>5.7893670910647822E-2</v>
      </c>
      <c r="J14" s="70">
        <v>1314265917.21</v>
      </c>
      <c r="K14" s="43">
        <f t="shared" si="6"/>
        <v>5.7026268331666428E-2</v>
      </c>
      <c r="L14" s="43">
        <f t="shared" si="0"/>
        <v>6.8063066766901169E-3</v>
      </c>
      <c r="M14" s="55">
        <f t="shared" si="7"/>
        <v>1.5301526530255962E-3</v>
      </c>
      <c r="N14" s="55">
        <f t="shared" si="8"/>
        <v>4.1857602468138803E-3</v>
      </c>
      <c r="O14" s="56">
        <f t="shared" si="9"/>
        <v>2.6762925825192623</v>
      </c>
      <c r="P14" s="56">
        <f t="shared" si="10"/>
        <v>1.1202319100751985E-2</v>
      </c>
      <c r="Q14" s="46">
        <v>2.65</v>
      </c>
      <c r="R14" s="46">
        <v>2.7</v>
      </c>
      <c r="S14" s="46">
        <v>3671</v>
      </c>
      <c r="T14" s="70">
        <v>491074587</v>
      </c>
      <c r="U14" s="70">
        <v>491077069</v>
      </c>
    </row>
    <row r="15" spans="1:21" ht="14.25">
      <c r="A15" s="85">
        <v>11</v>
      </c>
      <c r="B15" s="62" t="s">
        <v>37</v>
      </c>
      <c r="C15" s="62" t="s">
        <v>38</v>
      </c>
      <c r="D15" s="70">
        <v>455482951.88999999</v>
      </c>
      <c r="E15" s="70">
        <v>867630.2</v>
      </c>
      <c r="F15" s="70">
        <v>752358.82</v>
      </c>
      <c r="G15" s="81">
        <v>115271.38</v>
      </c>
      <c r="H15" s="82">
        <v>437894210.43000001</v>
      </c>
      <c r="I15" s="43">
        <f t="shared" si="5"/>
        <v>1.9420614750090524E-2</v>
      </c>
      <c r="J15" s="82">
        <v>473068974.00999999</v>
      </c>
      <c r="K15" s="43">
        <f t="shared" si="6"/>
        <v>2.0526560034783137E-2</v>
      </c>
      <c r="L15" s="43">
        <f t="shared" si="0"/>
        <v>8.0327080701659281E-2</v>
      </c>
      <c r="M15" s="55">
        <f t="shared" si="7"/>
        <v>1.5903787002190851E-3</v>
      </c>
      <c r="N15" s="55">
        <f t="shared" si="8"/>
        <v>2.4366717399134134E-4</v>
      </c>
      <c r="O15" s="56">
        <f t="shared" si="9"/>
        <v>17.238334645665606</v>
      </c>
      <c r="P15" s="56">
        <f t="shared" si="10"/>
        <v>4.2004162874263685E-3</v>
      </c>
      <c r="Q15" s="70">
        <v>17.25</v>
      </c>
      <c r="R15" s="70">
        <v>17.39</v>
      </c>
      <c r="S15" s="70">
        <v>267</v>
      </c>
      <c r="T15" s="70">
        <v>26476136.989999998</v>
      </c>
      <c r="U15" s="70">
        <v>27442846.640000001</v>
      </c>
    </row>
    <row r="16" spans="1:21" ht="14.25">
      <c r="A16" s="85">
        <v>12</v>
      </c>
      <c r="B16" s="80" t="s">
        <v>39</v>
      </c>
      <c r="C16" s="80" t="s">
        <v>40</v>
      </c>
      <c r="D16" s="46">
        <v>284103568.76999998</v>
      </c>
      <c r="E16" s="46">
        <v>1169117.47</v>
      </c>
      <c r="F16" s="46">
        <v>559966.88</v>
      </c>
      <c r="G16" s="42">
        <v>609150.59</v>
      </c>
      <c r="H16" s="65">
        <v>349548332.99000001</v>
      </c>
      <c r="I16" s="43">
        <f t="shared" si="5"/>
        <v>1.5502473770706135E-2</v>
      </c>
      <c r="J16" s="65">
        <v>290910474.69999999</v>
      </c>
      <c r="K16" s="43">
        <f t="shared" si="6"/>
        <v>1.2622665301974726E-2</v>
      </c>
      <c r="L16" s="43">
        <f t="shared" si="0"/>
        <v>-0.16775321967184878</v>
      </c>
      <c r="M16" s="55">
        <f t="shared" si="7"/>
        <v>1.9248769937812076E-3</v>
      </c>
      <c r="N16" s="55">
        <f t="shared" si="8"/>
        <v>2.0939451926857691E-3</v>
      </c>
      <c r="O16" s="56">
        <f t="shared" si="9"/>
        <v>2.096012906371469</v>
      </c>
      <c r="P16" s="56">
        <f t="shared" si="10"/>
        <v>4.3889361491038642E-3</v>
      </c>
      <c r="Q16" s="46">
        <v>2.09</v>
      </c>
      <c r="R16" s="46">
        <v>2.11</v>
      </c>
      <c r="S16" s="46">
        <v>16</v>
      </c>
      <c r="T16" s="46">
        <v>138792310.78</v>
      </c>
      <c r="U16" s="46">
        <v>138792310.78</v>
      </c>
    </row>
    <row r="17" spans="1:21" ht="14.25">
      <c r="A17" s="85">
        <v>13</v>
      </c>
      <c r="B17" s="62" t="s">
        <v>41</v>
      </c>
      <c r="C17" s="62" t="s">
        <v>42</v>
      </c>
      <c r="D17" s="46">
        <v>1058963727.58</v>
      </c>
      <c r="E17" s="46">
        <v>4143441</v>
      </c>
      <c r="F17" s="46">
        <v>1753356.51</v>
      </c>
      <c r="G17" s="42">
        <v>2390084.4900000002</v>
      </c>
      <c r="H17" s="65">
        <v>1011139679.92</v>
      </c>
      <c r="I17" s="43">
        <f t="shared" si="5"/>
        <v>4.4844059854030074E-2</v>
      </c>
      <c r="J17" s="65">
        <v>1053842513.27</v>
      </c>
      <c r="K17" s="43">
        <f t="shared" si="6"/>
        <v>4.5726443297433694E-2</v>
      </c>
      <c r="L17" s="43">
        <f t="shared" si="0"/>
        <v>4.2232378174871563E-2</v>
      </c>
      <c r="M17" s="55">
        <f t="shared" si="7"/>
        <v>1.6637746987065998E-3</v>
      </c>
      <c r="N17" s="55">
        <f t="shared" si="8"/>
        <v>2.2679712195171689E-3</v>
      </c>
      <c r="O17" s="56">
        <f t="shared" si="9"/>
        <v>25.651422315447675</v>
      </c>
      <c r="P17" s="56">
        <f t="shared" si="10"/>
        <v>5.817668755111579E-2</v>
      </c>
      <c r="Q17" s="46">
        <v>25.33</v>
      </c>
      <c r="R17" s="46">
        <v>25.84</v>
      </c>
      <c r="S17" s="46">
        <v>8866</v>
      </c>
      <c r="T17" s="46">
        <v>41051231</v>
      </c>
      <c r="U17" s="46">
        <v>41083200</v>
      </c>
    </row>
    <row r="18" spans="1:21" ht="14.25">
      <c r="A18" s="85">
        <v>14</v>
      </c>
      <c r="B18" s="46" t="s">
        <v>43</v>
      </c>
      <c r="C18" s="62" t="s">
        <v>44</v>
      </c>
      <c r="D18" s="70">
        <v>515636171.91000003</v>
      </c>
      <c r="E18" s="70">
        <v>2294576.4900000002</v>
      </c>
      <c r="F18" s="70">
        <v>578559.86</v>
      </c>
      <c r="G18" s="70">
        <v>17540930.420000002</v>
      </c>
      <c r="H18" s="70">
        <v>503891990.31</v>
      </c>
      <c r="I18" s="43">
        <f t="shared" si="5"/>
        <v>2.2347617270064797E-2</v>
      </c>
      <c r="J18" s="70">
        <v>521348688.08999997</v>
      </c>
      <c r="K18" s="43">
        <f t="shared" si="6"/>
        <v>2.2621426753952793E-2</v>
      </c>
      <c r="L18" s="43">
        <f t="shared" si="0"/>
        <v>3.4643729441423382E-2</v>
      </c>
      <c r="M18" s="55">
        <f t="shared" si="7"/>
        <v>1.1097368675072291E-3</v>
      </c>
      <c r="N18" s="55">
        <f t="shared" si="8"/>
        <v>3.3645295021768475E-2</v>
      </c>
      <c r="O18" s="56">
        <f t="shared" si="9"/>
        <v>5125.6007673427575</v>
      </c>
      <c r="P18" s="56">
        <f t="shared" si="10"/>
        <v>172.45234998104996</v>
      </c>
      <c r="Q18" s="46">
        <v>5088.0600000000004</v>
      </c>
      <c r="R18" s="46">
        <v>5151.33</v>
      </c>
      <c r="S18" s="46">
        <v>20</v>
      </c>
      <c r="T18" s="70">
        <v>101714.65</v>
      </c>
      <c r="U18" s="70">
        <v>101714.65</v>
      </c>
    </row>
    <row r="19" spans="1:21" ht="14.25">
      <c r="A19" s="85">
        <v>15</v>
      </c>
      <c r="B19" s="62" t="s">
        <v>45</v>
      </c>
      <c r="C19" s="62" t="s">
        <v>44</v>
      </c>
      <c r="D19" s="70">
        <v>9873981069.8799992</v>
      </c>
      <c r="E19" s="70">
        <v>57582878.710000001</v>
      </c>
      <c r="F19" s="70">
        <v>27450812.210000001</v>
      </c>
      <c r="G19" s="70">
        <v>195043110.91</v>
      </c>
      <c r="H19" s="70">
        <v>9889686490.6700001</v>
      </c>
      <c r="I19" s="43">
        <f t="shared" si="5"/>
        <v>0.43860774305710837</v>
      </c>
      <c r="J19" s="70">
        <v>10084699239.059999</v>
      </c>
      <c r="K19" s="43">
        <f t="shared" si="6"/>
        <v>0.43757717317331646</v>
      </c>
      <c r="L19" s="43">
        <f t="shared" si="0"/>
        <v>1.9718799840012704E-2</v>
      </c>
      <c r="M19" s="55">
        <f t="shared" si="7"/>
        <v>2.7220258690192436E-3</v>
      </c>
      <c r="N19" s="55">
        <f t="shared" si="8"/>
        <v>1.9340498540061576E-2</v>
      </c>
      <c r="O19" s="56">
        <f t="shared" si="9"/>
        <v>17425.420628349511</v>
      </c>
      <c r="P19" s="56">
        <f t="shared" si="10"/>
        <v>337.01632222255262</v>
      </c>
      <c r="Q19" s="46">
        <v>17298.810000000001</v>
      </c>
      <c r="R19" s="46">
        <v>17512.189999999999</v>
      </c>
      <c r="S19" s="46">
        <v>17144</v>
      </c>
      <c r="T19" s="70">
        <v>578473.85</v>
      </c>
      <c r="U19" s="70">
        <v>578734.91</v>
      </c>
    </row>
    <row r="20" spans="1:21" ht="14.25">
      <c r="A20" s="85">
        <v>16</v>
      </c>
      <c r="B20" s="62" t="s">
        <v>47</v>
      </c>
      <c r="C20" s="62" t="s">
        <v>48</v>
      </c>
      <c r="D20" s="70">
        <v>1786589140</v>
      </c>
      <c r="E20" s="70">
        <v>13160217</v>
      </c>
      <c r="F20" s="70">
        <v>4893742</v>
      </c>
      <c r="G20" s="70">
        <v>14627219</v>
      </c>
      <c r="H20" s="70">
        <v>2542608920</v>
      </c>
      <c r="I20" s="43">
        <f t="shared" si="5"/>
        <v>0.11276474344562559</v>
      </c>
      <c r="J20" s="70">
        <v>2648794805</v>
      </c>
      <c r="K20" s="43">
        <f t="shared" si="6"/>
        <v>0.11493175112241641</v>
      </c>
      <c r="L20" s="43">
        <f t="shared" si="0"/>
        <v>4.1762570784971524E-2</v>
      </c>
      <c r="M20" s="55">
        <f t="shared" si="7"/>
        <v>1.8475353359808482E-3</v>
      </c>
      <c r="N20" s="55">
        <f t="shared" si="8"/>
        <v>5.522216735093604E-3</v>
      </c>
      <c r="O20" s="56">
        <f t="shared" si="9"/>
        <v>1.3004330476562354</v>
      </c>
      <c r="P20" s="56">
        <f t="shared" si="10"/>
        <v>7.1812731386360412E-3</v>
      </c>
      <c r="Q20" s="70">
        <v>1.3</v>
      </c>
      <c r="R20" s="70">
        <v>1.22</v>
      </c>
      <c r="S20" s="70">
        <v>2876</v>
      </c>
      <c r="T20" s="70">
        <v>2026308610</v>
      </c>
      <c r="U20" s="70">
        <v>2036855961</v>
      </c>
    </row>
    <row r="21" spans="1:21" ht="14.25">
      <c r="A21" s="90" t="s">
        <v>49</v>
      </c>
      <c r="B21" s="90"/>
      <c r="C21" s="90"/>
      <c r="D21" s="90"/>
      <c r="E21" s="90"/>
      <c r="F21" s="90"/>
      <c r="G21" s="90"/>
      <c r="H21" s="64">
        <f>SUM(H5:H20)</f>
        <v>22547906750.889999</v>
      </c>
      <c r="I21" s="79">
        <f>(H21/$H$172)</f>
        <v>1.1181186325606654E-2</v>
      </c>
      <c r="J21" s="64">
        <f>SUM(J5:J20)</f>
        <v>23046675780.470001</v>
      </c>
      <c r="K21" s="79">
        <f>(J21/$J$172)</f>
        <v>1.0855626780255846E-2</v>
      </c>
      <c r="L21" s="43">
        <f t="shared" si="0"/>
        <v>2.2120413885440372E-2</v>
      </c>
      <c r="M21" s="55"/>
      <c r="N21" s="55"/>
      <c r="O21" s="56"/>
      <c r="P21" s="56"/>
      <c r="Q21" s="46"/>
      <c r="R21" s="46"/>
      <c r="S21" s="59">
        <f>SUM(S5:S20)</f>
        <v>47379</v>
      </c>
      <c r="T21" s="46"/>
      <c r="U21" s="46"/>
    </row>
    <row r="22" spans="1:21" ht="6.75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</row>
    <row r="23" spans="1:21">
      <c r="A23" s="92" t="s">
        <v>50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</row>
    <row r="24" spans="1:21" ht="13.5" customHeight="1">
      <c r="A24" s="85">
        <v>17</v>
      </c>
      <c r="B24" s="62" t="s">
        <v>51</v>
      </c>
      <c r="C24" s="62" t="s">
        <v>20</v>
      </c>
      <c r="D24" s="70">
        <v>925604604.19000006</v>
      </c>
      <c r="E24" s="70">
        <v>8220003.8200000003</v>
      </c>
      <c r="F24" s="70">
        <v>1832590.33</v>
      </c>
      <c r="G24" s="42">
        <v>6387413.4900000002</v>
      </c>
      <c r="H24" s="81">
        <v>809250351.65999997</v>
      </c>
      <c r="I24" s="43">
        <f t="shared" ref="I24:I52" si="11">(H24/$H$53)</f>
        <v>9.3579807279963107E-4</v>
      </c>
      <c r="J24" s="81">
        <v>908516530.36000001</v>
      </c>
      <c r="K24" s="43">
        <f t="shared" ref="K24:K52" si="12">(J24/$J$53)</f>
        <v>1.0493895454864225E-3</v>
      </c>
      <c r="L24" s="43">
        <f t="shared" ref="L24:L53" si="13">((J24-H24)/H24)</f>
        <v>0.12266436276039573</v>
      </c>
      <c r="M24" s="55">
        <f t="shared" ref="M24" si="14">(F24/J24)</f>
        <v>2.0171238153188424E-3</v>
      </c>
      <c r="N24" s="55">
        <f t="shared" ref="N24" si="15">G24/J24</f>
        <v>7.0305968868491419E-3</v>
      </c>
      <c r="O24" s="60">
        <f t="shared" ref="O24" si="16">J24/U24</f>
        <v>101.2508775410471</v>
      </c>
      <c r="P24" s="60">
        <f t="shared" ref="P24" si="17">G24/U24</f>
        <v>0.71185410443082942</v>
      </c>
      <c r="Q24" s="46">
        <v>100</v>
      </c>
      <c r="R24" s="46">
        <v>100</v>
      </c>
      <c r="S24" s="46">
        <v>747</v>
      </c>
      <c r="T24" s="78">
        <v>8486370</v>
      </c>
      <c r="U24" s="70">
        <v>8972925</v>
      </c>
    </row>
    <row r="25" spans="1:21" ht="15" customHeight="1">
      <c r="A25" s="85">
        <v>18</v>
      </c>
      <c r="B25" s="62" t="s">
        <v>52</v>
      </c>
      <c r="C25" s="62" t="s">
        <v>53</v>
      </c>
      <c r="D25" s="46">
        <v>4334468912.29</v>
      </c>
      <c r="E25" s="46">
        <v>54454151.340000004</v>
      </c>
      <c r="F25" s="46">
        <v>7217501.0599999996</v>
      </c>
      <c r="G25" s="42">
        <v>47236650.280000001</v>
      </c>
      <c r="H25" s="46">
        <v>4034410602.7600002</v>
      </c>
      <c r="I25" s="43">
        <f t="shared" si="11"/>
        <v>4.6652975302399462E-3</v>
      </c>
      <c r="J25" s="46">
        <v>4332966555.5500002</v>
      </c>
      <c r="K25" s="43">
        <f t="shared" si="12"/>
        <v>5.0048289187811981E-3</v>
      </c>
      <c r="L25" s="43">
        <f t="shared" si="13"/>
        <v>7.4002371644014964E-2</v>
      </c>
      <c r="M25" s="55">
        <f t="shared" ref="M25:M52" si="18">(F25/J25)</f>
        <v>1.6657181557875778E-3</v>
      </c>
      <c r="N25" s="55">
        <f t="shared" ref="N25:N52" si="19">G25/J25</f>
        <v>1.0901688179313461E-2</v>
      </c>
      <c r="O25" s="60">
        <f t="shared" ref="O25:O52" si="20">J25/U25</f>
        <v>102.44722239933365</v>
      </c>
      <c r="P25" s="60">
        <f t="shared" ref="P25:P52" si="21">G25/U25</f>
        <v>1.1168476734343129</v>
      </c>
      <c r="Q25" s="46">
        <v>100</v>
      </c>
      <c r="R25" s="46">
        <v>100</v>
      </c>
      <c r="S25" s="46">
        <v>1259</v>
      </c>
      <c r="T25" s="46">
        <v>39227686.939999998</v>
      </c>
      <c r="U25" s="46">
        <v>42294622.090000004</v>
      </c>
    </row>
    <row r="26" spans="1:21" ht="14.25">
      <c r="A26" s="85">
        <v>19</v>
      </c>
      <c r="B26" s="62" t="s">
        <v>54</v>
      </c>
      <c r="C26" s="62" t="s">
        <v>22</v>
      </c>
      <c r="D26" s="46">
        <v>376832247.61000001</v>
      </c>
      <c r="E26" s="46">
        <v>3353428.89</v>
      </c>
      <c r="F26" s="46">
        <v>560907.79</v>
      </c>
      <c r="G26" s="42">
        <v>2792521.1</v>
      </c>
      <c r="H26" s="46">
        <v>464925332.55000001</v>
      </c>
      <c r="I26" s="43">
        <f t="shared" si="11"/>
        <v>5.3762871934940031E-4</v>
      </c>
      <c r="J26" s="46">
        <v>377906663.77999997</v>
      </c>
      <c r="K26" s="43">
        <f t="shared" si="12"/>
        <v>4.3650422297021157E-4</v>
      </c>
      <c r="L26" s="43">
        <f t="shared" si="13"/>
        <v>-0.18716697645345381</v>
      </c>
      <c r="M26" s="55">
        <f t="shared" si="18"/>
        <v>1.4842495350294617E-3</v>
      </c>
      <c r="N26" s="55">
        <f t="shared" si="19"/>
        <v>7.3894465688111779E-3</v>
      </c>
      <c r="O26" s="60">
        <f t="shared" si="20"/>
        <v>103.12517889303804</v>
      </c>
      <c r="P26" s="60">
        <f t="shared" si="21"/>
        <v>0.7620379993291988</v>
      </c>
      <c r="Q26" s="46">
        <v>100</v>
      </c>
      <c r="R26" s="46">
        <v>100</v>
      </c>
      <c r="S26" s="46">
        <v>962</v>
      </c>
      <c r="T26" s="46">
        <v>3821794.96</v>
      </c>
      <c r="U26" s="46">
        <v>3664543.11</v>
      </c>
    </row>
    <row r="27" spans="1:21" ht="14.25">
      <c r="A27" s="85">
        <v>20</v>
      </c>
      <c r="B27" s="62" t="s">
        <v>55</v>
      </c>
      <c r="C27" s="46" t="s">
        <v>24</v>
      </c>
      <c r="D27" s="46">
        <v>28857531790.990002</v>
      </c>
      <c r="E27" s="46">
        <v>734600072.33000004</v>
      </c>
      <c r="F27" s="70">
        <v>140242145.21000001</v>
      </c>
      <c r="G27" s="42">
        <v>594357927.12</v>
      </c>
      <c r="H27" s="70">
        <v>80509538443</v>
      </c>
      <c r="I27" s="43">
        <f t="shared" si="11"/>
        <v>9.3099336642118613E-2</v>
      </c>
      <c r="J27" s="46">
        <v>80425700461</v>
      </c>
      <c r="K27" s="43">
        <f t="shared" si="12"/>
        <v>9.2896371647473774E-2</v>
      </c>
      <c r="L27" s="43">
        <f t="shared" si="13"/>
        <v>-1.0413422262923109E-3</v>
      </c>
      <c r="M27" s="55">
        <f t="shared" si="18"/>
        <v>1.7437478866348969E-3</v>
      </c>
      <c r="N27" s="55">
        <f t="shared" si="19"/>
        <v>7.3901492149044548E-3</v>
      </c>
      <c r="O27" s="60">
        <f t="shared" si="20"/>
        <v>1</v>
      </c>
      <c r="P27" s="60">
        <f t="shared" si="21"/>
        <v>7.3901492149044548E-3</v>
      </c>
      <c r="Q27" s="46">
        <v>1</v>
      </c>
      <c r="R27" s="46">
        <v>1</v>
      </c>
      <c r="S27" s="46">
        <v>54672</v>
      </c>
      <c r="T27" s="46">
        <v>80509538443</v>
      </c>
      <c r="U27" s="46">
        <v>80425700461</v>
      </c>
    </row>
    <row r="28" spans="1:21" ht="14.25">
      <c r="A28" s="85">
        <v>21</v>
      </c>
      <c r="B28" s="62" t="s">
        <v>56</v>
      </c>
      <c r="C28" s="62" t="s">
        <v>57</v>
      </c>
      <c r="D28" s="46">
        <v>11383029776.219999</v>
      </c>
      <c r="E28" s="46">
        <v>395156317.88999999</v>
      </c>
      <c r="F28" s="46">
        <v>56135952.32</v>
      </c>
      <c r="G28" s="42">
        <v>339020365.56999999</v>
      </c>
      <c r="H28" s="70">
        <v>41405229107.660004</v>
      </c>
      <c r="I28" s="43">
        <f t="shared" si="11"/>
        <v>4.7880033074183488E-2</v>
      </c>
      <c r="J28" s="46">
        <v>42073678855.059998</v>
      </c>
      <c r="K28" s="43">
        <f t="shared" si="12"/>
        <v>4.8597551343571035E-2</v>
      </c>
      <c r="L28" s="43">
        <f t="shared" si="13"/>
        <v>1.6144090053503174E-2</v>
      </c>
      <c r="M28" s="55">
        <f t="shared" si="18"/>
        <v>1.3342297095859685E-3</v>
      </c>
      <c r="N28" s="55">
        <f t="shared" si="19"/>
        <v>8.0577780407055533E-3</v>
      </c>
      <c r="O28" s="60">
        <f t="shared" si="20"/>
        <v>1.0154638637301181</v>
      </c>
      <c r="P28" s="60">
        <f t="shared" si="21"/>
        <v>8.1823824222945606E-3</v>
      </c>
      <c r="Q28" s="46">
        <v>1</v>
      </c>
      <c r="R28" s="46">
        <v>1</v>
      </c>
      <c r="S28" s="46">
        <v>26274</v>
      </c>
      <c r="T28" s="46">
        <v>41084036551.010002</v>
      </c>
      <c r="U28" s="46">
        <v>41432965128.379997</v>
      </c>
    </row>
    <row r="29" spans="1:21" ht="14.25">
      <c r="A29" s="85">
        <v>22</v>
      </c>
      <c r="B29" s="46" t="s">
        <v>229</v>
      </c>
      <c r="C29" s="46" t="s">
        <v>42</v>
      </c>
      <c r="D29" s="46">
        <v>7492304251.3500004</v>
      </c>
      <c r="E29" s="46">
        <v>69589379.239999995</v>
      </c>
      <c r="F29" s="46">
        <v>11738873.74</v>
      </c>
      <c r="G29" s="42">
        <v>57850505.5</v>
      </c>
      <c r="H29" s="46">
        <v>7406984421</v>
      </c>
      <c r="I29" s="43">
        <f t="shared" si="11"/>
        <v>8.565262569500718E-3</v>
      </c>
      <c r="J29" s="46">
        <v>7356501538.2700005</v>
      </c>
      <c r="K29" s="43">
        <f t="shared" si="12"/>
        <v>8.4971880506745819E-3</v>
      </c>
      <c r="L29" s="43">
        <f t="shared" si="13"/>
        <v>-6.8155783596455799E-3</v>
      </c>
      <c r="M29" s="55">
        <f t="shared" si="18"/>
        <v>1.5957141691511948E-3</v>
      </c>
      <c r="N29" s="55">
        <f t="shared" si="19"/>
        <v>7.8638609941220072E-3</v>
      </c>
      <c r="O29" s="60">
        <f t="shared" si="20"/>
        <v>99.999999555087442</v>
      </c>
      <c r="P29" s="60">
        <f t="shared" si="21"/>
        <v>0.7863860959134702</v>
      </c>
      <c r="Q29" s="46">
        <v>100</v>
      </c>
      <c r="R29" s="46">
        <v>100</v>
      </c>
      <c r="S29" s="46">
        <v>2795</v>
      </c>
      <c r="T29" s="46">
        <v>74069844.540000007</v>
      </c>
      <c r="U29" s="46">
        <v>73565015.709999993</v>
      </c>
    </row>
    <row r="30" spans="1:21" ht="14.25">
      <c r="A30" s="85">
        <v>23</v>
      </c>
      <c r="B30" s="62" t="s">
        <v>230</v>
      </c>
      <c r="C30" s="62" t="s">
        <v>58</v>
      </c>
      <c r="D30" s="47">
        <v>12712610442.26</v>
      </c>
      <c r="E30" s="46">
        <v>133230144.8</v>
      </c>
      <c r="F30" s="46">
        <v>20421821.77</v>
      </c>
      <c r="G30" s="42">
        <v>114833811.64</v>
      </c>
      <c r="H30" s="46">
        <v>12410795746.16</v>
      </c>
      <c r="I30" s="43">
        <f t="shared" si="11"/>
        <v>1.4351552294469581E-2</v>
      </c>
      <c r="J30" s="46">
        <v>12393175783.67</v>
      </c>
      <c r="K30" s="43">
        <f t="shared" si="12"/>
        <v>1.4314840366862071E-2</v>
      </c>
      <c r="L30" s="43">
        <f t="shared" si="13"/>
        <v>-1.4197286661051954E-3</v>
      </c>
      <c r="M30" s="55">
        <f t="shared" si="18"/>
        <v>1.6478279761761331E-3</v>
      </c>
      <c r="N30" s="55">
        <f t="shared" si="19"/>
        <v>9.2658906517982254E-3</v>
      </c>
      <c r="O30" s="60">
        <f t="shared" si="20"/>
        <v>99.999999997337241</v>
      </c>
      <c r="P30" s="60">
        <f t="shared" si="21"/>
        <v>0.92658906515514972</v>
      </c>
      <c r="Q30" s="46">
        <v>100</v>
      </c>
      <c r="R30" s="46">
        <v>100</v>
      </c>
      <c r="S30" s="46">
        <v>1827</v>
      </c>
      <c r="T30" s="46">
        <v>124107957.47</v>
      </c>
      <c r="U30" s="46">
        <v>123931757.84</v>
      </c>
    </row>
    <row r="31" spans="1:21" ht="14.25">
      <c r="A31" s="85">
        <v>24</v>
      </c>
      <c r="B31" s="62" t="s">
        <v>59</v>
      </c>
      <c r="C31" s="62" t="s">
        <v>60</v>
      </c>
      <c r="D31" s="70">
        <v>2857626535.46</v>
      </c>
      <c r="E31" s="70">
        <v>50133235.280000001</v>
      </c>
      <c r="F31" s="70">
        <v>6871524.6799999997</v>
      </c>
      <c r="G31" s="70">
        <v>43261710.600000001</v>
      </c>
      <c r="H31" s="70">
        <v>6610900507.0799999</v>
      </c>
      <c r="I31" s="43">
        <f t="shared" si="11"/>
        <v>7.6446898556242612E-3</v>
      </c>
      <c r="J31" s="70">
        <v>5321568700</v>
      </c>
      <c r="K31" s="43">
        <f t="shared" si="12"/>
        <v>6.1467220163346414E-3</v>
      </c>
      <c r="L31" s="43">
        <f t="shared" si="13"/>
        <v>-0.19503119214987114</v>
      </c>
      <c r="M31" s="55">
        <f t="shared" si="18"/>
        <v>1.2912592258745056E-3</v>
      </c>
      <c r="N31" s="55">
        <f t="shared" si="19"/>
        <v>8.1295033549036028E-3</v>
      </c>
      <c r="O31" s="60">
        <f t="shared" si="20"/>
        <v>100</v>
      </c>
      <c r="P31" s="60">
        <f t="shared" si="21"/>
        <v>0.81295033549036022</v>
      </c>
      <c r="Q31" s="46">
        <v>100</v>
      </c>
      <c r="R31" s="46">
        <v>100</v>
      </c>
      <c r="S31" s="70">
        <v>5359</v>
      </c>
      <c r="T31" s="70">
        <v>66109005</v>
      </c>
      <c r="U31" s="70">
        <v>53215687</v>
      </c>
    </row>
    <row r="32" spans="1:21" ht="14.25">
      <c r="A32" s="85">
        <v>25</v>
      </c>
      <c r="B32" s="62" t="s">
        <v>61</v>
      </c>
      <c r="C32" s="46" t="s">
        <v>62</v>
      </c>
      <c r="D32" s="46">
        <v>39263942.280000001</v>
      </c>
      <c r="E32" s="46">
        <v>275433.01</v>
      </c>
      <c r="F32" s="46">
        <v>41437.480000000003</v>
      </c>
      <c r="G32" s="42">
        <v>233995.53</v>
      </c>
      <c r="H32" s="46">
        <v>39203248.560000002</v>
      </c>
      <c r="I32" s="43">
        <f t="shared" si="11"/>
        <v>4.5333714560245726E-5</v>
      </c>
      <c r="J32" s="46">
        <v>39203248.560000002</v>
      </c>
      <c r="K32" s="43">
        <f t="shared" si="12"/>
        <v>4.5282037049637519E-5</v>
      </c>
      <c r="L32" s="43">
        <f t="shared" si="13"/>
        <v>0</v>
      </c>
      <c r="M32" s="55">
        <f t="shared" si="18"/>
        <v>1.056990977076314E-3</v>
      </c>
      <c r="N32" s="55">
        <f t="shared" si="19"/>
        <v>5.9687790832403404E-3</v>
      </c>
      <c r="O32" s="60">
        <f t="shared" si="20"/>
        <v>101.87107246798604</v>
      </c>
      <c r="P32" s="60">
        <f t="shared" si="21"/>
        <v>0.608045926534176</v>
      </c>
      <c r="Q32" s="46">
        <v>10</v>
      </c>
      <c r="R32" s="46">
        <v>10</v>
      </c>
      <c r="S32" s="46">
        <v>86</v>
      </c>
      <c r="T32" s="46">
        <v>384832</v>
      </c>
      <c r="U32" s="46">
        <v>384832</v>
      </c>
    </row>
    <row r="33" spans="1:21" ht="14.25">
      <c r="A33" s="85">
        <v>26</v>
      </c>
      <c r="B33" s="62" t="s">
        <v>63</v>
      </c>
      <c r="C33" s="62" t="s">
        <v>64</v>
      </c>
      <c r="D33" s="70">
        <v>5219508883.7299995</v>
      </c>
      <c r="E33" s="70">
        <v>49189943.009999998</v>
      </c>
      <c r="F33" s="70">
        <v>6398872.3399999999</v>
      </c>
      <c r="G33" s="70">
        <v>42791070.670000002</v>
      </c>
      <c r="H33" s="47">
        <v>4938206618.4700003</v>
      </c>
      <c r="I33" s="43">
        <f t="shared" si="11"/>
        <v>5.7104259851988972E-3</v>
      </c>
      <c r="J33" s="70">
        <v>5234968312.9700003</v>
      </c>
      <c r="K33" s="43">
        <f t="shared" si="12"/>
        <v>6.0466935218081311E-3</v>
      </c>
      <c r="L33" s="43">
        <f t="shared" si="13"/>
        <v>6.0095033972463748E-2</v>
      </c>
      <c r="M33" s="55">
        <f t="shared" si="18"/>
        <v>1.2223325830160892E-3</v>
      </c>
      <c r="N33" s="55">
        <f t="shared" si="19"/>
        <v>8.1740839890056503E-3</v>
      </c>
      <c r="O33" s="60">
        <f t="shared" si="20"/>
        <v>1.0116373869211912</v>
      </c>
      <c r="P33" s="60">
        <f t="shared" si="21"/>
        <v>8.2692089671120243E-3</v>
      </c>
      <c r="Q33" s="46">
        <v>1</v>
      </c>
      <c r="R33" s="46">
        <v>1</v>
      </c>
      <c r="S33" s="70">
        <v>2058</v>
      </c>
      <c r="T33" s="70">
        <v>4919894861.5100002</v>
      </c>
      <c r="U33" s="70">
        <v>5174747770.9399996</v>
      </c>
    </row>
    <row r="34" spans="1:21" ht="14.25">
      <c r="A34" s="85">
        <v>27</v>
      </c>
      <c r="B34" s="62" t="s">
        <v>65</v>
      </c>
      <c r="C34" s="62" t="s">
        <v>66</v>
      </c>
      <c r="D34" s="46">
        <v>14113493028.360001</v>
      </c>
      <c r="E34" s="46">
        <v>143915089.16999999</v>
      </c>
      <c r="F34" s="46">
        <v>20090785.149999999</v>
      </c>
      <c r="G34" s="42">
        <v>123824304.02</v>
      </c>
      <c r="H34" s="46">
        <v>13963273162.1</v>
      </c>
      <c r="I34" s="43">
        <f t="shared" si="11"/>
        <v>1.614680066343413E-2</v>
      </c>
      <c r="J34" s="46">
        <v>14214041032.92</v>
      </c>
      <c r="K34" s="43">
        <f t="shared" si="12"/>
        <v>1.6418045858946319E-2</v>
      </c>
      <c r="L34" s="43">
        <f t="shared" si="13"/>
        <v>1.7959103707907809E-2</v>
      </c>
      <c r="M34" s="55">
        <f t="shared" si="18"/>
        <v>1.4134464015876514E-3</v>
      </c>
      <c r="N34" s="55">
        <f t="shared" si="19"/>
        <v>8.7114075253631566E-3</v>
      </c>
      <c r="O34" s="60">
        <f t="shared" si="20"/>
        <v>100.00000023160197</v>
      </c>
      <c r="P34" s="60">
        <f t="shared" si="21"/>
        <v>0.87114075455389495</v>
      </c>
      <c r="Q34" s="46">
        <v>100</v>
      </c>
      <c r="R34" s="46">
        <v>100</v>
      </c>
      <c r="S34" s="46">
        <v>5296</v>
      </c>
      <c r="T34" s="46">
        <v>138619417</v>
      </c>
      <c r="U34" s="46">
        <v>142140410</v>
      </c>
    </row>
    <row r="35" spans="1:21" ht="14.25">
      <c r="A35" s="85">
        <v>28</v>
      </c>
      <c r="B35" s="62" t="s">
        <v>67</v>
      </c>
      <c r="C35" s="62" t="s">
        <v>66</v>
      </c>
      <c r="D35" s="46">
        <v>1218570791.1700001</v>
      </c>
      <c r="E35" s="46">
        <v>12032944.289999999</v>
      </c>
      <c r="F35" s="46">
        <v>1264063.42</v>
      </c>
      <c r="G35" s="42">
        <v>10768880.869999999</v>
      </c>
      <c r="H35" s="46">
        <v>1375711550.6099999</v>
      </c>
      <c r="I35" s="43">
        <f t="shared" si="11"/>
        <v>1.5908404798938114E-3</v>
      </c>
      <c r="J35" s="46">
        <v>1314882226.04</v>
      </c>
      <c r="K35" s="43">
        <f t="shared" si="12"/>
        <v>1.5187656090368937E-3</v>
      </c>
      <c r="L35" s="43">
        <f t="shared" si="13"/>
        <v>-4.4216627056033506E-2</v>
      </c>
      <c r="M35" s="55">
        <f t="shared" si="18"/>
        <v>9.6135105864724488E-4</v>
      </c>
      <c r="N35" s="55">
        <f t="shared" si="19"/>
        <v>8.1899965310447513E-3</v>
      </c>
      <c r="O35" s="60">
        <f t="shared" si="20"/>
        <v>999910.43805323192</v>
      </c>
      <c r="P35" s="60">
        <f t="shared" si="21"/>
        <v>8189.263019011406</v>
      </c>
      <c r="Q35" s="46">
        <v>1000000</v>
      </c>
      <c r="R35" s="46">
        <v>1000000</v>
      </c>
      <c r="S35" s="46">
        <v>19</v>
      </c>
      <c r="T35" s="46">
        <v>1234</v>
      </c>
      <c r="U35" s="46">
        <v>1315</v>
      </c>
    </row>
    <row r="36" spans="1:21" ht="14.25">
      <c r="A36" s="85">
        <v>29</v>
      </c>
      <c r="B36" s="46" t="s">
        <v>68</v>
      </c>
      <c r="C36" s="46" t="s">
        <v>69</v>
      </c>
      <c r="D36" s="70">
        <v>3454191335.02</v>
      </c>
      <c r="E36" s="70">
        <v>35168933.25</v>
      </c>
      <c r="F36" s="70">
        <v>5197540.3</v>
      </c>
      <c r="G36" s="70">
        <v>36316154.079999998</v>
      </c>
      <c r="H36" s="48">
        <v>2813192529.98</v>
      </c>
      <c r="I36" s="43">
        <f t="shared" si="11"/>
        <v>3.253109674366456E-3</v>
      </c>
      <c r="J36" s="70">
        <v>3476807929.1599998</v>
      </c>
      <c r="K36" s="43">
        <f t="shared" si="12"/>
        <v>4.0159158040625545E-3</v>
      </c>
      <c r="L36" s="43">
        <f t="shared" si="13"/>
        <v>0.23589405705720315</v>
      </c>
      <c r="M36" s="55">
        <f t="shared" si="18"/>
        <v>1.4949172936497906E-3</v>
      </c>
      <c r="N36" s="55">
        <f t="shared" si="19"/>
        <v>1.0445257494788911E-2</v>
      </c>
      <c r="O36" s="60">
        <f t="shared" si="20"/>
        <v>1.0213786008529835</v>
      </c>
      <c r="P36" s="60">
        <f t="shared" si="21"/>
        <v>1.0668562485576636E-2</v>
      </c>
      <c r="Q36" s="46">
        <v>1</v>
      </c>
      <c r="R36" s="46">
        <v>1</v>
      </c>
      <c r="S36" s="70">
        <v>424</v>
      </c>
      <c r="T36" s="70">
        <v>2794448147.3699999</v>
      </c>
      <c r="U36" s="70">
        <v>3404034435.6700001</v>
      </c>
    </row>
    <row r="37" spans="1:21" ht="14.25">
      <c r="A37" s="85">
        <v>30</v>
      </c>
      <c r="B37" s="62" t="s">
        <v>70</v>
      </c>
      <c r="C37" s="62" t="s">
        <v>71</v>
      </c>
      <c r="D37" s="70">
        <v>156966007.40000001</v>
      </c>
      <c r="E37" s="70">
        <v>2174952.38</v>
      </c>
      <c r="F37" s="70">
        <v>656252.13</v>
      </c>
      <c r="G37" s="70">
        <v>1518700.25</v>
      </c>
      <c r="H37" s="47">
        <v>283695093.93000001</v>
      </c>
      <c r="I37" s="43">
        <f t="shared" si="11"/>
        <v>3.2805833400977524E-4</v>
      </c>
      <c r="J37" s="70">
        <v>283083130.18000001</v>
      </c>
      <c r="K37" s="43">
        <f t="shared" si="12"/>
        <v>3.269775148689392E-4</v>
      </c>
      <c r="L37" s="43">
        <f t="shared" si="13"/>
        <v>-2.1571178462148457E-3</v>
      </c>
      <c r="M37" s="55">
        <f t="shared" si="18"/>
        <v>2.3182311485065127E-3</v>
      </c>
      <c r="N37" s="55">
        <f t="shared" si="19"/>
        <v>5.3648560726113417E-3</v>
      </c>
      <c r="O37" s="60">
        <f t="shared" si="20"/>
        <v>0.99520256419676378</v>
      </c>
      <c r="P37" s="60">
        <f t="shared" si="21"/>
        <v>5.3391185200093866E-3</v>
      </c>
      <c r="Q37" s="46">
        <v>1</v>
      </c>
      <c r="R37" s="46">
        <v>1</v>
      </c>
      <c r="S37" s="70">
        <v>412</v>
      </c>
      <c r="T37" s="70">
        <v>284193849</v>
      </c>
      <c r="U37" s="70">
        <v>284447750</v>
      </c>
    </row>
    <row r="38" spans="1:21" ht="14.25">
      <c r="A38" s="85">
        <v>31</v>
      </c>
      <c r="B38" s="62" t="s">
        <v>72</v>
      </c>
      <c r="C38" s="62" t="s">
        <v>73</v>
      </c>
      <c r="D38" s="70">
        <v>194153109734.19</v>
      </c>
      <c r="E38" s="48">
        <v>1795663730.6600001</v>
      </c>
      <c r="F38" s="70">
        <v>265402216.33000001</v>
      </c>
      <c r="G38" s="70">
        <v>1530261514.3299999</v>
      </c>
      <c r="H38" s="47">
        <v>190786698565.03</v>
      </c>
      <c r="I38" s="43">
        <f t="shared" si="11"/>
        <v>0.22062125084867487</v>
      </c>
      <c r="J38" s="70">
        <v>194153109734.19</v>
      </c>
      <c r="K38" s="43">
        <f t="shared" si="12"/>
        <v>0.22425815796439522</v>
      </c>
      <c r="L38" s="43">
        <f t="shared" si="13"/>
        <v>1.7644894505119579E-2</v>
      </c>
      <c r="M38" s="55">
        <f t="shared" si="18"/>
        <v>1.3669738109956381E-3</v>
      </c>
      <c r="N38" s="55">
        <f t="shared" si="19"/>
        <v>7.8817254919328426E-3</v>
      </c>
      <c r="O38" s="60">
        <f t="shared" si="20"/>
        <v>100.02477710218282</v>
      </c>
      <c r="P38" s="60">
        <f t="shared" si="21"/>
        <v>0.78836783551117495</v>
      </c>
      <c r="Q38" s="46">
        <v>100</v>
      </c>
      <c r="R38" s="46">
        <v>100</v>
      </c>
      <c r="S38" s="70">
        <v>25613</v>
      </c>
      <c r="T38" s="70">
        <v>1873083950.5599999</v>
      </c>
      <c r="U38" s="70">
        <v>1941050161.3599999</v>
      </c>
    </row>
    <row r="39" spans="1:21" ht="14.25">
      <c r="A39" s="85">
        <v>32</v>
      </c>
      <c r="B39" s="62" t="s">
        <v>74</v>
      </c>
      <c r="C39" s="62" t="s">
        <v>75</v>
      </c>
      <c r="D39" s="46">
        <v>725213978.05999994</v>
      </c>
      <c r="E39" s="46">
        <v>6760985.1399999997</v>
      </c>
      <c r="F39" s="46">
        <v>1689957.18</v>
      </c>
      <c r="G39" s="42">
        <v>5071027.18</v>
      </c>
      <c r="H39" s="46">
        <v>632939291.84000003</v>
      </c>
      <c r="I39" s="43">
        <f t="shared" si="11"/>
        <v>7.3191611012346741E-4</v>
      </c>
      <c r="J39" s="46">
        <v>717932741.69000006</v>
      </c>
      <c r="K39" s="43">
        <f t="shared" si="12"/>
        <v>8.2925416138918107E-4</v>
      </c>
      <c r="L39" s="43">
        <f t="shared" si="13"/>
        <v>0.13428373138744151</v>
      </c>
      <c r="M39" s="55">
        <f t="shared" si="18"/>
        <v>2.3539213102635112E-3</v>
      </c>
      <c r="N39" s="55">
        <f t="shared" si="19"/>
        <v>7.0633736080386832E-3</v>
      </c>
      <c r="O39" s="60">
        <f t="shared" si="20"/>
        <v>9.9428248096830139</v>
      </c>
      <c r="P39" s="60">
        <f t="shared" si="21"/>
        <v>7.0229886350067244E-2</v>
      </c>
      <c r="Q39" s="46">
        <v>10</v>
      </c>
      <c r="R39" s="46">
        <v>10</v>
      </c>
      <c r="S39" s="46">
        <v>294</v>
      </c>
      <c r="T39" s="46">
        <v>67426721</v>
      </c>
      <c r="U39" s="46">
        <v>72206114</v>
      </c>
    </row>
    <row r="40" spans="1:21" ht="14.25">
      <c r="A40" s="85">
        <v>33</v>
      </c>
      <c r="B40" s="62" t="s">
        <v>76</v>
      </c>
      <c r="C40" s="62" t="s">
        <v>77</v>
      </c>
      <c r="D40" s="70">
        <v>1352676621.5599999</v>
      </c>
      <c r="E40" s="70">
        <v>27993300.16</v>
      </c>
      <c r="F40" s="70">
        <v>11870780.029999999</v>
      </c>
      <c r="G40" s="70">
        <v>16122520.130000001</v>
      </c>
      <c r="H40" s="46">
        <v>2887472681.5700002</v>
      </c>
      <c r="I40" s="43">
        <f t="shared" si="11"/>
        <v>3.3390054945691898E-3</v>
      </c>
      <c r="J40" s="70">
        <v>2943230348.5500002</v>
      </c>
      <c r="K40" s="43">
        <f t="shared" si="12"/>
        <v>3.3996025988683688E-3</v>
      </c>
      <c r="L40" s="43">
        <f t="shared" si="13"/>
        <v>1.9310197230916485E-2</v>
      </c>
      <c r="M40" s="55">
        <f t="shared" si="18"/>
        <v>4.0332487179769025E-3</v>
      </c>
      <c r="N40" s="55">
        <f t="shared" si="19"/>
        <v>5.4778315730343212E-3</v>
      </c>
      <c r="O40" s="60">
        <f t="shared" si="20"/>
        <v>101.32099547030593</v>
      </c>
      <c r="P40" s="60">
        <f t="shared" si="21"/>
        <v>0.55501934799850927</v>
      </c>
      <c r="Q40" s="46">
        <v>100</v>
      </c>
      <c r="R40" s="46">
        <v>100</v>
      </c>
      <c r="S40" s="46">
        <v>1350</v>
      </c>
      <c r="T40" s="70">
        <v>28754023.149999999</v>
      </c>
      <c r="U40" s="70">
        <v>29048573.149999999</v>
      </c>
    </row>
    <row r="41" spans="1:21" ht="14.25">
      <c r="A41" s="85">
        <v>34</v>
      </c>
      <c r="B41" s="46" t="s">
        <v>78</v>
      </c>
      <c r="C41" s="46" t="s">
        <v>34</v>
      </c>
      <c r="D41" s="46">
        <v>21160448865.060001</v>
      </c>
      <c r="E41" s="46">
        <v>214814814.66999999</v>
      </c>
      <c r="F41" s="46">
        <v>26689762.699999999</v>
      </c>
      <c r="G41" s="42">
        <v>188125051.97</v>
      </c>
      <c r="H41" s="70">
        <v>21690705371.669998</v>
      </c>
      <c r="I41" s="43">
        <f t="shared" si="11"/>
        <v>2.5082621518589691E-2</v>
      </c>
      <c r="J41" s="46">
        <v>20808134674.84</v>
      </c>
      <c r="K41" s="43">
        <f t="shared" si="12"/>
        <v>2.4034608352363335E-2</v>
      </c>
      <c r="L41" s="43">
        <f t="shared" si="13"/>
        <v>-4.0688888706344899E-2</v>
      </c>
      <c r="M41" s="55">
        <f t="shared" si="18"/>
        <v>1.2826600325819557E-3</v>
      </c>
      <c r="N41" s="55">
        <f t="shared" si="19"/>
        <v>9.0409378307931658E-3</v>
      </c>
      <c r="O41" s="60">
        <f t="shared" si="20"/>
        <v>99.999999999231065</v>
      </c>
      <c r="P41" s="60">
        <f t="shared" si="21"/>
        <v>0.90409378307236465</v>
      </c>
      <c r="Q41" s="46">
        <v>100</v>
      </c>
      <c r="R41" s="46">
        <v>100</v>
      </c>
      <c r="S41" s="46">
        <v>380</v>
      </c>
      <c r="T41" s="46">
        <v>216907053.72</v>
      </c>
      <c r="U41" s="46">
        <v>208081346.75</v>
      </c>
    </row>
    <row r="42" spans="1:21" ht="14.25">
      <c r="A42" s="85">
        <v>35</v>
      </c>
      <c r="B42" s="62" t="s">
        <v>79</v>
      </c>
      <c r="C42" s="62" t="s">
        <v>36</v>
      </c>
      <c r="D42" s="70">
        <v>2927692243.04</v>
      </c>
      <c r="E42" s="70">
        <v>24646994.649999999</v>
      </c>
      <c r="F42" s="70">
        <v>3386830.76</v>
      </c>
      <c r="G42" s="70">
        <v>21260163.890000001</v>
      </c>
      <c r="H42" s="46">
        <v>2977173855.21</v>
      </c>
      <c r="I42" s="43">
        <f t="shared" si="11"/>
        <v>3.4427338219625457E-3</v>
      </c>
      <c r="J42" s="70">
        <v>2914481429.71</v>
      </c>
      <c r="K42" s="43">
        <f t="shared" si="12"/>
        <v>3.3663959219763376E-3</v>
      </c>
      <c r="L42" s="43">
        <f t="shared" si="13"/>
        <v>-2.1057697181603753E-2</v>
      </c>
      <c r="M42" s="55">
        <f t="shared" si="18"/>
        <v>1.1620697683899807E-3</v>
      </c>
      <c r="N42" s="55">
        <f t="shared" si="19"/>
        <v>7.2946643863555007E-3</v>
      </c>
      <c r="O42" s="60">
        <f t="shared" si="20"/>
        <v>1.0229670003646181</v>
      </c>
      <c r="P42" s="60">
        <f t="shared" si="21"/>
        <v>7.4622009459766941E-3</v>
      </c>
      <c r="Q42" s="46">
        <v>1</v>
      </c>
      <c r="R42" s="46">
        <v>1</v>
      </c>
      <c r="S42" s="46">
        <v>822</v>
      </c>
      <c r="T42" s="70">
        <v>2998443307</v>
      </c>
      <c r="U42" s="70">
        <v>2849047358</v>
      </c>
    </row>
    <row r="43" spans="1:21" ht="14.25">
      <c r="A43" s="85">
        <v>36</v>
      </c>
      <c r="B43" s="62" t="s">
        <v>80</v>
      </c>
      <c r="C43" s="62" t="s">
        <v>38</v>
      </c>
      <c r="D43" s="46">
        <v>3354592235.0300002</v>
      </c>
      <c r="E43" s="46">
        <v>29862778.25</v>
      </c>
      <c r="F43" s="46">
        <v>4851736.76</v>
      </c>
      <c r="G43" s="42">
        <v>25011041.489999998</v>
      </c>
      <c r="H43" s="46">
        <v>3271851114.8600001</v>
      </c>
      <c r="I43" s="43">
        <f t="shared" si="11"/>
        <v>3.7834916741064325E-3</v>
      </c>
      <c r="J43" s="46">
        <v>3357895892.1300001</v>
      </c>
      <c r="K43" s="43">
        <f t="shared" si="12"/>
        <v>3.8785654705002916E-3</v>
      </c>
      <c r="L43" s="43">
        <f t="shared" si="13"/>
        <v>2.6298500221848195E-2</v>
      </c>
      <c r="M43" s="55">
        <f t="shared" si="18"/>
        <v>1.4448740865883182E-3</v>
      </c>
      <c r="N43" s="55">
        <f t="shared" si="19"/>
        <v>7.4484267212152457E-3</v>
      </c>
      <c r="O43" s="60">
        <f t="shared" si="20"/>
        <v>10.054388409550356</v>
      </c>
      <c r="P43" s="60">
        <f t="shared" si="21"/>
        <v>7.4889375295171728E-2</v>
      </c>
      <c r="Q43" s="46">
        <v>10</v>
      </c>
      <c r="R43" s="46">
        <v>10</v>
      </c>
      <c r="S43" s="46">
        <v>1887</v>
      </c>
      <c r="T43" s="46">
        <v>325307342.12</v>
      </c>
      <c r="U43" s="46">
        <v>333973162.30000001</v>
      </c>
    </row>
    <row r="44" spans="1:21" ht="14.25" customHeight="1">
      <c r="A44" s="85">
        <v>37</v>
      </c>
      <c r="B44" s="62" t="s">
        <v>81</v>
      </c>
      <c r="C44" s="62" t="s">
        <v>82</v>
      </c>
      <c r="D44" s="46">
        <v>3073929315</v>
      </c>
      <c r="E44" s="46">
        <v>54629278</v>
      </c>
      <c r="F44" s="46">
        <v>7797354</v>
      </c>
      <c r="G44" s="70">
        <v>46831924</v>
      </c>
      <c r="H44" s="46">
        <v>5712146173</v>
      </c>
      <c r="I44" s="43">
        <f t="shared" si="11"/>
        <v>6.6053914827200735E-3</v>
      </c>
      <c r="J44" s="46">
        <v>4907765305</v>
      </c>
      <c r="K44" s="43">
        <f t="shared" si="12"/>
        <v>5.6687549765629822E-3</v>
      </c>
      <c r="L44" s="43">
        <f t="shared" si="13"/>
        <v>-0.14081937745258047</v>
      </c>
      <c r="M44" s="55">
        <f t="shared" si="18"/>
        <v>1.5887789075928519E-3</v>
      </c>
      <c r="N44" s="55">
        <f t="shared" si="19"/>
        <v>9.542413112600949E-3</v>
      </c>
      <c r="O44" s="60">
        <f t="shared" si="20"/>
        <v>100.00000010187937</v>
      </c>
      <c r="P44" s="60">
        <f t="shared" si="21"/>
        <v>0.95424131223226993</v>
      </c>
      <c r="Q44" s="46">
        <v>100</v>
      </c>
      <c r="R44" s="46">
        <v>100</v>
      </c>
      <c r="S44" s="46">
        <v>1866</v>
      </c>
      <c r="T44" s="70">
        <v>57121462</v>
      </c>
      <c r="U44" s="46">
        <v>49077653</v>
      </c>
    </row>
    <row r="45" spans="1:21" ht="14.25">
      <c r="A45" s="85">
        <v>38</v>
      </c>
      <c r="B45" s="62" t="s">
        <v>83</v>
      </c>
      <c r="C45" s="46" t="s">
        <v>84</v>
      </c>
      <c r="D45" s="46">
        <v>168884167.41999999</v>
      </c>
      <c r="E45" s="46">
        <v>573753.97</v>
      </c>
      <c r="F45" s="46">
        <v>66612.149999999994</v>
      </c>
      <c r="G45" s="42">
        <v>507141.82</v>
      </c>
      <c r="H45" s="46">
        <v>161425517.55000001</v>
      </c>
      <c r="I45" s="43">
        <f t="shared" si="11"/>
        <v>1.8666867170845592E-4</v>
      </c>
      <c r="J45" s="46">
        <v>183645844.99000001</v>
      </c>
      <c r="K45" s="43">
        <f t="shared" si="12"/>
        <v>2.1212165476852942E-4</v>
      </c>
      <c r="L45" s="43">
        <f t="shared" si="13"/>
        <v>0.13765065014035011</v>
      </c>
      <c r="M45" s="55">
        <f t="shared" si="18"/>
        <v>3.6272070301196957E-4</v>
      </c>
      <c r="N45" s="55">
        <f t="shared" si="19"/>
        <v>2.761520795788302E-3</v>
      </c>
      <c r="O45" s="60">
        <f t="shared" si="20"/>
        <v>1.0006196189904084</v>
      </c>
      <c r="P45" s="60">
        <f t="shared" si="21"/>
        <v>2.7632318865157802E-3</v>
      </c>
      <c r="Q45" s="46">
        <v>1</v>
      </c>
      <c r="R45" s="46">
        <v>1</v>
      </c>
      <c r="S45" s="46">
        <v>63</v>
      </c>
      <c r="T45" s="46">
        <v>163172125</v>
      </c>
      <c r="U45" s="46">
        <v>183532125</v>
      </c>
    </row>
    <row r="46" spans="1:21" ht="15.75" customHeight="1">
      <c r="A46" s="85">
        <v>39</v>
      </c>
      <c r="B46" s="46" t="s">
        <v>85</v>
      </c>
      <c r="C46" s="46" t="s">
        <v>40</v>
      </c>
      <c r="D46" s="46">
        <v>712358848.39999998</v>
      </c>
      <c r="E46" s="46">
        <v>14215995.01</v>
      </c>
      <c r="F46" s="46">
        <v>887692.08</v>
      </c>
      <c r="G46" s="42">
        <v>13328302.93</v>
      </c>
      <c r="H46" s="46">
        <v>673147621.21000004</v>
      </c>
      <c r="I46" s="43">
        <f t="shared" si="11"/>
        <v>7.7841207649253423E-4</v>
      </c>
      <c r="J46" s="46">
        <v>827396867.51999998</v>
      </c>
      <c r="K46" s="43">
        <f t="shared" si="12"/>
        <v>9.5569160684357988E-4</v>
      </c>
      <c r="L46" s="43">
        <f t="shared" si="13"/>
        <v>0.2291462399179737</v>
      </c>
      <c r="M46" s="55">
        <f t="shared" si="18"/>
        <v>1.0728733874237717E-3</v>
      </c>
      <c r="N46" s="55">
        <f t="shared" si="19"/>
        <v>1.6108718141452021E-2</v>
      </c>
      <c r="O46" s="60">
        <f t="shared" si="20"/>
        <v>11.744878847134339</v>
      </c>
      <c r="P46" s="60">
        <f t="shared" si="21"/>
        <v>0.18919494295398903</v>
      </c>
      <c r="Q46" s="46">
        <v>10</v>
      </c>
      <c r="R46" s="46">
        <v>10</v>
      </c>
      <c r="S46" s="46">
        <v>633</v>
      </c>
      <c r="T46" s="46">
        <v>74007069.700000003</v>
      </c>
      <c r="U46" s="46">
        <v>70447458.700000003</v>
      </c>
    </row>
    <row r="47" spans="1:21" ht="14.25">
      <c r="A47" s="85">
        <v>40</v>
      </c>
      <c r="B47" s="62" t="s">
        <v>86</v>
      </c>
      <c r="C47" s="62" t="s">
        <v>44</v>
      </c>
      <c r="D47" s="46">
        <v>385672059359.53003</v>
      </c>
      <c r="E47" s="46">
        <v>3784088767.6900001</v>
      </c>
      <c r="F47" s="46">
        <v>605970205.25</v>
      </c>
      <c r="G47" s="42">
        <v>3178118562.4400001</v>
      </c>
      <c r="H47" s="46">
        <v>385317560417.59998</v>
      </c>
      <c r="I47" s="43">
        <f t="shared" si="11"/>
        <v>0.44557216405899075</v>
      </c>
      <c r="J47" s="70">
        <v>385367928467.66998</v>
      </c>
      <c r="K47" s="43">
        <f t="shared" si="12"/>
        <v>0.4451224185645673</v>
      </c>
      <c r="L47" s="43">
        <f t="shared" si="13"/>
        <v>1.3071828342165192E-4</v>
      </c>
      <c r="M47" s="55">
        <f t="shared" si="18"/>
        <v>1.5724458640331228E-3</v>
      </c>
      <c r="N47" s="55">
        <f t="shared" si="19"/>
        <v>8.2469721211027684E-3</v>
      </c>
      <c r="O47" s="60">
        <f t="shared" si="20"/>
        <v>0.99999999999779421</v>
      </c>
      <c r="P47" s="60">
        <f t="shared" si="21"/>
        <v>8.2469721210845764E-3</v>
      </c>
      <c r="Q47" s="46">
        <v>100</v>
      </c>
      <c r="R47" s="46">
        <v>100</v>
      </c>
      <c r="S47" s="46">
        <v>110120</v>
      </c>
      <c r="T47" s="46">
        <v>385317560419.34998</v>
      </c>
      <c r="U47" s="46">
        <v>385367928468.52002</v>
      </c>
    </row>
    <row r="48" spans="1:21" ht="14.25">
      <c r="A48" s="85">
        <v>41</v>
      </c>
      <c r="B48" s="62" t="s">
        <v>87</v>
      </c>
      <c r="C48" s="62" t="s">
        <v>88</v>
      </c>
      <c r="D48" s="70">
        <v>2566291688.8499999</v>
      </c>
      <c r="E48" s="70">
        <v>31886609.16</v>
      </c>
      <c r="F48" s="70">
        <v>3636593.48</v>
      </c>
      <c r="G48" s="42">
        <v>28250015.68</v>
      </c>
      <c r="H48" s="46">
        <v>2490471214.4400001</v>
      </c>
      <c r="I48" s="43">
        <f t="shared" si="11"/>
        <v>2.8799223355976773E-3</v>
      </c>
      <c r="J48" s="46">
        <v>2637976389.1700001</v>
      </c>
      <c r="K48" s="43">
        <f t="shared" si="12"/>
        <v>3.0470164840458039E-3</v>
      </c>
      <c r="L48" s="43">
        <f t="shared" si="13"/>
        <v>5.9227817561090579E-2</v>
      </c>
      <c r="M48" s="55">
        <f t="shared" si="18"/>
        <v>1.3785542186540191E-3</v>
      </c>
      <c r="N48" s="55">
        <f t="shared" si="19"/>
        <v>1.0708972148491612E-2</v>
      </c>
      <c r="O48" s="60">
        <f t="shared" si="20"/>
        <v>1.0172495008929174</v>
      </c>
      <c r="P48" s="60">
        <f t="shared" si="21"/>
        <v>1.0893696573129245E-2</v>
      </c>
      <c r="Q48" s="46">
        <v>1</v>
      </c>
      <c r="R48" s="46">
        <v>1</v>
      </c>
      <c r="S48" s="70">
        <v>319</v>
      </c>
      <c r="T48" s="70">
        <v>2448838903.3200002</v>
      </c>
      <c r="U48" s="70">
        <v>2593244220.6700001</v>
      </c>
    </row>
    <row r="49" spans="1:21" ht="14.25">
      <c r="A49" s="85">
        <v>42</v>
      </c>
      <c r="B49" s="62" t="s">
        <v>89</v>
      </c>
      <c r="C49" s="62" t="s">
        <v>48</v>
      </c>
      <c r="D49" s="70">
        <v>18546845324</v>
      </c>
      <c r="E49" s="70">
        <v>394295189</v>
      </c>
      <c r="F49" s="70">
        <v>12329473</v>
      </c>
      <c r="G49" s="70">
        <v>381965716</v>
      </c>
      <c r="H49" s="39">
        <v>42337877188</v>
      </c>
      <c r="I49" s="43">
        <f t="shared" si="11"/>
        <v>4.8958525378069606E-2</v>
      </c>
      <c r="J49" s="70">
        <v>41569210689</v>
      </c>
      <c r="K49" s="43">
        <f t="shared" si="12"/>
        <v>4.8014861208825442E-2</v>
      </c>
      <c r="L49" s="43">
        <f t="shared" si="13"/>
        <v>-1.815552762805657E-2</v>
      </c>
      <c r="M49" s="55">
        <f t="shared" si="18"/>
        <v>2.9660108516957269E-4</v>
      </c>
      <c r="N49" s="55">
        <f t="shared" si="19"/>
        <v>9.1886689612096818E-3</v>
      </c>
      <c r="O49" s="60">
        <f t="shared" si="20"/>
        <v>1.0059368530344817</v>
      </c>
      <c r="P49" s="60">
        <f t="shared" si="21"/>
        <v>9.2432207384148864E-3</v>
      </c>
      <c r="Q49" s="46">
        <v>1</v>
      </c>
      <c r="R49" s="46">
        <v>1</v>
      </c>
      <c r="S49" s="70">
        <v>5725</v>
      </c>
      <c r="T49" s="70">
        <v>42136941182.290001</v>
      </c>
      <c r="U49" s="70">
        <v>41323876905</v>
      </c>
    </row>
    <row r="50" spans="1:21" ht="14.25">
      <c r="A50" s="85">
        <v>43</v>
      </c>
      <c r="B50" s="83" t="s">
        <v>90</v>
      </c>
      <c r="C50" s="62" t="s">
        <v>91</v>
      </c>
      <c r="D50" s="47">
        <v>1102700106.49</v>
      </c>
      <c r="E50" s="47">
        <v>14192428.15</v>
      </c>
      <c r="F50" s="47">
        <v>2001648.09</v>
      </c>
      <c r="G50" s="71">
        <v>12190780.060000001</v>
      </c>
      <c r="H50" s="70">
        <v>1999723820.5699999</v>
      </c>
      <c r="I50" s="43">
        <f t="shared" si="11"/>
        <v>2.3124335918820195E-3</v>
      </c>
      <c r="J50" s="47">
        <v>1796717000.78</v>
      </c>
      <c r="K50" s="43">
        <f t="shared" si="12"/>
        <v>2.0753128576198165E-3</v>
      </c>
      <c r="L50" s="43">
        <f t="shared" si="13"/>
        <v>-0.10151742840775635</v>
      </c>
      <c r="M50" s="55">
        <f t="shared" si="18"/>
        <v>1.1140586353504945E-3</v>
      </c>
      <c r="N50" s="55">
        <f t="shared" si="19"/>
        <v>6.7850307281044691E-3</v>
      </c>
      <c r="O50" s="60">
        <f t="shared" si="20"/>
        <v>1.0121239710085124</v>
      </c>
      <c r="P50" s="60">
        <f t="shared" si="21"/>
        <v>6.8672922439438734E-3</v>
      </c>
      <c r="Q50" s="46">
        <v>1</v>
      </c>
      <c r="R50" s="46">
        <v>1.01</v>
      </c>
      <c r="S50" s="70">
        <v>55</v>
      </c>
      <c r="T50" s="48">
        <v>1961695672.76</v>
      </c>
      <c r="U50" s="48">
        <v>1775194593</v>
      </c>
    </row>
    <row r="51" spans="1:21" ht="14.25">
      <c r="A51" s="85">
        <v>44</v>
      </c>
      <c r="B51" s="62" t="s">
        <v>92</v>
      </c>
      <c r="C51" s="62" t="s">
        <v>93</v>
      </c>
      <c r="D51" s="70">
        <v>955288965.82000005</v>
      </c>
      <c r="E51" s="70">
        <v>9028214.0800000001</v>
      </c>
      <c r="F51" s="70">
        <v>1570532.85</v>
      </c>
      <c r="G51" s="70">
        <v>7457681.2300000004</v>
      </c>
      <c r="H51" s="70">
        <v>960377134.75999999</v>
      </c>
      <c r="I51" s="43">
        <f t="shared" si="11"/>
        <v>1.1105575302200537E-3</v>
      </c>
      <c r="J51" s="70">
        <v>954419353.29999995</v>
      </c>
      <c r="K51" s="43">
        <f t="shared" si="12"/>
        <v>1.1024099814299082E-3</v>
      </c>
      <c r="L51" s="43">
        <f t="shared" si="13"/>
        <v>-6.2035852837009691E-3</v>
      </c>
      <c r="M51" s="55">
        <f t="shared" si="18"/>
        <v>1.6455375140599637E-3</v>
      </c>
      <c r="N51" s="55">
        <f t="shared" si="19"/>
        <v>7.8138411634407091E-3</v>
      </c>
      <c r="O51" s="60">
        <f t="shared" si="20"/>
        <v>1.0162666720711593</v>
      </c>
      <c r="P51" s="60">
        <f t="shared" si="21"/>
        <v>7.9409463552625233E-3</v>
      </c>
      <c r="Q51" s="46">
        <v>1</v>
      </c>
      <c r="R51" s="46">
        <v>1</v>
      </c>
      <c r="S51" s="46">
        <v>207</v>
      </c>
      <c r="T51" s="70">
        <v>952518306.86000001</v>
      </c>
      <c r="U51" s="70">
        <v>939142628.13999999</v>
      </c>
    </row>
    <row r="52" spans="1:21" ht="14.25">
      <c r="A52" s="85">
        <v>45</v>
      </c>
      <c r="B52" s="62" t="s">
        <v>94</v>
      </c>
      <c r="C52" s="62" t="s">
        <v>95</v>
      </c>
      <c r="D52" s="46">
        <v>24707511048.400002</v>
      </c>
      <c r="E52" s="47">
        <v>226806948.78999999</v>
      </c>
      <c r="F52" s="47">
        <v>29532223.199999999</v>
      </c>
      <c r="G52" s="47">
        <v>197274725.59</v>
      </c>
      <c r="H52" s="70">
        <v>25805382867.91</v>
      </c>
      <c r="I52" s="43">
        <f t="shared" si="11"/>
        <v>2.9840737796543643E-2</v>
      </c>
      <c r="J52" s="47">
        <v>24864331185.650002</v>
      </c>
      <c r="K52" s="43">
        <f t="shared" si="12"/>
        <v>2.8719751737917222E-2</v>
      </c>
      <c r="L52" s="43">
        <f t="shared" si="13"/>
        <v>-3.6467262938006346E-2</v>
      </c>
      <c r="M52" s="55">
        <f t="shared" si="18"/>
        <v>1.1877344690873481E-3</v>
      </c>
      <c r="N52" s="55">
        <f t="shared" si="19"/>
        <v>7.9340451233956191E-3</v>
      </c>
      <c r="O52" s="60">
        <f t="shared" si="20"/>
        <v>1.0163398182828309</v>
      </c>
      <c r="P52" s="60">
        <f t="shared" si="21"/>
        <v>8.0636859789596834E-3</v>
      </c>
      <c r="Q52" s="46">
        <v>1</v>
      </c>
      <c r="R52" s="46">
        <v>1</v>
      </c>
      <c r="S52" s="46">
        <v>3051</v>
      </c>
      <c r="T52" s="47">
        <v>25596380894.139999</v>
      </c>
      <c r="U52" s="47">
        <v>24464584323.439999</v>
      </c>
    </row>
    <row r="53" spans="1:21" ht="15.75" customHeight="1">
      <c r="A53" s="90" t="s">
        <v>49</v>
      </c>
      <c r="B53" s="90"/>
      <c r="C53" s="90"/>
      <c r="D53" s="90"/>
      <c r="E53" s="90"/>
      <c r="F53" s="90"/>
      <c r="G53" s="90"/>
      <c r="H53" s="59">
        <f t="shared" ref="H53" si="22">SUM(H24:H52)</f>
        <v>864770269550.73999</v>
      </c>
      <c r="I53" s="79">
        <f>(H53/$H$172)</f>
        <v>0.42882727960147599</v>
      </c>
      <c r="J53" s="59">
        <f>SUM(J24:J52)</f>
        <v>865757176891.71021</v>
      </c>
      <c r="K53" s="79">
        <f>(J53/$J$172)</f>
        <v>0.40779576561009284</v>
      </c>
      <c r="L53" s="43">
        <f t="shared" si="13"/>
        <v>1.1412364366815324E-3</v>
      </c>
      <c r="M53" s="55"/>
      <c r="N53" s="55"/>
      <c r="O53" s="60"/>
      <c r="P53" s="60"/>
      <c r="Q53" s="46"/>
      <c r="R53" s="46"/>
      <c r="S53" s="59">
        <f>SUM(S24:S52)</f>
        <v>254575</v>
      </c>
      <c r="T53" s="46"/>
      <c r="U53" s="46"/>
    </row>
    <row r="54" spans="1:21" ht="7.5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</row>
    <row r="55" spans="1:21">
      <c r="A55" s="92" t="s">
        <v>96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</row>
    <row r="56" spans="1:21" ht="14.25">
      <c r="A56" s="85">
        <v>46</v>
      </c>
      <c r="B56" s="62" t="s">
        <v>97</v>
      </c>
      <c r="C56" s="62" t="s">
        <v>22</v>
      </c>
      <c r="D56" s="46">
        <v>472902173.05000001</v>
      </c>
      <c r="E56" s="46">
        <v>5558891.3799999999</v>
      </c>
      <c r="F56" s="46">
        <v>666784.07999999996</v>
      </c>
      <c r="G56" s="42">
        <v>4892107.3</v>
      </c>
      <c r="H56" s="46">
        <v>476485180.19999999</v>
      </c>
      <c r="I56" s="43">
        <f>(H56/$H$86)</f>
        <v>1.5996476874945923E-3</v>
      </c>
      <c r="J56" s="46">
        <v>479562029.92000002</v>
      </c>
      <c r="K56" s="43">
        <f>(J56/$J$86)</f>
        <v>1.6374556363384135E-3</v>
      </c>
      <c r="L56" s="43">
        <f t="shared" ref="L56:L86" si="23">((J56-H56)/H56)</f>
        <v>6.4573880738715761E-3</v>
      </c>
      <c r="M56" s="55">
        <f t="shared" ref="M56" si="24">(F56/J56)</f>
        <v>1.3904021552983085E-3</v>
      </c>
      <c r="N56" s="55">
        <f t="shared" ref="N56" si="25">G56/J56</f>
        <v>1.0201198165784926E-2</v>
      </c>
      <c r="O56" s="60">
        <f t="shared" ref="O56" si="26">J56/U56</f>
        <v>1.2479906490814221</v>
      </c>
      <c r="P56" s="60">
        <f t="shared" ref="P56" si="27">G56/U56</f>
        <v>1.2730999920326143E-2</v>
      </c>
      <c r="Q56" s="46">
        <v>1.23</v>
      </c>
      <c r="R56" s="46">
        <v>1.23</v>
      </c>
      <c r="S56" s="46">
        <v>302</v>
      </c>
      <c r="T56" s="46">
        <v>384676641.10000002</v>
      </c>
      <c r="U56" s="46">
        <v>384267326.25999999</v>
      </c>
    </row>
    <row r="57" spans="1:21" ht="13.5" customHeight="1">
      <c r="A57" s="85">
        <v>47</v>
      </c>
      <c r="B57" s="62" t="s">
        <v>98</v>
      </c>
      <c r="C57" s="46" t="s">
        <v>24</v>
      </c>
      <c r="D57" s="46">
        <v>995492943.03999996</v>
      </c>
      <c r="E57" s="46">
        <v>3893996.51</v>
      </c>
      <c r="F57" s="46">
        <v>2182328.36</v>
      </c>
      <c r="G57" s="70">
        <v>-2720831.85</v>
      </c>
      <c r="H57" s="70">
        <v>1123831828</v>
      </c>
      <c r="I57" s="43">
        <f t="shared" ref="I57:I85" si="28">(H57/$H$86)</f>
        <v>3.7729084964162763E-3</v>
      </c>
      <c r="J57" s="46">
        <v>1185017288</v>
      </c>
      <c r="K57" s="43">
        <f t="shared" ref="K57:K85" si="29">(J57/$J$86)</f>
        <v>4.0462195009845934E-3</v>
      </c>
      <c r="L57" s="43">
        <f t="shared" ref="L57:L85" si="30">((J57-H57)/H57)</f>
        <v>5.444360844352239E-2</v>
      </c>
      <c r="M57" s="55">
        <f t="shared" ref="M57:M85" si="31">(F57/J57)</f>
        <v>1.8416004408536527E-3</v>
      </c>
      <c r="N57" s="55">
        <f t="shared" ref="N57:N85" si="32">G57/J57</f>
        <v>-2.2960271361036886E-3</v>
      </c>
      <c r="O57" s="60">
        <f t="shared" ref="O57:O85" si="33">J57/U57</f>
        <v>1.1447578166326227</v>
      </c>
      <c r="P57" s="60">
        <f t="shared" ref="P57:P85" si="34">G57/U57</f>
        <v>-2.6283950112553122E-3</v>
      </c>
      <c r="Q57" s="46">
        <v>1.1448</v>
      </c>
      <c r="R57" s="46">
        <v>1.1448</v>
      </c>
      <c r="S57" s="46">
        <v>556</v>
      </c>
      <c r="T57" s="46">
        <v>978872766</v>
      </c>
      <c r="U57" s="46">
        <v>1035168549</v>
      </c>
    </row>
    <row r="58" spans="1:21" ht="15" customHeight="1">
      <c r="A58" s="85">
        <v>48</v>
      </c>
      <c r="B58" s="62" t="s">
        <v>99</v>
      </c>
      <c r="C58" s="62" t="s">
        <v>100</v>
      </c>
      <c r="D58" s="46">
        <v>866228394.45000005</v>
      </c>
      <c r="E58" s="46">
        <v>8407286.4499999993</v>
      </c>
      <c r="F58" s="70">
        <v>2019619.43</v>
      </c>
      <c r="G58" s="42">
        <v>6387667.0199999996</v>
      </c>
      <c r="H58" s="70">
        <v>987255624</v>
      </c>
      <c r="I58" s="43">
        <f t="shared" si="28"/>
        <v>3.3143972604452276E-3</v>
      </c>
      <c r="J58" s="46">
        <v>1004884127</v>
      </c>
      <c r="K58" s="43">
        <f t="shared" si="29"/>
        <v>3.4311581713373945E-3</v>
      </c>
      <c r="L58" s="43">
        <f t="shared" si="30"/>
        <v>1.7856067437302336E-2</v>
      </c>
      <c r="M58" s="55">
        <f t="shared" si="31"/>
        <v>2.0098032954599548E-3</v>
      </c>
      <c r="N58" s="55">
        <f t="shared" si="32"/>
        <v>6.3566204782932144E-3</v>
      </c>
      <c r="O58" s="60">
        <f t="shared" si="33"/>
        <v>1.0605403849424526</v>
      </c>
      <c r="P58" s="60">
        <f t="shared" si="34"/>
        <v>6.7414527289821639E-3</v>
      </c>
      <c r="Q58" s="46">
        <v>1.0605</v>
      </c>
      <c r="R58" s="46">
        <v>1.0605</v>
      </c>
      <c r="S58" s="46">
        <v>143</v>
      </c>
      <c r="T58" s="46">
        <v>936940056</v>
      </c>
      <c r="U58" s="46">
        <v>947520850</v>
      </c>
    </row>
    <row r="59" spans="1:21" ht="14.25">
      <c r="A59" s="85">
        <v>49</v>
      </c>
      <c r="B59" s="62" t="s">
        <v>101</v>
      </c>
      <c r="C59" s="46" t="s">
        <v>102</v>
      </c>
      <c r="D59" s="47">
        <v>211041932.40000001</v>
      </c>
      <c r="E59" s="47">
        <v>3109889.13</v>
      </c>
      <c r="F59" s="47">
        <v>400384.21</v>
      </c>
      <c r="G59" s="47">
        <v>2709504.92</v>
      </c>
      <c r="H59" s="47">
        <v>249210822.93000001</v>
      </c>
      <c r="I59" s="43">
        <f t="shared" si="28"/>
        <v>8.3664620257710757E-4</v>
      </c>
      <c r="J59" s="47">
        <v>257615178.27000001</v>
      </c>
      <c r="K59" s="43">
        <f t="shared" si="29"/>
        <v>8.7962223726283431E-4</v>
      </c>
      <c r="L59" s="43">
        <f t="shared" si="30"/>
        <v>3.3723877804298551E-2</v>
      </c>
      <c r="M59" s="55">
        <f t="shared" si="31"/>
        <v>1.5541949534524995E-3</v>
      </c>
      <c r="N59" s="55">
        <f t="shared" si="32"/>
        <v>1.051764472185034E-2</v>
      </c>
      <c r="O59" s="60">
        <f t="shared" si="33"/>
        <v>1088.9135948516359</v>
      </c>
      <c r="P59" s="60">
        <f t="shared" si="34"/>
        <v>11.452806323442386</v>
      </c>
      <c r="Q59" s="46">
        <v>1121.75</v>
      </c>
      <c r="R59" s="46">
        <v>1121.75</v>
      </c>
      <c r="S59" s="46">
        <v>118</v>
      </c>
      <c r="T59" s="46">
        <v>227830</v>
      </c>
      <c r="U59" s="46">
        <v>236580</v>
      </c>
    </row>
    <row r="60" spans="1:21" ht="14.25">
      <c r="A60" s="85">
        <v>50</v>
      </c>
      <c r="B60" s="62" t="s">
        <v>103</v>
      </c>
      <c r="C60" s="46" t="s">
        <v>104</v>
      </c>
      <c r="D60" s="46">
        <v>1442860004.3</v>
      </c>
      <c r="E60" s="46">
        <v>12356844.439999999</v>
      </c>
      <c r="F60" s="46">
        <v>2007694.97</v>
      </c>
      <c r="G60" s="42">
        <v>10349149.470000001</v>
      </c>
      <c r="H60" s="46">
        <v>1455273416.4400001</v>
      </c>
      <c r="I60" s="43">
        <f t="shared" si="28"/>
        <v>4.8856183823040985E-3</v>
      </c>
      <c r="J60" s="46">
        <v>1472909484.8599999</v>
      </c>
      <c r="K60" s="43">
        <f t="shared" si="29"/>
        <v>5.0292220553880248E-3</v>
      </c>
      <c r="L60" s="43">
        <f t="shared" si="30"/>
        <v>1.2118731930898952E-2</v>
      </c>
      <c r="M60" s="55">
        <f t="shared" si="31"/>
        <v>1.3630810247588509E-3</v>
      </c>
      <c r="N60" s="55">
        <f t="shared" si="32"/>
        <v>7.026330929618318E-3</v>
      </c>
      <c r="O60" s="60">
        <f t="shared" si="33"/>
        <v>1.0440821536873008</v>
      </c>
      <c r="P60" s="60">
        <f t="shared" si="34"/>
        <v>7.3360667295155882E-3</v>
      </c>
      <c r="Q60" s="42">
        <v>1.0441</v>
      </c>
      <c r="R60" s="42">
        <v>1.0441</v>
      </c>
      <c r="S60" s="46">
        <v>787</v>
      </c>
      <c r="T60" s="46">
        <v>1403726044.98</v>
      </c>
      <c r="U60" s="46">
        <v>1410721828.4100001</v>
      </c>
    </row>
    <row r="61" spans="1:21" ht="14.25">
      <c r="A61" s="85">
        <v>51</v>
      </c>
      <c r="B61" s="62" t="s">
        <v>105</v>
      </c>
      <c r="C61" s="62" t="s">
        <v>106</v>
      </c>
      <c r="D61" s="46">
        <v>433922416.72000003</v>
      </c>
      <c r="E61" s="46">
        <v>3574735.26</v>
      </c>
      <c r="F61" s="46">
        <v>835242.34</v>
      </c>
      <c r="G61" s="42">
        <v>2739492.92</v>
      </c>
      <c r="H61" s="46">
        <v>434558911.99000001</v>
      </c>
      <c r="I61" s="43">
        <f t="shared" si="28"/>
        <v>1.4588935554159122E-3</v>
      </c>
      <c r="J61" s="46">
        <v>416673693.13</v>
      </c>
      <c r="K61" s="43">
        <f t="shared" si="29"/>
        <v>1.4227245794323602E-3</v>
      </c>
      <c r="L61" s="43">
        <f t="shared" si="30"/>
        <v>-4.1157178846240268E-2</v>
      </c>
      <c r="M61" s="55">
        <f t="shared" si="31"/>
        <v>2.0045478122839131E-3</v>
      </c>
      <c r="N61" s="55">
        <f t="shared" si="32"/>
        <v>6.5746721359375392E-3</v>
      </c>
      <c r="O61" s="60">
        <f t="shared" si="33"/>
        <v>2.233749815176425</v>
      </c>
      <c r="P61" s="60">
        <f t="shared" si="34"/>
        <v>1.468617266849607E-2</v>
      </c>
      <c r="Q61" s="46">
        <v>2.2200000000000002</v>
      </c>
      <c r="R61" s="46">
        <v>2.2200000000000002</v>
      </c>
      <c r="S61" s="46">
        <v>1399</v>
      </c>
      <c r="T61" s="46">
        <v>191993049.24000001</v>
      </c>
      <c r="U61" s="46">
        <v>186535524.38999999</v>
      </c>
    </row>
    <row r="62" spans="1:21" ht="14.25">
      <c r="A62" s="85">
        <v>52</v>
      </c>
      <c r="B62" s="62" t="s">
        <v>107</v>
      </c>
      <c r="C62" s="62" t="s">
        <v>42</v>
      </c>
      <c r="D62" s="46">
        <v>2070130882</v>
      </c>
      <c r="E62" s="46">
        <v>20700136.48</v>
      </c>
      <c r="F62" s="46">
        <v>8109511</v>
      </c>
      <c r="G62" s="42">
        <v>12590625</v>
      </c>
      <c r="H62" s="46">
        <v>2107463383</v>
      </c>
      <c r="I62" s="43">
        <f t="shared" si="28"/>
        <v>7.0751390959954983E-3</v>
      </c>
      <c r="J62" s="46">
        <v>2058349947</v>
      </c>
      <c r="K62" s="43">
        <f t="shared" si="29"/>
        <v>7.0281976303133934E-3</v>
      </c>
      <c r="L62" s="43">
        <f t="shared" si="30"/>
        <v>-2.3304526378098406E-2</v>
      </c>
      <c r="M62" s="55">
        <f t="shared" si="31"/>
        <v>3.9398116009473679E-3</v>
      </c>
      <c r="N62" s="55">
        <f t="shared" si="32"/>
        <v>6.1168534623330497E-3</v>
      </c>
      <c r="O62" s="60">
        <f t="shared" si="33"/>
        <v>102.00599220485584</v>
      </c>
      <c r="P62" s="60">
        <f t="shared" si="34"/>
        <v>0.62395570659699062</v>
      </c>
      <c r="Q62" s="46">
        <v>102.01</v>
      </c>
      <c r="R62" s="46">
        <v>102.01</v>
      </c>
      <c r="S62" s="46">
        <v>117</v>
      </c>
      <c r="T62" s="46">
        <v>20799682</v>
      </c>
      <c r="U62" s="46">
        <v>20178716</v>
      </c>
    </row>
    <row r="63" spans="1:21" ht="14.25">
      <c r="A63" s="85">
        <v>53</v>
      </c>
      <c r="B63" s="46" t="s">
        <v>108</v>
      </c>
      <c r="C63" s="62" t="s">
        <v>58</v>
      </c>
      <c r="D63" s="46">
        <v>2544736496.6399999</v>
      </c>
      <c r="E63" s="46">
        <v>19638543.879999999</v>
      </c>
      <c r="F63" s="46">
        <v>4345021.24</v>
      </c>
      <c r="G63" s="42">
        <v>15293522.65</v>
      </c>
      <c r="H63" s="46">
        <v>2361571805.02</v>
      </c>
      <c r="I63" s="43">
        <f t="shared" si="28"/>
        <v>7.9282274323139029E-3</v>
      </c>
      <c r="J63" s="46">
        <v>2583357846.5700002</v>
      </c>
      <c r="K63" s="43">
        <f t="shared" si="29"/>
        <v>8.8208273437552585E-3</v>
      </c>
      <c r="L63" s="43">
        <f t="shared" si="30"/>
        <v>9.3914587343289307E-2</v>
      </c>
      <c r="M63" s="55">
        <f t="shared" si="31"/>
        <v>1.6819277460027506E-3</v>
      </c>
      <c r="N63" s="55">
        <f t="shared" si="32"/>
        <v>5.9200171088591765E-3</v>
      </c>
      <c r="O63" s="60">
        <f t="shared" si="33"/>
        <v>3973.1211317726488</v>
      </c>
      <c r="P63" s="60">
        <f t="shared" si="34"/>
        <v>23.520945075664013</v>
      </c>
      <c r="Q63" s="46">
        <v>3973.12</v>
      </c>
      <c r="R63" s="46">
        <v>3973.12</v>
      </c>
      <c r="S63" s="46">
        <v>1035</v>
      </c>
      <c r="T63" s="46">
        <v>598680.79</v>
      </c>
      <c r="U63" s="46">
        <v>650208.68000000005</v>
      </c>
    </row>
    <row r="64" spans="1:21" ht="14.25">
      <c r="A64" s="85">
        <v>54</v>
      </c>
      <c r="B64" s="62" t="s">
        <v>109</v>
      </c>
      <c r="C64" s="62" t="s">
        <v>60</v>
      </c>
      <c r="D64" s="46">
        <v>303350692.14999998</v>
      </c>
      <c r="E64" s="46">
        <v>3168185.32</v>
      </c>
      <c r="F64" s="46">
        <v>656903.04</v>
      </c>
      <c r="G64" s="42">
        <v>2511282.2799999998</v>
      </c>
      <c r="H64" s="46">
        <v>334563380.54000002</v>
      </c>
      <c r="I64" s="43">
        <f t="shared" si="28"/>
        <v>1.1231903115571113E-3</v>
      </c>
      <c r="J64" s="46">
        <v>334563380.54000002</v>
      </c>
      <c r="K64" s="43">
        <f t="shared" si="29"/>
        <v>1.1423604434843296E-3</v>
      </c>
      <c r="L64" s="43">
        <f t="shared" si="30"/>
        <v>0</v>
      </c>
      <c r="M64" s="55">
        <f t="shared" si="31"/>
        <v>1.9634636610250935E-3</v>
      </c>
      <c r="N64" s="55">
        <f t="shared" si="32"/>
        <v>7.5061480905252677E-3</v>
      </c>
      <c r="O64" s="60">
        <f t="shared" si="33"/>
        <v>106.74213896246516</v>
      </c>
      <c r="P64" s="60">
        <f t="shared" si="34"/>
        <v>0.80122230255169069</v>
      </c>
      <c r="Q64" s="46">
        <v>106.84</v>
      </c>
      <c r="R64" s="46">
        <v>106.84</v>
      </c>
      <c r="S64" s="46">
        <v>122</v>
      </c>
      <c r="T64" s="46">
        <v>3115318</v>
      </c>
      <c r="U64" s="46">
        <v>3134314</v>
      </c>
    </row>
    <row r="65" spans="1:21" ht="14.25">
      <c r="A65" s="85">
        <v>55</v>
      </c>
      <c r="B65" s="46" t="s">
        <v>110</v>
      </c>
      <c r="C65" s="46" t="s">
        <v>64</v>
      </c>
      <c r="D65" s="70">
        <v>320347481.10000002</v>
      </c>
      <c r="E65" s="70">
        <v>-3801684.31</v>
      </c>
      <c r="F65" s="70">
        <v>3382849.46</v>
      </c>
      <c r="G65" s="70">
        <v>-925092.41</v>
      </c>
      <c r="H65" s="47" t="s">
        <v>237</v>
      </c>
      <c r="I65" s="43">
        <f t="shared" si="28"/>
        <v>1.208481751418502E-3</v>
      </c>
      <c r="J65" s="70">
        <v>317326810.56</v>
      </c>
      <c r="K65" s="43">
        <f t="shared" si="29"/>
        <v>1.0835064957070194E-3</v>
      </c>
      <c r="L65" s="43">
        <f t="shared" si="30"/>
        <v>-0.11846082907848356</v>
      </c>
      <c r="M65" s="55">
        <f t="shared" si="31"/>
        <v>1.0660459020245226E-2</v>
      </c>
      <c r="N65" s="55">
        <f t="shared" si="32"/>
        <v>-2.9152670975624482E-3</v>
      </c>
      <c r="O65" s="60">
        <f t="shared" si="33"/>
        <v>1.3664807751262238</v>
      </c>
      <c r="P65" s="60">
        <f t="shared" si="34"/>
        <v>-3.9836564431771108E-3</v>
      </c>
      <c r="Q65" s="70">
        <v>1.3665</v>
      </c>
      <c r="R65" s="70">
        <v>1.3665</v>
      </c>
      <c r="S65" s="70">
        <v>307</v>
      </c>
      <c r="T65" s="70">
        <v>251529424.63999999</v>
      </c>
      <c r="U65" s="70">
        <v>232221935.59999999</v>
      </c>
    </row>
    <row r="66" spans="1:21" ht="14.25">
      <c r="A66" s="85">
        <v>56</v>
      </c>
      <c r="B66" s="62" t="s">
        <v>231</v>
      </c>
      <c r="C66" s="62" t="s">
        <v>46</v>
      </c>
      <c r="D66" s="46">
        <v>63566585.479999997</v>
      </c>
      <c r="E66" s="46">
        <v>728134.59</v>
      </c>
      <c r="F66" s="46">
        <v>96780.52</v>
      </c>
      <c r="G66" s="42">
        <v>631354.06999999995</v>
      </c>
      <c r="H66" s="47">
        <v>65509859.710000001</v>
      </c>
      <c r="I66" s="43">
        <f t="shared" si="28"/>
        <v>2.1992855171111713E-4</v>
      </c>
      <c r="J66" s="47">
        <v>66925353.93</v>
      </c>
      <c r="K66" s="43">
        <f t="shared" si="29"/>
        <v>2.2851537688441039E-4</v>
      </c>
      <c r="L66" s="43">
        <f>((J66-H66)/H66)</f>
        <v>2.1607346226447884E-2</v>
      </c>
      <c r="M66" s="55">
        <f t="shared" si="31"/>
        <v>1.446096498813092E-3</v>
      </c>
      <c r="N66" s="55">
        <f t="shared" si="32"/>
        <v>9.4337053586651086E-3</v>
      </c>
      <c r="O66" s="60">
        <f t="shared" si="33"/>
        <v>111.30439349587964</v>
      </c>
      <c r="P66" s="60">
        <f t="shared" si="34"/>
        <v>1.0500128533650495</v>
      </c>
      <c r="Q66" s="46">
        <v>111.3044</v>
      </c>
      <c r="R66" s="46">
        <v>111.3044</v>
      </c>
      <c r="S66" s="46">
        <v>82</v>
      </c>
      <c r="T66" s="46">
        <v>594383.29</v>
      </c>
      <c r="U66" s="46">
        <v>601282.23</v>
      </c>
    </row>
    <row r="67" spans="1:21" ht="14.25">
      <c r="A67" s="85">
        <v>57</v>
      </c>
      <c r="B67" s="62" t="s">
        <v>111</v>
      </c>
      <c r="C67" s="62" t="s">
        <v>112</v>
      </c>
      <c r="D67" s="46">
        <v>1194670463.05</v>
      </c>
      <c r="E67" s="46">
        <v>12966770.609999999</v>
      </c>
      <c r="F67" s="70">
        <v>9911517.6099999994</v>
      </c>
      <c r="G67" s="70">
        <v>3055252.99</v>
      </c>
      <c r="H67" s="46">
        <v>927537388.94000006</v>
      </c>
      <c r="I67" s="43">
        <f t="shared" si="28"/>
        <v>3.1139122494006233E-3</v>
      </c>
      <c r="J67" s="70">
        <v>1003939098.41</v>
      </c>
      <c r="K67" s="43">
        <f t="shared" si="29"/>
        <v>3.4279313887844586E-3</v>
      </c>
      <c r="L67" s="43">
        <f t="shared" si="30"/>
        <v>8.2370490269198335E-2</v>
      </c>
      <c r="M67" s="55">
        <f t="shared" si="31"/>
        <v>9.8726283553429474E-3</v>
      </c>
      <c r="N67" s="55">
        <f t="shared" si="32"/>
        <v>3.0432652686191745E-3</v>
      </c>
      <c r="O67" s="60">
        <f t="shared" si="33"/>
        <v>1101.0121584997883</v>
      </c>
      <c r="P67" s="60">
        <f t="shared" si="34"/>
        <v>3.3506720622898349</v>
      </c>
      <c r="Q67" s="46">
        <v>1000</v>
      </c>
      <c r="R67" s="46">
        <v>1000</v>
      </c>
      <c r="S67" s="46">
        <v>267</v>
      </c>
      <c r="T67" s="70">
        <v>837262.89</v>
      </c>
      <c r="U67" s="70">
        <v>911832.89</v>
      </c>
    </row>
    <row r="68" spans="1:21" ht="14.25">
      <c r="A68" s="85">
        <v>58</v>
      </c>
      <c r="B68" s="62" t="s">
        <v>113</v>
      </c>
      <c r="C68" s="62" t="s">
        <v>66</v>
      </c>
      <c r="D68" s="46">
        <v>219486233.74000001</v>
      </c>
      <c r="E68" s="46">
        <v>2437347.67</v>
      </c>
      <c r="F68" s="46">
        <v>571270.36</v>
      </c>
      <c r="G68" s="42">
        <v>1866077.31</v>
      </c>
      <c r="H68" s="46">
        <v>239631806.47999999</v>
      </c>
      <c r="I68" s="43">
        <f t="shared" si="28"/>
        <v>8.0448769660577079E-4</v>
      </c>
      <c r="J68" s="46">
        <v>221162754.41</v>
      </c>
      <c r="K68" s="43">
        <f t="shared" si="29"/>
        <v>7.5515611362558311E-4</v>
      </c>
      <c r="L68" s="43">
        <f t="shared" si="30"/>
        <v>-7.7072623794377002E-2</v>
      </c>
      <c r="M68" s="55">
        <f t="shared" si="31"/>
        <v>2.5830314942675977E-3</v>
      </c>
      <c r="N68" s="55">
        <f t="shared" si="32"/>
        <v>8.4375749206875694E-3</v>
      </c>
      <c r="O68" s="60">
        <f t="shared" si="33"/>
        <v>1118.7860968428934</v>
      </c>
      <c r="P68" s="60">
        <f t="shared" si="34"/>
        <v>9.4398415123355299</v>
      </c>
      <c r="Q68" s="46">
        <v>1109.1199999999999</v>
      </c>
      <c r="R68" s="46">
        <v>1119.0899999999999</v>
      </c>
      <c r="S68" s="46">
        <v>281</v>
      </c>
      <c r="T68" s="46">
        <v>215281</v>
      </c>
      <c r="U68" s="46">
        <v>197681</v>
      </c>
    </row>
    <row r="69" spans="1:21" ht="14.25">
      <c r="A69" s="85">
        <v>59</v>
      </c>
      <c r="B69" s="62" t="s">
        <v>114</v>
      </c>
      <c r="C69" s="46" t="s">
        <v>69</v>
      </c>
      <c r="D69" s="70">
        <v>746373178.89999998</v>
      </c>
      <c r="E69" s="70">
        <v>8847010.2200000007</v>
      </c>
      <c r="F69" s="70">
        <v>1252731.18</v>
      </c>
      <c r="G69" s="70">
        <v>7594279.04</v>
      </c>
      <c r="H69" s="47">
        <v>747401164.46000004</v>
      </c>
      <c r="I69" s="43">
        <f t="shared" si="28"/>
        <v>2.5091620768926582E-3</v>
      </c>
      <c r="J69" s="70">
        <v>746373178.89999998</v>
      </c>
      <c r="K69" s="43">
        <f t="shared" si="29"/>
        <v>2.5484773446419477E-3</v>
      </c>
      <c r="L69" s="43">
        <f t="shared" si="30"/>
        <v>-1.3754133775571319E-3</v>
      </c>
      <c r="M69" s="55">
        <f t="shared" si="31"/>
        <v>1.6784247014961968E-3</v>
      </c>
      <c r="N69" s="55">
        <f t="shared" si="32"/>
        <v>1.0174908818658785E-2</v>
      </c>
      <c r="O69" s="60">
        <f t="shared" si="33"/>
        <v>1.0999074053871634</v>
      </c>
      <c r="P69" s="60">
        <f t="shared" si="34"/>
        <v>1.119145755878195E-2</v>
      </c>
      <c r="Q69" s="46">
        <v>1.1000000000000001</v>
      </c>
      <c r="R69" s="46">
        <v>1.1000000000000001</v>
      </c>
      <c r="S69" s="46">
        <v>38</v>
      </c>
      <c r="T69" s="70">
        <v>678532436.09000003</v>
      </c>
      <c r="U69" s="47">
        <v>678578192.35000002</v>
      </c>
    </row>
    <row r="70" spans="1:21" ht="14.25">
      <c r="A70" s="85">
        <v>60</v>
      </c>
      <c r="B70" s="62" t="s">
        <v>225</v>
      </c>
      <c r="C70" s="62" t="s">
        <v>28</v>
      </c>
      <c r="D70" s="46">
        <v>66398536013.690002</v>
      </c>
      <c r="E70" s="47">
        <v>706596120.88</v>
      </c>
      <c r="F70" s="70">
        <v>75817387.079999998</v>
      </c>
      <c r="G70" s="70">
        <v>630778733.79999995</v>
      </c>
      <c r="H70" s="70">
        <v>66365119455.800003</v>
      </c>
      <c r="I70" s="43">
        <f t="shared" si="28"/>
        <v>0.22279981472500968</v>
      </c>
      <c r="J70" s="70">
        <v>66398536013.690002</v>
      </c>
      <c r="K70" s="43">
        <f t="shared" si="29"/>
        <v>0.22671656690245712</v>
      </c>
      <c r="L70" s="43">
        <f t="shared" si="30"/>
        <v>5.0352592090571367E-4</v>
      </c>
      <c r="M70" s="55">
        <f t="shared" si="31"/>
        <v>1.1418532942408252E-3</v>
      </c>
      <c r="N70" s="55">
        <f t="shared" si="32"/>
        <v>9.4998891793329071E-3</v>
      </c>
      <c r="O70" s="60">
        <f t="shared" si="33"/>
        <v>1532.2754600854046</v>
      </c>
      <c r="P70" s="60">
        <f t="shared" si="34"/>
        <v>14.556447063022686</v>
      </c>
      <c r="Q70" s="70">
        <v>1532.27</v>
      </c>
      <c r="R70" s="70">
        <v>1532.27</v>
      </c>
      <c r="S70" s="70">
        <v>2461</v>
      </c>
      <c r="T70" s="70">
        <v>43730720.799999997</v>
      </c>
      <c r="U70" s="48">
        <v>43333289.439999998</v>
      </c>
    </row>
    <row r="71" spans="1:21" ht="14.25">
      <c r="A71" s="85">
        <v>61</v>
      </c>
      <c r="B71" s="62" t="s">
        <v>115</v>
      </c>
      <c r="C71" s="62" t="s">
        <v>75</v>
      </c>
      <c r="D71" s="46">
        <v>23195254.98</v>
      </c>
      <c r="E71" s="46">
        <v>273948.17</v>
      </c>
      <c r="F71" s="46">
        <v>255577.95</v>
      </c>
      <c r="G71" s="42">
        <v>18370.22</v>
      </c>
      <c r="H71" s="46">
        <v>24685557.829999998</v>
      </c>
      <c r="I71" s="43">
        <f t="shared" si="28"/>
        <v>8.2873921662576653E-5</v>
      </c>
      <c r="J71" s="46">
        <v>24888688.949999999</v>
      </c>
      <c r="K71" s="43">
        <f t="shared" si="29"/>
        <v>8.4981965751228559E-5</v>
      </c>
      <c r="L71" s="43">
        <f t="shared" si="30"/>
        <v>8.2287433566981729E-3</v>
      </c>
      <c r="M71" s="55">
        <f t="shared" si="31"/>
        <v>1.0268839411888749E-2</v>
      </c>
      <c r="N71" s="55">
        <f t="shared" si="32"/>
        <v>7.3809512573783044E-4</v>
      </c>
      <c r="O71" s="60">
        <f t="shared" si="33"/>
        <v>0.75809699030256217</v>
      </c>
      <c r="P71" s="60">
        <f t="shared" si="34"/>
        <v>5.5954769337884043E-4</v>
      </c>
      <c r="Q71" s="42">
        <v>0.76</v>
      </c>
      <c r="R71" s="42">
        <v>0.76</v>
      </c>
      <c r="S71" s="46">
        <v>748</v>
      </c>
      <c r="T71" s="46">
        <v>32830481.149999999</v>
      </c>
      <c r="U71" s="46">
        <v>32830481.149999999</v>
      </c>
    </row>
    <row r="72" spans="1:21" ht="14.25">
      <c r="A72" s="85">
        <v>62</v>
      </c>
      <c r="B72" s="46" t="s">
        <v>116</v>
      </c>
      <c r="C72" s="46" t="s">
        <v>117</v>
      </c>
      <c r="D72" s="46">
        <v>1060509363.85</v>
      </c>
      <c r="E72" s="46">
        <v>49168714.609999999</v>
      </c>
      <c r="F72" s="46">
        <v>18232092.260000002</v>
      </c>
      <c r="G72" s="42">
        <v>30936622.350000001</v>
      </c>
      <c r="H72" s="46">
        <v>1078012047.1400001</v>
      </c>
      <c r="I72" s="43">
        <f t="shared" si="28"/>
        <v>3.6190831319769397E-3</v>
      </c>
      <c r="J72" s="46">
        <v>1050425230.46</v>
      </c>
      <c r="K72" s="43">
        <f t="shared" si="29"/>
        <v>3.5866574225147402E-3</v>
      </c>
      <c r="L72" s="43">
        <f t="shared" si="30"/>
        <v>-2.5590453050305662E-2</v>
      </c>
      <c r="M72" s="55">
        <f t="shared" si="31"/>
        <v>1.7356868181865586E-2</v>
      </c>
      <c r="N72" s="55">
        <f t="shared" si="32"/>
        <v>2.9451522538593539E-2</v>
      </c>
      <c r="O72" s="60">
        <f t="shared" si="33"/>
        <v>211.97189654742135</v>
      </c>
      <c r="P72" s="60">
        <f t="shared" si="34"/>
        <v>6.242895088714798</v>
      </c>
      <c r="Q72" s="42">
        <v>211.97190000000001</v>
      </c>
      <c r="R72" s="42">
        <v>214.0068</v>
      </c>
      <c r="S72" s="46">
        <v>488</v>
      </c>
      <c r="T72" s="46">
        <v>5133374.3600000003</v>
      </c>
      <c r="U72" s="46">
        <v>4955492.91</v>
      </c>
    </row>
    <row r="73" spans="1:21" ht="14.25">
      <c r="A73" s="85">
        <v>63</v>
      </c>
      <c r="B73" s="62" t="s">
        <v>118</v>
      </c>
      <c r="C73" s="46" t="s">
        <v>36</v>
      </c>
      <c r="D73" s="70">
        <v>1226651506.95</v>
      </c>
      <c r="E73" s="70">
        <v>10059860.720000001</v>
      </c>
      <c r="F73" s="70">
        <v>1511169.98</v>
      </c>
      <c r="G73" s="70">
        <v>8548690.7400000002</v>
      </c>
      <c r="H73" s="46">
        <v>1242799890.6500001</v>
      </c>
      <c r="I73" s="43">
        <f t="shared" si="28"/>
        <v>4.1723059891649594E-3</v>
      </c>
      <c r="J73" s="70">
        <v>1216775957.97</v>
      </c>
      <c r="K73" s="43">
        <f t="shared" si="29"/>
        <v>4.1546588892190268E-3</v>
      </c>
      <c r="L73" s="43">
        <f t="shared" si="30"/>
        <v>-2.0939760999165537E-2</v>
      </c>
      <c r="M73" s="55">
        <f t="shared" si="31"/>
        <v>1.2419459557050669E-3</v>
      </c>
      <c r="N73" s="55">
        <f t="shared" si="32"/>
        <v>7.0256900491871572E-3</v>
      </c>
      <c r="O73" s="60">
        <f t="shared" si="33"/>
        <v>3.1314795823587103</v>
      </c>
      <c r="P73" s="60">
        <f t="shared" si="34"/>
        <v>2.2000804941010348E-2</v>
      </c>
      <c r="Q73" s="70">
        <v>3.57</v>
      </c>
      <c r="R73" s="70">
        <v>3.57</v>
      </c>
      <c r="S73" s="46">
        <v>781</v>
      </c>
      <c r="T73" s="70">
        <v>397204966</v>
      </c>
      <c r="U73" s="70">
        <v>388562635</v>
      </c>
    </row>
    <row r="74" spans="1:21" ht="14.25">
      <c r="A74" s="85">
        <v>64</v>
      </c>
      <c r="B74" s="62" t="s">
        <v>121</v>
      </c>
      <c r="C74" s="62" t="s">
        <v>20</v>
      </c>
      <c r="D74" s="46">
        <v>1220860167.3599999</v>
      </c>
      <c r="E74" s="46">
        <v>15916648.029999999</v>
      </c>
      <c r="F74" s="46">
        <v>2057744.24</v>
      </c>
      <c r="G74" s="42">
        <v>13858903.789999999</v>
      </c>
      <c r="H74" s="46">
        <v>1647413313.29</v>
      </c>
      <c r="I74" s="43">
        <f t="shared" si="28"/>
        <v>5.5306670730997749E-3</v>
      </c>
      <c r="J74" s="46">
        <v>1197921353.8</v>
      </c>
      <c r="K74" s="43">
        <f t="shared" si="29"/>
        <v>4.0902801937784256E-3</v>
      </c>
      <c r="L74" s="43">
        <f t="shared" si="30"/>
        <v>-0.27284710877583784</v>
      </c>
      <c r="M74" s="55">
        <f t="shared" si="31"/>
        <v>1.7177623835425448E-3</v>
      </c>
      <c r="N74" s="55">
        <f t="shared" si="32"/>
        <v>1.1569126592524057E-2</v>
      </c>
      <c r="O74" s="60">
        <f t="shared" si="33"/>
        <v>337.35730343181871</v>
      </c>
      <c r="P74" s="60">
        <f t="shared" si="34"/>
        <v>3.9029293503152611</v>
      </c>
      <c r="Q74" s="70">
        <v>337.36</v>
      </c>
      <c r="R74" s="70">
        <v>337.36</v>
      </c>
      <c r="S74" s="70">
        <v>103</v>
      </c>
      <c r="T74" s="70">
        <v>4831425.88</v>
      </c>
      <c r="U74" s="70">
        <v>3550897.94</v>
      </c>
    </row>
    <row r="75" spans="1:21" ht="14.25">
      <c r="A75" s="85">
        <v>65</v>
      </c>
      <c r="B75" s="46" t="s">
        <v>122</v>
      </c>
      <c r="C75" s="46" t="s">
        <v>40</v>
      </c>
      <c r="D75" s="46">
        <v>55516380.32</v>
      </c>
      <c r="E75" s="46">
        <v>1338671.48</v>
      </c>
      <c r="F75" s="46">
        <v>150728.22</v>
      </c>
      <c r="G75" s="42">
        <v>1187835.76</v>
      </c>
      <c r="H75" s="46">
        <v>55325409.229999997</v>
      </c>
      <c r="I75" s="43">
        <f t="shared" si="28"/>
        <v>1.8573749323602041E-4</v>
      </c>
      <c r="J75" s="46">
        <v>55614919.840000004</v>
      </c>
      <c r="K75" s="43">
        <f t="shared" si="29"/>
        <v>1.8989610993953951E-4</v>
      </c>
      <c r="L75" s="43">
        <f t="shared" si="30"/>
        <v>5.2328688396401559E-3</v>
      </c>
      <c r="M75" s="55">
        <f t="shared" si="31"/>
        <v>2.7102119437308171E-3</v>
      </c>
      <c r="N75" s="55">
        <f t="shared" si="32"/>
        <v>2.1358221200665491E-2</v>
      </c>
      <c r="O75" s="60">
        <f t="shared" si="33"/>
        <v>12.115999273627205</v>
      </c>
      <c r="P75" s="60">
        <f t="shared" si="34"/>
        <v>0.25877619255323231</v>
      </c>
      <c r="Q75" s="46">
        <v>11.95</v>
      </c>
      <c r="R75" s="46">
        <v>12.15</v>
      </c>
      <c r="S75" s="46">
        <v>55</v>
      </c>
      <c r="T75" s="46">
        <v>4595044.95</v>
      </c>
      <c r="U75" s="46">
        <v>4590204.95</v>
      </c>
    </row>
    <row r="76" spans="1:21" ht="14.25">
      <c r="A76" s="85">
        <v>66</v>
      </c>
      <c r="B76" s="62" t="s">
        <v>123</v>
      </c>
      <c r="C76" s="62" t="s">
        <v>124</v>
      </c>
      <c r="D76" s="46">
        <v>6838038816.54</v>
      </c>
      <c r="E76" s="46">
        <v>67908528.069999993</v>
      </c>
      <c r="F76" s="46">
        <v>9319387.4600000009</v>
      </c>
      <c r="G76" s="42">
        <v>58589140.609999999</v>
      </c>
      <c r="H76" s="46">
        <v>6797647047</v>
      </c>
      <c r="I76" s="43">
        <f t="shared" si="28"/>
        <v>2.2820941408028275E-2</v>
      </c>
      <c r="J76" s="46">
        <v>6856935460</v>
      </c>
      <c r="K76" s="43">
        <f t="shared" si="29"/>
        <v>2.3412878661095753E-2</v>
      </c>
      <c r="L76" s="43">
        <f t="shared" si="30"/>
        <v>8.7219022391234191E-3</v>
      </c>
      <c r="M76" s="55">
        <f t="shared" si="31"/>
        <v>1.3591184450203358E-3</v>
      </c>
      <c r="N76" s="55">
        <f t="shared" si="32"/>
        <v>8.5445081044994986E-3</v>
      </c>
      <c r="O76" s="60">
        <f t="shared" si="33"/>
        <v>1.0999999999839578</v>
      </c>
      <c r="P76" s="60">
        <f t="shared" si="34"/>
        <v>9.3989589148123758E-3</v>
      </c>
      <c r="Q76" s="46">
        <v>1.1000000000000001</v>
      </c>
      <c r="R76" s="46">
        <v>1.1000000000000001</v>
      </c>
      <c r="S76" s="46">
        <v>3632</v>
      </c>
      <c r="T76" s="46">
        <v>6236373438</v>
      </c>
      <c r="U76" s="46">
        <v>6233577691</v>
      </c>
    </row>
    <row r="77" spans="1:21" ht="14.25">
      <c r="A77" s="85">
        <v>67</v>
      </c>
      <c r="B77" s="46" t="s">
        <v>125</v>
      </c>
      <c r="C77" s="62" t="s">
        <v>44</v>
      </c>
      <c r="D77" s="70">
        <v>22281053392.970001</v>
      </c>
      <c r="E77" s="70">
        <v>210003281.53</v>
      </c>
      <c r="F77" s="70">
        <v>24914094.48</v>
      </c>
      <c r="G77" s="70">
        <v>185089187.05000001</v>
      </c>
      <c r="H77" s="70">
        <v>22327364852.099998</v>
      </c>
      <c r="I77" s="43">
        <f t="shared" si="28"/>
        <v>7.495703756939176E-2</v>
      </c>
      <c r="J77" s="70">
        <v>22305888573.380001</v>
      </c>
      <c r="K77" s="43">
        <f t="shared" si="29"/>
        <v>7.6163041878254498E-2</v>
      </c>
      <c r="L77" s="43">
        <f t="shared" si="30"/>
        <v>-9.6188147872620336E-4</v>
      </c>
      <c r="M77" s="55">
        <f t="shared" si="31"/>
        <v>1.1169290296613717E-3</v>
      </c>
      <c r="N77" s="55">
        <f t="shared" si="32"/>
        <v>8.2977724218925176E-3</v>
      </c>
      <c r="O77" s="60">
        <f t="shared" si="33"/>
        <v>4968.1173216409416</v>
      </c>
      <c r="P77" s="60">
        <f t="shared" si="34"/>
        <v>41.224306900238723</v>
      </c>
      <c r="Q77" s="46">
        <v>4968.12</v>
      </c>
      <c r="R77" s="46">
        <v>4968.12</v>
      </c>
      <c r="S77" s="46">
        <v>431</v>
      </c>
      <c r="T77" s="70">
        <v>4531457.67</v>
      </c>
      <c r="U77" s="70">
        <v>4489807.13</v>
      </c>
    </row>
    <row r="78" spans="1:21" ht="14.25">
      <c r="A78" s="85">
        <v>68</v>
      </c>
      <c r="B78" s="62" t="s">
        <v>126</v>
      </c>
      <c r="C78" s="62" t="s">
        <v>44</v>
      </c>
      <c r="D78" s="70">
        <v>36413530895.370003</v>
      </c>
      <c r="E78" s="70">
        <v>277459215.74000001</v>
      </c>
      <c r="F78" s="70">
        <v>60980903.079999998</v>
      </c>
      <c r="G78" s="70">
        <v>216478312.66</v>
      </c>
      <c r="H78" s="70">
        <v>38481908416.360001</v>
      </c>
      <c r="I78" s="43">
        <f t="shared" si="28"/>
        <v>0.129190787807442</v>
      </c>
      <c r="J78" s="70">
        <v>36532780624.690002</v>
      </c>
      <c r="K78" s="43">
        <f t="shared" si="29"/>
        <v>0.12474050031649225</v>
      </c>
      <c r="L78" s="43">
        <f t="shared" si="30"/>
        <v>-5.065049712662785E-2</v>
      </c>
      <c r="M78" s="55">
        <f t="shared" si="31"/>
        <v>1.6692105565812635E-3</v>
      </c>
      <c r="N78" s="55">
        <f t="shared" si="32"/>
        <v>5.9255909065322318E-3</v>
      </c>
      <c r="O78" s="60">
        <f t="shared" si="33"/>
        <v>255.38206371557129</v>
      </c>
      <c r="P78" s="60">
        <f t="shared" si="34"/>
        <v>1.5132896344444242</v>
      </c>
      <c r="Q78" s="46">
        <v>255.38</v>
      </c>
      <c r="R78" s="46">
        <v>255.38</v>
      </c>
      <c r="S78" s="46">
        <v>6691</v>
      </c>
      <c r="T78" s="70">
        <v>150952819.84</v>
      </c>
      <c r="U78" s="70">
        <v>143051473.91</v>
      </c>
    </row>
    <row r="79" spans="1:21" ht="14.25">
      <c r="A79" s="85">
        <v>69</v>
      </c>
      <c r="B79" s="46" t="s">
        <v>127</v>
      </c>
      <c r="C79" s="62" t="s">
        <v>44</v>
      </c>
      <c r="D79" s="70">
        <v>259670750.97999999</v>
      </c>
      <c r="E79" s="70">
        <v>2404204.7799999998</v>
      </c>
      <c r="F79" s="70">
        <v>439459.22</v>
      </c>
      <c r="G79" s="70">
        <v>4489692.7</v>
      </c>
      <c r="H79" s="70">
        <v>287713996.52999997</v>
      </c>
      <c r="I79" s="43">
        <f t="shared" si="28"/>
        <v>9.6590838148598855E-4</v>
      </c>
      <c r="J79" s="70">
        <v>291058110.44999999</v>
      </c>
      <c r="K79" s="43">
        <f t="shared" si="29"/>
        <v>9.9381250750370286E-4</v>
      </c>
      <c r="L79" s="43">
        <f t="shared" si="30"/>
        <v>1.1623049140229526E-2</v>
      </c>
      <c r="M79" s="55">
        <f t="shared" si="31"/>
        <v>1.5098676320015943E-3</v>
      </c>
      <c r="N79" s="55">
        <f t="shared" si="32"/>
        <v>1.5425416914369995E-2</v>
      </c>
      <c r="O79" s="60">
        <f t="shared" si="33"/>
        <v>5162.7403755844398</v>
      </c>
      <c r="P79" s="60">
        <f t="shared" si="34"/>
        <v>79.637422714041122</v>
      </c>
      <c r="Q79" s="70">
        <v>5148.5</v>
      </c>
      <c r="R79" s="46">
        <v>5172.5</v>
      </c>
      <c r="S79" s="46">
        <v>16</v>
      </c>
      <c r="T79" s="70">
        <v>56305.14</v>
      </c>
      <c r="U79" s="70">
        <v>56376.67</v>
      </c>
    </row>
    <row r="80" spans="1:21" ht="14.25">
      <c r="A80" s="85">
        <v>70</v>
      </c>
      <c r="B80" s="62" t="s">
        <v>128</v>
      </c>
      <c r="C80" s="62" t="s">
        <v>44</v>
      </c>
      <c r="D80" s="70">
        <v>18767784461.060001</v>
      </c>
      <c r="E80" s="70">
        <v>172789999</v>
      </c>
      <c r="F80" s="70">
        <v>25947377.620000001</v>
      </c>
      <c r="G80" s="70">
        <v>146842621.38</v>
      </c>
      <c r="H80" s="70">
        <v>19514662600.720001</v>
      </c>
      <c r="I80" s="43">
        <f t="shared" si="28"/>
        <v>6.5514282917206568E-2</v>
      </c>
      <c r="J80" s="70">
        <v>18755618432.400002</v>
      </c>
      <c r="K80" s="43">
        <f t="shared" si="29"/>
        <v>6.4040710479662616E-2</v>
      </c>
      <c r="L80" s="43">
        <f t="shared" si="30"/>
        <v>-3.8896094892872726E-2</v>
      </c>
      <c r="M80" s="55">
        <f t="shared" si="31"/>
        <v>1.3834455906383957E-3</v>
      </c>
      <c r="N80" s="55">
        <f t="shared" si="32"/>
        <v>7.8292604378393596E-3</v>
      </c>
      <c r="O80" s="60">
        <f t="shared" si="33"/>
        <v>125.00998347198828</v>
      </c>
      <c r="P80" s="60">
        <f t="shared" si="34"/>
        <v>0.97873571793219005</v>
      </c>
      <c r="Q80" s="62">
        <v>125.01</v>
      </c>
      <c r="R80" s="42">
        <v>125.01</v>
      </c>
      <c r="S80" s="46">
        <v>4213</v>
      </c>
      <c r="T80" s="70">
        <v>154299489.05000001</v>
      </c>
      <c r="U80" s="70">
        <v>150032964.66</v>
      </c>
    </row>
    <row r="81" spans="1:21" ht="14.25">
      <c r="A81" s="85">
        <v>71</v>
      </c>
      <c r="B81" s="62" t="s">
        <v>129</v>
      </c>
      <c r="C81" s="62" t="s">
        <v>44</v>
      </c>
      <c r="D81" s="70">
        <v>13362363063.74</v>
      </c>
      <c r="E81" s="70">
        <v>91935986.299999997</v>
      </c>
      <c r="F81" s="70">
        <v>25168874.960000001</v>
      </c>
      <c r="G81" s="42">
        <v>77135677.260000005</v>
      </c>
      <c r="H81" s="70">
        <v>13606098434.74</v>
      </c>
      <c r="I81" s="43">
        <f t="shared" si="28"/>
        <v>4.567815495923714E-2</v>
      </c>
      <c r="J81" s="46">
        <v>14426908306.959999</v>
      </c>
      <c r="K81" s="43">
        <f t="shared" si="29"/>
        <v>4.9260410224950382E-2</v>
      </c>
      <c r="L81" s="43">
        <f t="shared" si="30"/>
        <v>6.0326615756670754E-2</v>
      </c>
      <c r="M81" s="55">
        <f t="shared" si="31"/>
        <v>1.7445785628136096E-3</v>
      </c>
      <c r="N81" s="55">
        <f t="shared" si="32"/>
        <v>5.3466533243846362E-3</v>
      </c>
      <c r="O81" s="60">
        <f t="shared" si="33"/>
        <v>342.09795858346092</v>
      </c>
      <c r="P81" s="60">
        <f t="shared" si="34"/>
        <v>1.8290791875254591</v>
      </c>
      <c r="Q81" s="46">
        <v>342.1</v>
      </c>
      <c r="R81" s="46">
        <v>342.1</v>
      </c>
      <c r="S81" s="46">
        <v>10011</v>
      </c>
      <c r="T81" s="46">
        <v>43402448.119999997</v>
      </c>
      <c r="U81" s="46">
        <v>42171863.189999998</v>
      </c>
    </row>
    <row r="82" spans="1:21" ht="14.25">
      <c r="A82" s="85">
        <v>72</v>
      </c>
      <c r="B82" s="62" t="s">
        <v>130</v>
      </c>
      <c r="C82" s="62" t="s">
        <v>48</v>
      </c>
      <c r="D82" s="70">
        <v>88342175066</v>
      </c>
      <c r="E82" s="70">
        <v>744231565</v>
      </c>
      <c r="F82" s="70">
        <v>151233384</v>
      </c>
      <c r="G82" s="70">
        <v>592998180</v>
      </c>
      <c r="H82" s="47">
        <v>103045828228</v>
      </c>
      <c r="I82" s="43">
        <f t="shared" si="28"/>
        <v>0.34594364668738797</v>
      </c>
      <c r="J82" s="70">
        <v>99704459642</v>
      </c>
      <c r="K82" s="43">
        <f t="shared" si="29"/>
        <v>0.34043902399050213</v>
      </c>
      <c r="L82" s="43">
        <f t="shared" si="30"/>
        <v>-3.2426044250979884E-2</v>
      </c>
      <c r="M82" s="55">
        <f t="shared" si="31"/>
        <v>1.5168166453438528E-3</v>
      </c>
      <c r="N82" s="55">
        <f t="shared" si="32"/>
        <v>5.9475592378638448E-3</v>
      </c>
      <c r="O82" s="60">
        <f t="shared" si="33"/>
        <v>1.9365735141057148</v>
      </c>
      <c r="P82" s="60">
        <f t="shared" si="34"/>
        <v>1.1517885693621893E-2</v>
      </c>
      <c r="Q82" s="70">
        <v>1.94</v>
      </c>
      <c r="R82" s="70">
        <v>1.94</v>
      </c>
      <c r="S82" s="70">
        <v>2039</v>
      </c>
      <c r="T82" s="70">
        <v>52756207801</v>
      </c>
      <c r="U82" s="70">
        <v>51484985680</v>
      </c>
    </row>
    <row r="83" spans="1:21" ht="14.25">
      <c r="A83" s="85">
        <v>73</v>
      </c>
      <c r="B83" s="62" t="s">
        <v>236</v>
      </c>
      <c r="C83" s="70" t="s">
        <v>234</v>
      </c>
      <c r="D83" s="47">
        <v>79815055.549999997</v>
      </c>
      <c r="E83" s="70">
        <v>1469038.16</v>
      </c>
      <c r="F83" s="70">
        <v>395304.87</v>
      </c>
      <c r="G83" s="47">
        <v>1073333.274</v>
      </c>
      <c r="H83" s="47">
        <v>56559452.880000003</v>
      </c>
      <c r="I83" s="43">
        <f t="shared" si="28"/>
        <v>1.89880402927695E-4</v>
      </c>
      <c r="J83" s="47">
        <v>80080198.969999999</v>
      </c>
      <c r="K83" s="43">
        <f t="shared" si="29"/>
        <v>2.7343235073135942E-4</v>
      </c>
      <c r="L83" s="43">
        <f t="shared" si="30"/>
        <v>0.41585879799620851</v>
      </c>
      <c r="M83" s="55">
        <f t="shared" si="31"/>
        <v>4.9363622354146606E-3</v>
      </c>
      <c r="N83" s="55">
        <f t="shared" si="32"/>
        <v>1.3403229360133044E-2</v>
      </c>
      <c r="O83" s="60">
        <f t="shared" si="33"/>
        <v>100.88827949703034</v>
      </c>
      <c r="P83" s="60">
        <f t="shared" si="34"/>
        <v>1.3522287498479058</v>
      </c>
      <c r="Q83" s="48">
        <v>100.8883</v>
      </c>
      <c r="R83" s="48">
        <v>100.8883</v>
      </c>
      <c r="S83" s="48">
        <v>46</v>
      </c>
      <c r="T83" s="48">
        <v>563331.74</v>
      </c>
      <c r="U83" s="48">
        <v>793751.26</v>
      </c>
    </row>
    <row r="84" spans="1:21" ht="14.25">
      <c r="A84" s="85">
        <v>74</v>
      </c>
      <c r="B84" s="62" t="s">
        <v>131</v>
      </c>
      <c r="C84" s="46" t="s">
        <v>34</v>
      </c>
      <c r="D84" s="46">
        <v>11167349950.549999</v>
      </c>
      <c r="E84" s="46">
        <v>73370234.519999996</v>
      </c>
      <c r="F84" s="46">
        <v>3574913.05</v>
      </c>
      <c r="G84" s="46">
        <v>69795321.480000004</v>
      </c>
      <c r="H84" s="70">
        <v>9211338353.3099995</v>
      </c>
      <c r="I84" s="43">
        <f t="shared" si="28"/>
        <v>3.0924143515686588E-2</v>
      </c>
      <c r="J84" s="46">
        <v>9188833784.6399994</v>
      </c>
      <c r="K84" s="43">
        <f t="shared" si="29"/>
        <v>3.137510214173047E-2</v>
      </c>
      <c r="L84" s="43">
        <f t="shared" si="30"/>
        <v>-2.4431377729071577E-3</v>
      </c>
      <c r="M84" s="55">
        <f t="shared" si="31"/>
        <v>3.8904970247430131E-4</v>
      </c>
      <c r="N84" s="55">
        <f t="shared" si="32"/>
        <v>7.5956669927656605E-3</v>
      </c>
      <c r="O84" s="60">
        <f t="shared" si="33"/>
        <v>1</v>
      </c>
      <c r="P84" s="60">
        <f t="shared" si="34"/>
        <v>7.5956669927656605E-3</v>
      </c>
      <c r="Q84" s="46">
        <v>1</v>
      </c>
      <c r="R84" s="46">
        <v>1</v>
      </c>
      <c r="S84" s="46">
        <v>5514</v>
      </c>
      <c r="T84" s="46">
        <v>9211338353.3099995</v>
      </c>
      <c r="U84" s="46">
        <v>9188833784.6399994</v>
      </c>
    </row>
    <row r="85" spans="1:21" ht="14.25">
      <c r="A85" s="85">
        <v>75</v>
      </c>
      <c r="B85" s="46" t="s">
        <v>132</v>
      </c>
      <c r="C85" s="46" t="s">
        <v>95</v>
      </c>
      <c r="D85" s="47">
        <v>2632032627.98</v>
      </c>
      <c r="E85" s="47">
        <v>22724614.100000001</v>
      </c>
      <c r="F85" s="47">
        <v>4407940.1399999997</v>
      </c>
      <c r="G85" s="47">
        <v>18316673.960000001</v>
      </c>
      <c r="H85" s="70">
        <v>2616055318.1500001</v>
      </c>
      <c r="I85" s="43">
        <f t="shared" si="28"/>
        <v>8.7825750179261874E-3</v>
      </c>
      <c r="J85" s="47">
        <v>2634857410.5100002</v>
      </c>
      <c r="K85" s="43">
        <f t="shared" si="29"/>
        <v>8.9966716474767002E-3</v>
      </c>
      <c r="L85" s="43">
        <f t="shared" si="30"/>
        <v>7.1871921933579132E-3</v>
      </c>
      <c r="M85" s="55">
        <f t="shared" si="31"/>
        <v>1.6729330864043998E-3</v>
      </c>
      <c r="N85" s="55">
        <f t="shared" si="32"/>
        <v>6.9516755961585965E-3</v>
      </c>
      <c r="O85" s="60">
        <f t="shared" si="33"/>
        <v>25.2988434436649</v>
      </c>
      <c r="P85" s="60">
        <f t="shared" si="34"/>
        <v>0.17586935257836217</v>
      </c>
      <c r="Q85" s="46">
        <v>25.2988</v>
      </c>
      <c r="R85" s="46">
        <v>25.2988</v>
      </c>
      <c r="S85" s="47">
        <v>1319</v>
      </c>
      <c r="T85" s="47">
        <v>104130412.47</v>
      </c>
      <c r="U85" s="47">
        <v>104149322.73</v>
      </c>
    </row>
    <row r="86" spans="1:21" ht="14.25">
      <c r="A86" s="90" t="s">
        <v>49</v>
      </c>
      <c r="B86" s="90"/>
      <c r="C86" s="90"/>
      <c r="D86" s="90"/>
      <c r="E86" s="90"/>
      <c r="F86" s="90"/>
      <c r="G86" s="90"/>
      <c r="H86" s="59">
        <f>SUM(H56:H85)</f>
        <v>297868826945.44</v>
      </c>
      <c r="I86" s="79">
        <f>(H86/$H$172)</f>
        <v>0.14770891557529559</v>
      </c>
      <c r="J86" s="59">
        <f>SUM(J56:J85)</f>
        <v>292870242880.21002</v>
      </c>
      <c r="K86" s="79">
        <f>(J86/$J$172)</f>
        <v>0.13795004893697538</v>
      </c>
      <c r="L86" s="58">
        <f t="shared" si="23"/>
        <v>-1.6781158728454523E-2</v>
      </c>
      <c r="M86" s="55"/>
      <c r="N86" s="55"/>
      <c r="O86" s="60"/>
      <c r="P86" s="60"/>
      <c r="Q86" s="46"/>
      <c r="R86" s="46"/>
      <c r="S86" s="59">
        <f>SUM(S56:S85)</f>
        <v>44102</v>
      </c>
      <c r="T86" s="46"/>
      <c r="U86" s="46"/>
    </row>
    <row r="87" spans="1:21" ht="7.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</row>
    <row r="88" spans="1:21">
      <c r="A88" s="92" t="s">
        <v>133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</row>
    <row r="89" spans="1:21" ht="13.5">
      <c r="A89" s="94" t="s">
        <v>134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</row>
    <row r="90" spans="1:21" ht="14.25">
      <c r="A90" s="63">
        <v>76</v>
      </c>
      <c r="B90" s="41" t="s">
        <v>135</v>
      </c>
      <c r="C90" s="41" t="s">
        <v>20</v>
      </c>
      <c r="D90" s="70">
        <v>1624267384.4000001</v>
      </c>
      <c r="E90" s="70">
        <v>10736852.029999999</v>
      </c>
      <c r="F90" s="70">
        <v>3166671.92</v>
      </c>
      <c r="G90" s="72">
        <v>7570180.1100000003</v>
      </c>
      <c r="H90" s="65">
        <v>1420281802.0999999</v>
      </c>
      <c r="I90" s="43">
        <f>(H90/$H$111)</f>
        <v>2.1897216531497673E-3</v>
      </c>
      <c r="J90" s="65">
        <v>1679960122.1099999</v>
      </c>
      <c r="K90" s="43">
        <f>(J90/$J$111)</f>
        <v>2.2194750441106382E-3</v>
      </c>
      <c r="L90" s="43">
        <f t="shared" ref="L90" si="35">((J90-H90)/H90)</f>
        <v>0.18283577218693142</v>
      </c>
      <c r="M90" s="55">
        <f t="shared" ref="M90" si="36">(F90/J90)</f>
        <v>1.8849685050992262E-3</v>
      </c>
      <c r="N90" s="55">
        <f t="shared" ref="N90" si="37">G90/J90</f>
        <v>4.5061665514369411E-3</v>
      </c>
      <c r="O90" s="60">
        <f t="shared" ref="O90" si="38">J90/U90</f>
        <v>105439.49682261831</v>
      </c>
      <c r="P90" s="60">
        <f t="shared" ref="P90" si="39">G90/U90</f>
        <v>475.12793378242424</v>
      </c>
      <c r="Q90" s="46">
        <v>103361.42</v>
      </c>
      <c r="R90" s="46">
        <v>103361.42</v>
      </c>
      <c r="S90" s="46">
        <v>226</v>
      </c>
      <c r="T90" s="46">
        <v>15771.91</v>
      </c>
      <c r="U90" s="46">
        <v>15932.93</v>
      </c>
    </row>
    <row r="91" spans="1:21" ht="13.5" customHeight="1">
      <c r="A91" s="40">
        <v>77</v>
      </c>
      <c r="B91" s="41" t="s">
        <v>136</v>
      </c>
      <c r="C91" s="49" t="s">
        <v>24</v>
      </c>
      <c r="D91" s="46">
        <f>8653511.02*942.617</f>
        <v>8156946597.1393394</v>
      </c>
      <c r="E91" s="65">
        <f>68257.17*942.617</f>
        <v>64340368.813889995</v>
      </c>
      <c r="F91" s="65">
        <f>17131.89*942.617</f>
        <v>16148810.756129999</v>
      </c>
      <c r="G91" s="65">
        <f>51125.28*942.617</f>
        <v>48191558.05776</v>
      </c>
      <c r="H91" s="65">
        <f>10373804*825.494</f>
        <v>8563512959.1760006</v>
      </c>
      <c r="I91" s="43">
        <f t="shared" ref="I91:I99" si="40">(H91/$H$111)</f>
        <v>1.3202809277715473E-2</v>
      </c>
      <c r="J91" s="65">
        <f>10289409*942.617</f>
        <v>9698971843.3529987</v>
      </c>
      <c r="K91" s="43">
        <f t="shared" ref="K91:K99" si="41">(J91/$J$111)</f>
        <v>1.2813771991692681E-2</v>
      </c>
      <c r="L91" s="43">
        <f t="shared" ref="L91:L99" si="42">((J91-H91)/H91)</f>
        <v>0.13259265088871361</v>
      </c>
      <c r="M91" s="55">
        <f t="shared" ref="M91:M99" si="43">(F91/J91)</f>
        <v>1.6650023339532913E-3</v>
      </c>
      <c r="N91" s="55">
        <f t="shared" ref="N91:N99" si="44">G91/J91</f>
        <v>4.9687285246412119E-3</v>
      </c>
      <c r="O91" s="60">
        <f t="shared" ref="O91:O99" si="45">J91/U91</f>
        <v>1102.5654693036536</v>
      </c>
      <c r="P91" s="60">
        <f t="shared" ref="P91:P99" si="46">G91/U91</f>
        <v>5.4783484976134886</v>
      </c>
      <c r="Q91" s="46">
        <f>1.1697*942.617</f>
        <v>1102.5791048999999</v>
      </c>
      <c r="R91" s="46">
        <f>1.1697*942.617</f>
        <v>1102.5791048999999</v>
      </c>
      <c r="S91" s="46">
        <v>282</v>
      </c>
      <c r="T91" s="46">
        <v>8912541</v>
      </c>
      <c r="U91" s="46">
        <v>8796731</v>
      </c>
    </row>
    <row r="92" spans="1:21" ht="15" customHeight="1">
      <c r="A92" s="63">
        <v>78</v>
      </c>
      <c r="B92" s="41" t="s">
        <v>137</v>
      </c>
      <c r="C92" s="49" t="s">
        <v>69</v>
      </c>
      <c r="D92" s="70">
        <v>2496915496.5999999</v>
      </c>
      <c r="E92" s="70">
        <v>16894656.460000001</v>
      </c>
      <c r="F92" s="70">
        <v>3619517.31</v>
      </c>
      <c r="G92" s="70">
        <v>13275139.140000001</v>
      </c>
      <c r="H92" s="65">
        <v>2107388682.9000001</v>
      </c>
      <c r="I92" s="43">
        <f t="shared" si="40"/>
        <v>3.2490697435719118E-3</v>
      </c>
      <c r="J92" s="70">
        <v>2484939349.6700001</v>
      </c>
      <c r="K92" s="43">
        <f t="shared" si="41"/>
        <v>3.2829713039819151E-3</v>
      </c>
      <c r="L92" s="43">
        <f t="shared" si="42"/>
        <v>0.17915568676702223</v>
      </c>
      <c r="M92" s="55">
        <f t="shared" si="43"/>
        <v>1.4565817513738E-3</v>
      </c>
      <c r="N92" s="55">
        <f t="shared" si="44"/>
        <v>5.3422386915652244E-3</v>
      </c>
      <c r="O92" s="60">
        <f t="shared" si="45"/>
        <v>100851.28474563752</v>
      </c>
      <c r="P92" s="60">
        <f t="shared" si="46"/>
        <v>538.77163546220652</v>
      </c>
      <c r="Q92" s="65">
        <f>106.96*942.617</f>
        <v>100822.31431999999</v>
      </c>
      <c r="R92" s="65">
        <f>106.96*942.617</f>
        <v>100822.31431999999</v>
      </c>
      <c r="S92" s="46">
        <v>44</v>
      </c>
      <c r="T92" s="70">
        <v>23915.68</v>
      </c>
      <c r="U92" s="70">
        <v>24639.64</v>
      </c>
    </row>
    <row r="93" spans="1:21" ht="15" customHeight="1">
      <c r="A93" s="40">
        <v>79</v>
      </c>
      <c r="B93" s="41" t="s">
        <v>138</v>
      </c>
      <c r="C93" s="41" t="s">
        <v>139</v>
      </c>
      <c r="D93" s="46">
        <v>24454087508.060001</v>
      </c>
      <c r="E93" s="46">
        <v>150123079</v>
      </c>
      <c r="F93" s="46">
        <v>39156075.840000004</v>
      </c>
      <c r="G93" s="46">
        <v>110967003.15000001</v>
      </c>
      <c r="H93" s="47">
        <v>22549292384.689999</v>
      </c>
      <c r="I93" s="43">
        <f t="shared" si="40"/>
        <v>3.4765406220760908E-2</v>
      </c>
      <c r="J93" s="46">
        <v>24454087508.060001</v>
      </c>
      <c r="K93" s="43">
        <f t="shared" si="41"/>
        <v>3.2307455537973213E-2</v>
      </c>
      <c r="L93" s="43">
        <f t="shared" si="42"/>
        <v>8.4472500993568955E-2</v>
      </c>
      <c r="M93" s="55">
        <f t="shared" si="43"/>
        <v>1.6012078073693924E-3</v>
      </c>
      <c r="N93" s="55">
        <f t="shared" si="44"/>
        <v>4.537769119924249E-3</v>
      </c>
      <c r="O93" s="60">
        <f t="shared" si="45"/>
        <v>99045.44056051402</v>
      </c>
      <c r="P93" s="60">
        <f t="shared" si="46"/>
        <v>449.44534164479325</v>
      </c>
      <c r="Q93" s="47">
        <f>123.17*942.617</f>
        <v>116102.13588999999</v>
      </c>
      <c r="R93" s="47">
        <f>123.17*942.617</f>
        <v>116102.13588999999</v>
      </c>
      <c r="S93" s="70">
        <v>1970</v>
      </c>
      <c r="T93" s="70">
        <v>226518.27</v>
      </c>
      <c r="U93" s="70">
        <v>246897.66</v>
      </c>
    </row>
    <row r="94" spans="1:21" ht="14.25">
      <c r="A94" s="63">
        <v>80</v>
      </c>
      <c r="B94" s="41" t="s">
        <v>140</v>
      </c>
      <c r="C94" s="41" t="s">
        <v>139</v>
      </c>
      <c r="D94" s="46">
        <v>22797700346.099998</v>
      </c>
      <c r="E94" s="46">
        <v>136412003.62</v>
      </c>
      <c r="F94" s="46">
        <v>34926617.18</v>
      </c>
      <c r="G94" s="46">
        <v>101485386.44</v>
      </c>
      <c r="H94" s="47">
        <v>19269940829.610001</v>
      </c>
      <c r="I94" s="43">
        <f t="shared" si="40"/>
        <v>2.9709460916222362E-2</v>
      </c>
      <c r="J94" s="46">
        <v>22797700346.099998</v>
      </c>
      <c r="K94" s="43">
        <f t="shared" si="41"/>
        <v>3.0119123850231667E-2</v>
      </c>
      <c r="L94" s="43">
        <f t="shared" si="42"/>
        <v>0.18307059412809806</v>
      </c>
      <c r="M94" s="55">
        <f t="shared" si="43"/>
        <v>1.5320236975557447E-3</v>
      </c>
      <c r="N94" s="55">
        <f t="shared" si="44"/>
        <v>4.4515624338996584E-3</v>
      </c>
      <c r="O94" s="60">
        <f t="shared" si="45"/>
        <v>92336.639991241711</v>
      </c>
      <c r="P94" s="60">
        <f t="shared" si="46"/>
        <v>411.04231785752847</v>
      </c>
      <c r="Q94" s="47">
        <f>110.94*942.617</f>
        <v>104573.92998</v>
      </c>
      <c r="R94" s="47">
        <f>110.94*942.617</f>
        <v>104573.92998</v>
      </c>
      <c r="S94" s="46">
        <v>198</v>
      </c>
      <c r="T94" s="70">
        <v>226518.27</v>
      </c>
      <c r="U94" s="70">
        <v>246897.66</v>
      </c>
    </row>
    <row r="95" spans="1:21" ht="14.25">
      <c r="A95" s="40">
        <v>81</v>
      </c>
      <c r="B95" s="57" t="s">
        <v>141</v>
      </c>
      <c r="C95" s="50" t="s">
        <v>142</v>
      </c>
      <c r="D95" s="46">
        <f>94811.94*942.617</f>
        <v>89371346.44698</v>
      </c>
      <c r="E95" s="46">
        <f>3393.43*942.617</f>
        <v>3198704.8063099999</v>
      </c>
      <c r="F95" s="46">
        <f>313.99*942.617</f>
        <v>295972.31183000002</v>
      </c>
      <c r="G95" s="65">
        <f>3079.43*942.617</f>
        <v>2902723.0683099995</v>
      </c>
      <c r="H95" s="65">
        <f>74448.95*825.494</f>
        <v>61457161.531300001</v>
      </c>
      <c r="I95" s="43">
        <f t="shared" si="40"/>
        <v>9.4751673327949442E-5</v>
      </c>
      <c r="J95" s="65">
        <f>92070.46*942.617</f>
        <v>86787180.793820009</v>
      </c>
      <c r="K95" s="43">
        <f t="shared" si="41"/>
        <v>1.1465866325366808E-4</v>
      </c>
      <c r="L95" s="43">
        <f t="shared" si="42"/>
        <v>0.41215732440912495</v>
      </c>
      <c r="M95" s="55">
        <f t="shared" si="43"/>
        <v>3.4103229200766454E-3</v>
      </c>
      <c r="N95" s="55">
        <f t="shared" si="44"/>
        <v>3.3446449599578404E-2</v>
      </c>
      <c r="O95" s="60">
        <f t="shared" si="45"/>
        <v>103452.31406684866</v>
      </c>
      <c r="P95" s="60">
        <f t="shared" si="46"/>
        <v>3460.1126083966096</v>
      </c>
      <c r="Q95" s="47">
        <f>109.75*942.617</f>
        <v>103452.21575</v>
      </c>
      <c r="R95" s="47">
        <f>109.75*942.617</f>
        <v>103452.21575</v>
      </c>
      <c r="S95" s="46">
        <v>3</v>
      </c>
      <c r="T95" s="46">
        <v>838.91</v>
      </c>
      <c r="U95" s="46">
        <v>838.91</v>
      </c>
    </row>
    <row r="96" spans="1:21" ht="14.25">
      <c r="A96" s="63">
        <v>82</v>
      </c>
      <c r="B96" s="41" t="s">
        <v>143</v>
      </c>
      <c r="C96" s="41" t="s">
        <v>144</v>
      </c>
      <c r="D96" s="42">
        <f>12916410.01*942.617</f>
        <v>12175227654.39617</v>
      </c>
      <c r="E96" s="42">
        <f>73699.08*942.617</f>
        <v>69470005.692359999</v>
      </c>
      <c r="F96" s="42">
        <f>20481.37*942.617</f>
        <v>19306087.545289997</v>
      </c>
      <c r="G96" s="42">
        <f>53217.71*942.617</f>
        <v>50163918.147069998</v>
      </c>
      <c r="H96" s="70">
        <f>12891665.13*825.494</f>
        <v>10641992214.824221</v>
      </c>
      <c r="I96" s="43">
        <f t="shared" si="40"/>
        <v>1.6407307867351749E-2</v>
      </c>
      <c r="J96" s="65">
        <f>12852958.22*942.617</f>
        <v>12115416918.46174</v>
      </c>
      <c r="K96" s="43">
        <f t="shared" si="41"/>
        <v>1.6006252258981273E-2</v>
      </c>
      <c r="L96" s="43">
        <f t="shared" si="42"/>
        <v>0.13845384152650003</v>
      </c>
      <c r="M96" s="55">
        <f t="shared" si="43"/>
        <v>1.5935140883076796E-3</v>
      </c>
      <c r="N96" s="55">
        <f t="shared" si="44"/>
        <v>4.1405028390421386E-3</v>
      </c>
      <c r="O96" s="60">
        <f t="shared" si="45"/>
        <v>1190.2846365784469</v>
      </c>
      <c r="P96" s="60">
        <f t="shared" si="46"/>
        <v>4.9283769170212999</v>
      </c>
      <c r="Q96" s="47">
        <f>1.32*942.617</f>
        <v>1244.2544399999999</v>
      </c>
      <c r="R96" s="47">
        <f>1.32*942.617</f>
        <v>1244.2544399999999</v>
      </c>
      <c r="S96" s="46">
        <v>117</v>
      </c>
      <c r="T96" s="70">
        <v>10246547</v>
      </c>
      <c r="U96" s="70">
        <v>10178588</v>
      </c>
    </row>
    <row r="97" spans="1:21" ht="14.25">
      <c r="A97" s="40">
        <v>83</v>
      </c>
      <c r="B97" s="41" t="s">
        <v>145</v>
      </c>
      <c r="C97" s="41" t="s">
        <v>48</v>
      </c>
      <c r="D97" s="46">
        <f>136789087*942.617</f>
        <v>128939718820.679</v>
      </c>
      <c r="E97" s="65">
        <f>975763*942.617</f>
        <v>919770791.77099991</v>
      </c>
      <c r="F97" s="46">
        <f>237675*942.617</f>
        <v>224036495.47499999</v>
      </c>
      <c r="G97" s="65">
        <f>738087*942.617</f>
        <v>695733353.67900002</v>
      </c>
      <c r="H97" s="65">
        <f>145816599*825.494</f>
        <v>120370727574.90601</v>
      </c>
      <c r="I97" s="43">
        <f t="shared" si="40"/>
        <v>0.18558175440003655</v>
      </c>
      <c r="J97" s="65">
        <f>144547384*942.617</f>
        <v>136252821463.92799</v>
      </c>
      <c r="K97" s="43">
        <f t="shared" si="41"/>
        <v>0.18001006866105204</v>
      </c>
      <c r="L97" s="43">
        <f t="shared" si="42"/>
        <v>0.13194315768456791</v>
      </c>
      <c r="M97" s="55">
        <f t="shared" si="43"/>
        <v>1.6442705044042859E-3</v>
      </c>
      <c r="N97" s="55">
        <f t="shared" si="44"/>
        <v>5.1061941044882563E-3</v>
      </c>
      <c r="O97" s="60">
        <f t="shared" si="45"/>
        <v>115197.68059149761</v>
      </c>
      <c r="P97" s="60">
        <f t="shared" si="46"/>
        <v>588.22171748702624</v>
      </c>
      <c r="Q97" s="65">
        <f>122*942.617</f>
        <v>114999.27399999999</v>
      </c>
      <c r="R97" s="65">
        <f>122*942.617</f>
        <v>114999.27399999999</v>
      </c>
      <c r="S97" s="46">
        <v>1136</v>
      </c>
      <c r="T97" s="70">
        <v>1200082</v>
      </c>
      <c r="U97" s="70">
        <v>1182774</v>
      </c>
    </row>
    <row r="98" spans="1:21" ht="16.5" customHeight="1">
      <c r="A98" s="63">
        <v>84</v>
      </c>
      <c r="B98" s="41" t="s">
        <v>146</v>
      </c>
      <c r="C98" s="41" t="s">
        <v>147</v>
      </c>
      <c r="D98" s="70">
        <v>6490190122.3000002</v>
      </c>
      <c r="E98" s="70">
        <v>62061639.759999998</v>
      </c>
      <c r="F98" s="70">
        <v>13122258.15</v>
      </c>
      <c r="G98" s="70">
        <v>48939381.600000001</v>
      </c>
      <c r="H98" s="65">
        <v>4392294909.8199997</v>
      </c>
      <c r="I98" s="43">
        <f t="shared" si="40"/>
        <v>6.7718274337047208E-3</v>
      </c>
      <c r="J98" s="70">
        <v>6635366393.29</v>
      </c>
      <c r="K98" s="43">
        <f t="shared" si="41"/>
        <v>8.7662974404063114E-3</v>
      </c>
      <c r="L98" s="43">
        <f t="shared" si="42"/>
        <v>0.51068326000949771</v>
      </c>
      <c r="M98" s="55">
        <f t="shared" si="43"/>
        <v>1.9776237470880064E-3</v>
      </c>
      <c r="N98" s="55">
        <f t="shared" si="44"/>
        <v>7.3755356824741205E-3</v>
      </c>
      <c r="O98" s="60">
        <f t="shared" si="45"/>
        <v>87416.723447598968</v>
      </c>
      <c r="P98" s="60">
        <f t="shared" si="46"/>
        <v>644.74516303273833</v>
      </c>
      <c r="Q98" s="70">
        <v>87416.72</v>
      </c>
      <c r="R98" s="70">
        <v>87416.72</v>
      </c>
      <c r="S98" s="46">
        <v>198</v>
      </c>
      <c r="T98" s="70">
        <v>53391</v>
      </c>
      <c r="U98" s="70">
        <v>75905</v>
      </c>
    </row>
    <row r="99" spans="1:21" ht="14.25">
      <c r="A99" s="40">
        <v>85</v>
      </c>
      <c r="B99" s="41" t="s">
        <v>148</v>
      </c>
      <c r="C99" s="41" t="s">
        <v>40</v>
      </c>
      <c r="D99" s="46">
        <v>1723184439.6800001</v>
      </c>
      <c r="E99" s="46">
        <v>34891446.920000002</v>
      </c>
      <c r="F99" s="46">
        <v>1777168.62</v>
      </c>
      <c r="G99" s="65">
        <v>33114278.300000001</v>
      </c>
      <c r="H99" s="65">
        <f>1830254.52*825.494</f>
        <v>1510864124.7328801</v>
      </c>
      <c r="I99" s="43">
        <f t="shared" si="40"/>
        <v>2.3293770884081364E-3</v>
      </c>
      <c r="J99" s="65">
        <v>1724931076.8399999</v>
      </c>
      <c r="K99" s="43">
        <f t="shared" si="41"/>
        <v>2.2788883066157638E-3</v>
      </c>
      <c r="L99" s="43">
        <f t="shared" si="42"/>
        <v>0.14168511158802366</v>
      </c>
      <c r="M99" s="55">
        <f t="shared" si="43"/>
        <v>1.0302838437206993E-3</v>
      </c>
      <c r="N99" s="55">
        <f t="shared" si="44"/>
        <v>1.919745011531936E-2</v>
      </c>
      <c r="O99" s="60">
        <f t="shared" si="45"/>
        <v>123434.71916155494</v>
      </c>
      <c r="P99" s="60">
        <f t="shared" si="46"/>
        <v>2369.6318636024057</v>
      </c>
      <c r="Q99" s="65">
        <v>120730.77</v>
      </c>
      <c r="R99" s="65">
        <v>123586.91</v>
      </c>
      <c r="S99" s="46">
        <v>46</v>
      </c>
      <c r="T99" s="46">
        <v>13967.44</v>
      </c>
      <c r="U99" s="46">
        <v>13974.44</v>
      </c>
    </row>
    <row r="100" spans="1:21" ht="8.25" customHeight="1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</row>
    <row r="101" spans="1:21" ht="13.5">
      <c r="A101" s="94" t="s">
        <v>149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</row>
    <row r="102" spans="1:21" ht="14.25">
      <c r="A102" s="85">
        <v>86</v>
      </c>
      <c r="B102" s="62" t="s">
        <v>150</v>
      </c>
      <c r="C102" s="46" t="s">
        <v>102</v>
      </c>
      <c r="D102" s="46">
        <f>830378.76*942.617</f>
        <v>782729135.61492002</v>
      </c>
      <c r="E102" s="46">
        <f>6814.19*942.617</f>
        <v>6423171.3352299994</v>
      </c>
      <c r="F102" s="46">
        <f>1484.65*942.617</f>
        <v>1399456.3290500001</v>
      </c>
      <c r="G102" s="42">
        <f>5326.54*942.617</f>
        <v>5020887.1551799998</v>
      </c>
      <c r="H102" s="46">
        <f>898697.7*825.494</f>
        <v>741869559.1638</v>
      </c>
      <c r="I102" s="43">
        <f>(H102/$H$111)</f>
        <v>1.1437785340287475E-3</v>
      </c>
      <c r="J102" s="46">
        <f>1001461.17*942.617</f>
        <v>943994323.68189001</v>
      </c>
      <c r="K102" s="43">
        <f>(J102/$J$111)</f>
        <v>1.2471557006737495E-3</v>
      </c>
      <c r="L102" s="43">
        <f t="shared" ref="L102:L111" si="47">((J102-H102)/H102)</f>
        <v>0.27245323928092618</v>
      </c>
      <c r="M102" s="55">
        <f t="shared" ref="M102" si="48">(F102/J102)</f>
        <v>1.4824838390888387E-3</v>
      </c>
      <c r="N102" s="55">
        <f t="shared" ref="N102" si="49">G102/J102</f>
        <v>5.3187683752131893E-3</v>
      </c>
      <c r="O102" s="56">
        <f t="shared" ref="O102" si="50">J102/U102</f>
        <v>98013.178250276716</v>
      </c>
      <c r="P102" s="56">
        <f t="shared" ref="P102" si="51">G102/U102</f>
        <v>521.30939283170494</v>
      </c>
      <c r="Q102" s="46">
        <f>103.07*942.617</f>
        <v>97155.534189999991</v>
      </c>
      <c r="R102" s="46">
        <f>103.07*942.617</f>
        <v>97155.534189999991</v>
      </c>
      <c r="S102" s="46">
        <v>27</v>
      </c>
      <c r="T102" s="46">
        <v>8976.2999999999993</v>
      </c>
      <c r="U102" s="46">
        <v>9631.2999999999993</v>
      </c>
    </row>
    <row r="103" spans="1:21" ht="14.25">
      <c r="A103" s="85">
        <v>87</v>
      </c>
      <c r="B103" s="62" t="s">
        <v>238</v>
      </c>
      <c r="C103" s="46" t="s">
        <v>26</v>
      </c>
      <c r="D103" s="46">
        <f>5124724.91*942.617</f>
        <v>4830652820.4894695</v>
      </c>
      <c r="E103" s="46">
        <f>39147.39*942.617</f>
        <v>36900995.319629997</v>
      </c>
      <c r="F103" s="46">
        <f>7118.51*942.617</f>
        <v>6710028.54067</v>
      </c>
      <c r="G103" s="42">
        <f>32028.88*942.617</f>
        <v>30190966.778960001</v>
      </c>
      <c r="H103" s="46">
        <f>6235162.18*825.494</f>
        <v>5147088968.6169195</v>
      </c>
      <c r="I103" s="43">
        <f t="shared" ref="I103:I110" si="52">(H103/$H$111)</f>
        <v>7.9355323349240663E-3</v>
      </c>
      <c r="J103" s="46">
        <f>6644276.48*942.617</f>
        <v>6263007962.7481604</v>
      </c>
      <c r="K103" s="43">
        <f t="shared" ref="K103:K110" si="53">(J103/$J$111)</f>
        <v>8.2743570465987366E-3</v>
      </c>
      <c r="L103" s="43">
        <f t="shared" ref="L103:L110" si="54">((J103-H103)/H103)</f>
        <v>0.21680584907998993</v>
      </c>
      <c r="M103" s="55">
        <f t="shared" ref="M103:M110" si="55">(F103/J103)</f>
        <v>1.0713747420697339E-3</v>
      </c>
      <c r="N103" s="55">
        <f t="shared" ref="N103:N110" si="56">G103/J103</f>
        <v>4.8205218576334741E-3</v>
      </c>
      <c r="O103" s="56">
        <f t="shared" ref="O103:O110" si="57">J103/U103</f>
        <v>123575.47945860001</v>
      </c>
      <c r="P103" s="56">
        <f t="shared" ref="P103:P110" si="58">G103/U103</f>
        <v>595.69829979771771</v>
      </c>
      <c r="Q103" s="46">
        <f>131.09*942.617</f>
        <v>123567.66253</v>
      </c>
      <c r="R103" s="46">
        <f>131.09*942.617</f>
        <v>123567.66253</v>
      </c>
      <c r="S103" s="46">
        <v>330</v>
      </c>
      <c r="T103" s="46">
        <v>48341.73</v>
      </c>
      <c r="U103" s="46">
        <v>50681.64</v>
      </c>
    </row>
    <row r="104" spans="1:21" ht="14.25" customHeight="1">
      <c r="A104" s="85">
        <v>88</v>
      </c>
      <c r="B104" s="62" t="s">
        <v>151</v>
      </c>
      <c r="C104" s="62" t="s">
        <v>60</v>
      </c>
      <c r="D104" s="46">
        <v>10551405927.610001</v>
      </c>
      <c r="E104" s="46">
        <v>60988183.259999998</v>
      </c>
      <c r="F104" s="46">
        <v>17322009.300000001</v>
      </c>
      <c r="G104" s="42">
        <v>43666173.960000001</v>
      </c>
      <c r="H104" s="46">
        <f>10843377.83*825.494</f>
        <v>8951143338.3980198</v>
      </c>
      <c r="I104" s="43">
        <f t="shared" si="52"/>
        <v>1.3800439011157167E-2</v>
      </c>
      <c r="J104" s="46">
        <v>10541630288.950001</v>
      </c>
      <c r="K104" s="43">
        <f t="shared" si="53"/>
        <v>1.3927048054676006E-2</v>
      </c>
      <c r="L104" s="43">
        <f t="shared" si="54"/>
        <v>0.17768534034408942</v>
      </c>
      <c r="M104" s="55">
        <f t="shared" si="55"/>
        <v>1.6432002285412496E-3</v>
      </c>
      <c r="N104" s="55">
        <f t="shared" si="56"/>
        <v>4.1422600454667788E-3</v>
      </c>
      <c r="O104" s="56">
        <f t="shared" si="57"/>
        <v>107679.73083157981</v>
      </c>
      <c r="P104" s="56">
        <f t="shared" si="58"/>
        <v>446.03744673027029</v>
      </c>
      <c r="Q104" s="46">
        <v>107194.75</v>
      </c>
      <c r="R104" s="46">
        <v>107194.75</v>
      </c>
      <c r="S104" s="46">
        <v>562</v>
      </c>
      <c r="T104" s="46">
        <v>95529</v>
      </c>
      <c r="U104" s="70">
        <v>97898</v>
      </c>
    </row>
    <row r="105" spans="1:21" ht="15" customHeight="1">
      <c r="A105" s="85">
        <v>89</v>
      </c>
      <c r="B105" s="62" t="s">
        <v>152</v>
      </c>
      <c r="C105" s="46" t="s">
        <v>58</v>
      </c>
      <c r="D105" s="46">
        <v>355119167336</v>
      </c>
      <c r="E105" s="46">
        <v>19798507.699999999</v>
      </c>
      <c r="F105" s="46">
        <v>4655260.84</v>
      </c>
      <c r="G105" s="42">
        <v>15725654.050000001</v>
      </c>
      <c r="H105" s="46">
        <f>825.49*3664146.98</f>
        <v>3024716690.5202003</v>
      </c>
      <c r="I105" s="43">
        <f t="shared" si="52"/>
        <v>4.6633616104089538E-3</v>
      </c>
      <c r="J105" s="46">
        <v>3567345286.3099999</v>
      </c>
      <c r="K105" s="43">
        <f t="shared" si="53"/>
        <v>4.712989155210635E-3</v>
      </c>
      <c r="L105" s="43">
        <f t="shared" si="54"/>
        <v>0.1793981556985017</v>
      </c>
      <c r="M105" s="55">
        <f t="shared" si="55"/>
        <v>1.3049650275976847E-3</v>
      </c>
      <c r="N105" s="55">
        <f t="shared" si="56"/>
        <v>4.4082231429485048E-3</v>
      </c>
      <c r="O105" s="56">
        <f t="shared" si="57"/>
        <v>1122.9684293677878</v>
      </c>
      <c r="P105" s="56">
        <f t="shared" si="58"/>
        <v>4.9502954191396151</v>
      </c>
      <c r="Q105" s="46">
        <v>1121.72</v>
      </c>
      <c r="R105" s="46">
        <v>1121.72</v>
      </c>
      <c r="S105" s="46">
        <v>161</v>
      </c>
      <c r="T105" s="46">
        <v>3088797.99</v>
      </c>
      <c r="U105" s="46">
        <v>3176710.22</v>
      </c>
    </row>
    <row r="106" spans="1:21" ht="14.25">
      <c r="A106" s="85">
        <v>90</v>
      </c>
      <c r="B106" s="46" t="s">
        <v>153</v>
      </c>
      <c r="C106" s="46" t="s">
        <v>42</v>
      </c>
      <c r="D106" s="46">
        <v>10510855866.84</v>
      </c>
      <c r="E106" s="46">
        <v>116277540.51000001</v>
      </c>
      <c r="F106" s="46">
        <v>36313379.770000003</v>
      </c>
      <c r="G106" s="42">
        <v>79964160.739999995</v>
      </c>
      <c r="H106" s="46">
        <f>825.49*10741894.16</f>
        <v>8867326210.138401</v>
      </c>
      <c r="I106" s="43">
        <f t="shared" si="52"/>
        <v>1.3671213824730398E-2</v>
      </c>
      <c r="J106" s="46">
        <v>10574530130.629999</v>
      </c>
      <c r="K106" s="43">
        <f t="shared" si="53"/>
        <v>1.3970513596865327E-2</v>
      </c>
      <c r="L106" s="43">
        <f t="shared" si="54"/>
        <v>0.19252747446458859</v>
      </c>
      <c r="M106" s="55">
        <f t="shared" si="55"/>
        <v>3.4340419216183707E-3</v>
      </c>
      <c r="N106" s="55">
        <f t="shared" si="56"/>
        <v>7.5619587586570119E-3</v>
      </c>
      <c r="O106" s="56">
        <f t="shared" si="57"/>
        <v>986.55318458871068</v>
      </c>
      <c r="P106" s="56">
        <f t="shared" si="58"/>
        <v>7.4602744950815687</v>
      </c>
      <c r="Q106" s="46">
        <v>989.75</v>
      </c>
      <c r="R106" s="46">
        <v>989.75</v>
      </c>
      <c r="S106" s="46">
        <v>390</v>
      </c>
      <c r="T106" s="46">
        <v>10336539</v>
      </c>
      <c r="U106" s="46">
        <v>10718662</v>
      </c>
    </row>
    <row r="107" spans="1:21" ht="14.25">
      <c r="A107" s="85">
        <v>91</v>
      </c>
      <c r="B107" s="62" t="s">
        <v>154</v>
      </c>
      <c r="C107" s="46" t="s">
        <v>84</v>
      </c>
      <c r="D107" s="46">
        <v>244165218.44</v>
      </c>
      <c r="E107" s="46">
        <v>5959771.5099999998</v>
      </c>
      <c r="F107" s="46">
        <v>95873.89</v>
      </c>
      <c r="G107" s="42">
        <v>5863897.6299999999</v>
      </c>
      <c r="H107" s="46">
        <f>825.494*243233.4</f>
        <v>200787712.29960001</v>
      </c>
      <c r="I107" s="43">
        <f t="shared" si="52"/>
        <v>3.0956476430153088E-4</v>
      </c>
      <c r="J107" s="46">
        <v>238540708.59</v>
      </c>
      <c r="K107" s="43">
        <f t="shared" si="53"/>
        <v>3.151474506758006E-4</v>
      </c>
      <c r="L107" s="43">
        <f t="shared" si="54"/>
        <v>0.18802443564906937</v>
      </c>
      <c r="M107" s="55">
        <f t="shared" si="55"/>
        <v>4.0191835836618782E-4</v>
      </c>
      <c r="N107" s="55">
        <f t="shared" si="56"/>
        <v>2.4582377006680124E-2</v>
      </c>
      <c r="O107" s="56">
        <f t="shared" si="57"/>
        <v>933.67794034874851</v>
      </c>
      <c r="P107" s="56">
        <f t="shared" si="58"/>
        <v>22.952023132473531</v>
      </c>
      <c r="Q107" s="46">
        <v>933.19</v>
      </c>
      <c r="R107" s="46">
        <v>933.19</v>
      </c>
      <c r="S107" s="46">
        <v>3</v>
      </c>
      <c r="T107" s="46">
        <v>255485</v>
      </c>
      <c r="U107" s="46">
        <v>255485</v>
      </c>
    </row>
    <row r="108" spans="1:21" ht="14.25">
      <c r="A108" s="85">
        <v>92</v>
      </c>
      <c r="B108" s="62" t="s">
        <v>155</v>
      </c>
      <c r="C108" s="62" t="s">
        <v>44</v>
      </c>
      <c r="D108" s="46">
        <f>483167900.97*942.617</f>
        <v>455442277308.63849</v>
      </c>
      <c r="E108" s="46">
        <f>3794975.81*942.617</f>
        <v>3577208713.09477</v>
      </c>
      <c r="F108" s="46">
        <f>661889.48*942.617</f>
        <v>623908275.96915996</v>
      </c>
      <c r="G108" s="42">
        <f>3133086.33*942.617</f>
        <v>2953300437.1256099</v>
      </c>
      <c r="H108" s="46">
        <f>472313452.94*825.494</f>
        <v>389891921521.25238</v>
      </c>
      <c r="I108" s="43">
        <f t="shared" si="52"/>
        <v>0.60111646976037547</v>
      </c>
      <c r="J108" s="46">
        <f>486856540.21*942.617</f>
        <v>458919251363.12952</v>
      </c>
      <c r="K108" s="43">
        <f t="shared" si="53"/>
        <v>0.60630000215904523</v>
      </c>
      <c r="L108" s="43">
        <f t="shared" si="54"/>
        <v>0.17704221614172266</v>
      </c>
      <c r="M108" s="55">
        <f t="shared" si="55"/>
        <v>1.359516459847703E-3</v>
      </c>
      <c r="N108" s="55">
        <f t="shared" si="56"/>
        <v>6.4353378690334105E-3</v>
      </c>
      <c r="O108" s="56">
        <f t="shared" si="57"/>
        <v>1372.117759277822</v>
      </c>
      <c r="P108" s="56">
        <f t="shared" si="58"/>
        <v>8.8300413770538366</v>
      </c>
      <c r="Q108" s="46">
        <f>1.4556*942.617</f>
        <v>1372.0733052</v>
      </c>
      <c r="R108" s="46">
        <f>1.4556*942.617</f>
        <v>1372.0733052</v>
      </c>
      <c r="S108" s="46">
        <v>5881</v>
      </c>
      <c r="T108" s="46">
        <v>326326839.25999999</v>
      </c>
      <c r="U108" s="46">
        <v>334460543.38999999</v>
      </c>
    </row>
    <row r="109" spans="1:21" ht="14.25">
      <c r="A109" s="85">
        <v>93</v>
      </c>
      <c r="B109" s="62" t="s">
        <v>156</v>
      </c>
      <c r="C109" s="62" t="s">
        <v>48</v>
      </c>
      <c r="D109" s="70">
        <f>11493179*942.617</f>
        <v>10833665909.442999</v>
      </c>
      <c r="E109" s="70">
        <f>181501*942.617</f>
        <v>171085928.11699998</v>
      </c>
      <c r="F109" s="70">
        <f>38993*942.617</f>
        <v>36755464.681000002</v>
      </c>
      <c r="G109" s="70">
        <f>220494*942.617</f>
        <v>207841392.79799998</v>
      </c>
      <c r="H109" s="46">
        <f>23754671*825.494</f>
        <v>19609338382.473999</v>
      </c>
      <c r="I109" s="43">
        <f t="shared" si="52"/>
        <v>3.023272761543197E-2</v>
      </c>
      <c r="J109" s="70">
        <f>23767551*942.617</f>
        <v>22403697620.966999</v>
      </c>
      <c r="K109" s="43">
        <f t="shared" si="53"/>
        <v>2.9598588151654521E-2</v>
      </c>
      <c r="L109" s="43">
        <f t="shared" si="54"/>
        <v>0.14250145435760753</v>
      </c>
      <c r="M109" s="55">
        <f t="shared" si="55"/>
        <v>1.6405981415586318E-3</v>
      </c>
      <c r="N109" s="55">
        <f t="shared" si="56"/>
        <v>9.2771022138545111E-3</v>
      </c>
      <c r="O109" s="56">
        <f t="shared" si="57"/>
        <v>1041.3705717257844</v>
      </c>
      <c r="P109" s="56">
        <f t="shared" si="58"/>
        <v>9.6609012364002123</v>
      </c>
      <c r="Q109" s="46">
        <f>1.1*942.617</f>
        <v>1036.8787</v>
      </c>
      <c r="R109" s="46">
        <f>1.08*942.617</f>
        <v>1018.0263600000001</v>
      </c>
      <c r="S109" s="46">
        <v>69</v>
      </c>
      <c r="T109" s="70">
        <v>22200397</v>
      </c>
      <c r="U109" s="70">
        <v>21513665</v>
      </c>
    </row>
    <row r="110" spans="1:21" ht="14.25">
      <c r="A110" s="85">
        <v>94</v>
      </c>
      <c r="B110" s="46" t="s">
        <v>157</v>
      </c>
      <c r="C110" s="46" t="s">
        <v>34</v>
      </c>
      <c r="D110" s="46">
        <f>27123607.97*942.617</f>
        <v>25567173973.857487</v>
      </c>
      <c r="E110" s="46">
        <f>146993.72*942.617</f>
        <v>138558779.36524001</v>
      </c>
      <c r="F110" s="46">
        <f>55216.77*942.617</f>
        <v>52048266.087089993</v>
      </c>
      <c r="G110" s="42">
        <f>91776.95*942.617</f>
        <v>86510513.278149992</v>
      </c>
      <c r="H110" s="46">
        <f>25791824.39*825.494</f>
        <v>21290996282.998661</v>
      </c>
      <c r="I110" s="43">
        <f t="shared" si="52"/>
        <v>3.2825426270392248E-2</v>
      </c>
      <c r="J110" s="46">
        <f>27089262.81*942.617</f>
        <v>25534799642.173767</v>
      </c>
      <c r="K110" s="43">
        <f t="shared" si="53"/>
        <v>3.3735235626300812E-2</v>
      </c>
      <c r="L110" s="43">
        <f t="shared" si="54"/>
        <v>0.19932385045616105</v>
      </c>
      <c r="M110" s="55">
        <f t="shared" si="55"/>
        <v>2.0383267860510671E-3</v>
      </c>
      <c r="N110" s="55">
        <f t="shared" si="56"/>
        <v>3.3879456463510901E-3</v>
      </c>
      <c r="O110" s="56">
        <f t="shared" si="57"/>
        <v>1034.768690969132</v>
      </c>
      <c r="P110" s="56">
        <f t="shared" si="58"/>
        <v>3.5057400815492872</v>
      </c>
      <c r="Q110" s="46">
        <f>1.12*942.617</f>
        <v>1055.7310400000001</v>
      </c>
      <c r="R110" s="46">
        <f>1.12*942.617</f>
        <v>1055.7310400000001</v>
      </c>
      <c r="S110" s="46">
        <v>985</v>
      </c>
      <c r="T110" s="70">
        <v>23604731.129999999</v>
      </c>
      <c r="U110" s="46">
        <v>24676818.949999999</v>
      </c>
    </row>
    <row r="111" spans="1:21" ht="15.75" customHeight="1">
      <c r="A111" s="90" t="s">
        <v>49</v>
      </c>
      <c r="B111" s="90"/>
      <c r="C111" s="90"/>
      <c r="D111" s="90"/>
      <c r="E111" s="90"/>
      <c r="F111" s="90"/>
      <c r="G111" s="90"/>
      <c r="H111" s="59">
        <f>SUM(H90:H110)</f>
        <v>648612941310.15234</v>
      </c>
      <c r="I111" s="79">
        <f>(H111/$H$172)</f>
        <v>0.32163793429305043</v>
      </c>
      <c r="J111" s="59">
        <f>SUM(J90:J110)</f>
        <v>756917779529.78687</v>
      </c>
      <c r="K111" s="79">
        <f>(J111/$J$172)</f>
        <v>0.3565293752636709</v>
      </c>
      <c r="L111" s="58">
        <f t="shared" si="47"/>
        <v>0.16697915092607679</v>
      </c>
      <c r="M111" s="55"/>
      <c r="N111" s="55"/>
      <c r="O111" s="56"/>
      <c r="P111" s="56"/>
      <c r="Q111" s="46"/>
      <c r="R111" s="46"/>
      <c r="S111" s="61">
        <f>SUM(S90:S110)</f>
        <v>12628</v>
      </c>
      <c r="T111" s="42"/>
      <c r="U111" s="46"/>
    </row>
    <row r="112" spans="1:21" ht="7.5" customHeight="1">
      <c r="A112" s="95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</row>
    <row r="113" spans="1:21">
      <c r="A113" s="92" t="s">
        <v>158</v>
      </c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</row>
    <row r="114" spans="1:21" ht="14.25">
      <c r="A114" s="86" t="s">
        <v>241</v>
      </c>
      <c r="B114" s="46" t="s">
        <v>239</v>
      </c>
      <c r="C114" s="62" t="s">
        <v>240</v>
      </c>
      <c r="D114" s="77" t="s">
        <v>242</v>
      </c>
      <c r="E114" s="77" t="s">
        <v>243</v>
      </c>
      <c r="F114" s="77" t="s">
        <v>244</v>
      </c>
      <c r="G114" s="77" t="s">
        <v>245</v>
      </c>
      <c r="H114" s="52">
        <v>2145289160.73</v>
      </c>
      <c r="I114" s="43">
        <f>(H114/$H$119)</f>
        <v>2.3094586359864867E-2</v>
      </c>
      <c r="J114" s="77" t="s">
        <v>246</v>
      </c>
      <c r="K114" s="43">
        <f>(J114/$J$119)</f>
        <v>2.2872448436818571E-2</v>
      </c>
      <c r="L114" s="43">
        <f>((J114-H114)/H114)</f>
        <v>2.1559946764593153E-3</v>
      </c>
      <c r="M114" s="44">
        <f>(F114/J114)</f>
        <v>9.2047957289959174E-3</v>
      </c>
      <c r="N114" s="44">
        <f>G114/J114</f>
        <v>2.1510885482775052E-3</v>
      </c>
      <c r="O114" s="45">
        <f>J114/U114</f>
        <v>101.31547562393966</v>
      </c>
      <c r="P114" s="45">
        <f>G114/U114</f>
        <v>0.21793855937794535</v>
      </c>
      <c r="Q114" s="77" t="s">
        <v>247</v>
      </c>
      <c r="R114" s="77" t="s">
        <v>247</v>
      </c>
      <c r="S114" s="46">
        <v>8</v>
      </c>
      <c r="T114" s="72">
        <v>21220000</v>
      </c>
      <c r="U114" s="70">
        <v>21220000</v>
      </c>
    </row>
    <row r="115" spans="1:21" ht="14.25">
      <c r="A115" s="85">
        <v>96</v>
      </c>
      <c r="B115" s="62" t="s">
        <v>159</v>
      </c>
      <c r="C115" s="62" t="s">
        <v>42</v>
      </c>
      <c r="D115" s="46">
        <v>35946627025</v>
      </c>
      <c r="E115" s="46">
        <v>345454291</v>
      </c>
      <c r="F115" s="46">
        <v>102823360</v>
      </c>
      <c r="G115" s="47">
        <v>242630931</v>
      </c>
      <c r="H115" s="46">
        <v>54012067160</v>
      </c>
      <c r="I115" s="43">
        <f t="shared" ref="I115:I118" si="59">(H115/$H$119)</f>
        <v>0.58145371371614074</v>
      </c>
      <c r="J115" s="46">
        <v>54012067160</v>
      </c>
      <c r="K115" s="43">
        <f t="shared" ref="K115:K118" si="60">(J115/$J$119)</f>
        <v>0.57462205251280607</v>
      </c>
      <c r="L115" s="43">
        <f t="shared" ref="L115:L118" si="61">((J115-H115)/H115)</f>
        <v>0</v>
      </c>
      <c r="M115" s="44">
        <f t="shared" ref="M115:M118" si="62">(F115/J115)</f>
        <v>1.9037108817814038E-3</v>
      </c>
      <c r="N115" s="44">
        <f t="shared" ref="N115:N118" si="63">G115/J115</f>
        <v>4.4921615438500836E-3</v>
      </c>
      <c r="O115" s="45">
        <f t="shared" ref="O115:O118" si="64">J115/U115</f>
        <v>101.78511397385837</v>
      </c>
      <c r="P115" s="45">
        <f t="shared" ref="P115:P118" si="65">G115/U115</f>
        <v>0.45723517472976438</v>
      </c>
      <c r="Q115" s="46">
        <v>101.79</v>
      </c>
      <c r="R115" s="46">
        <v>101.79</v>
      </c>
      <c r="S115" s="46">
        <v>675</v>
      </c>
      <c r="T115" s="46">
        <v>530648000</v>
      </c>
      <c r="U115" s="46">
        <v>530648000</v>
      </c>
    </row>
    <row r="116" spans="1:21" ht="14.25">
      <c r="A116" s="85">
        <v>97</v>
      </c>
      <c r="B116" s="62" t="s">
        <v>160</v>
      </c>
      <c r="C116" s="62" t="s">
        <v>124</v>
      </c>
      <c r="D116" s="46">
        <v>3152784642.4499998</v>
      </c>
      <c r="E116" s="46">
        <v>29882105.629999999</v>
      </c>
      <c r="F116" s="46">
        <v>1230597.31</v>
      </c>
      <c r="G116" s="47">
        <v>28651508.32</v>
      </c>
      <c r="H116" s="46">
        <v>2393922109.1199999</v>
      </c>
      <c r="I116" s="43">
        <f t="shared" si="59"/>
        <v>2.5771183624052209E-2</v>
      </c>
      <c r="J116" s="46">
        <v>2575573617.4400001</v>
      </c>
      <c r="K116" s="43">
        <f t="shared" si="60"/>
        <v>2.7400939757907344E-2</v>
      </c>
      <c r="L116" s="43">
        <f t="shared" si="61"/>
        <v>7.5880291855767543E-2</v>
      </c>
      <c r="M116" s="44">
        <f t="shared" si="62"/>
        <v>4.7779543231350394E-4</v>
      </c>
      <c r="N116" s="44">
        <f t="shared" si="63"/>
        <v>1.1124321248669359E-2</v>
      </c>
      <c r="O116" s="45">
        <f t="shared" si="64"/>
        <v>128.778680872</v>
      </c>
      <c r="P116" s="45">
        <f t="shared" si="65"/>
        <v>1.4325754159999999</v>
      </c>
      <c r="Q116" s="47">
        <v>92.15</v>
      </c>
      <c r="R116" s="47">
        <v>92.15</v>
      </c>
      <c r="S116" s="46">
        <v>2743</v>
      </c>
      <c r="T116" s="46">
        <v>20000000</v>
      </c>
      <c r="U116" s="46">
        <v>20000000</v>
      </c>
    </row>
    <row r="117" spans="1:21" ht="14.25">
      <c r="A117" s="85">
        <v>98</v>
      </c>
      <c r="B117" s="62" t="s">
        <v>161</v>
      </c>
      <c r="C117" s="62" t="s">
        <v>124</v>
      </c>
      <c r="D117" s="46">
        <v>11471217487.860001</v>
      </c>
      <c r="E117" s="46">
        <v>55082882.009999998</v>
      </c>
      <c r="F117" s="47" t="s">
        <v>224</v>
      </c>
      <c r="G117" s="47">
        <v>40391612.93</v>
      </c>
      <c r="H117" s="46">
        <v>10082736798</v>
      </c>
      <c r="I117" s="43">
        <f t="shared" si="59"/>
        <v>0.10854323975885927</v>
      </c>
      <c r="J117" s="46">
        <v>10748520361</v>
      </c>
      <c r="K117" s="43">
        <f t="shared" si="60"/>
        <v>0.11435105442302992</v>
      </c>
      <c r="L117" s="43">
        <f t="shared" si="61"/>
        <v>6.6032028440141777E-2</v>
      </c>
      <c r="M117" s="44">
        <f t="shared" si="62"/>
        <v>1.366817811808395E-3</v>
      </c>
      <c r="N117" s="44">
        <f t="shared" si="63"/>
        <v>3.7578765796041271E-3</v>
      </c>
      <c r="O117" s="45">
        <f t="shared" si="64"/>
        <v>57.134364499151864</v>
      </c>
      <c r="P117" s="45">
        <f t="shared" si="65"/>
        <v>0.21470389024192829</v>
      </c>
      <c r="Q117" s="47">
        <v>36.6</v>
      </c>
      <c r="R117" s="47">
        <v>36.6</v>
      </c>
      <c r="S117" s="46">
        <v>5264</v>
      </c>
      <c r="T117" s="46">
        <v>188127066</v>
      </c>
      <c r="U117" s="46">
        <v>188127066</v>
      </c>
    </row>
    <row r="118" spans="1:21" ht="16.5" customHeight="1">
      <c r="A118" s="85">
        <v>99</v>
      </c>
      <c r="B118" s="62" t="s">
        <v>162</v>
      </c>
      <c r="C118" s="46" t="s">
        <v>163</v>
      </c>
      <c r="D118" s="70">
        <v>26847874399.48</v>
      </c>
      <c r="E118" s="70">
        <v>137292484.62</v>
      </c>
      <c r="F118" s="70">
        <v>21575222</v>
      </c>
      <c r="G118" s="70">
        <v>115717262.62</v>
      </c>
      <c r="H118" s="70">
        <v>26402704301.09</v>
      </c>
      <c r="I118" s="43">
        <f t="shared" si="59"/>
        <v>0.28423186290094776</v>
      </c>
      <c r="J118" s="70">
        <v>26659652151.02</v>
      </c>
      <c r="K118" s="43">
        <f t="shared" si="60"/>
        <v>0.28362595330625662</v>
      </c>
      <c r="L118" s="43">
        <f t="shared" si="61"/>
        <v>9.7318762123693725E-3</v>
      </c>
      <c r="M118" s="44">
        <f t="shared" si="62"/>
        <v>8.0928370249476532E-4</v>
      </c>
      <c r="N118" s="44">
        <f t="shared" si="63"/>
        <v>4.3405391024793488E-3</v>
      </c>
      <c r="O118" s="45">
        <f t="shared" si="64"/>
        <v>9.9913641223347192</v>
      </c>
      <c r="P118" s="45">
        <f t="shared" si="65"/>
        <v>4.3367906660103116E-2</v>
      </c>
      <c r="Q118" s="47">
        <v>9.99</v>
      </c>
      <c r="R118" s="47">
        <v>9.99</v>
      </c>
      <c r="S118" s="46">
        <v>208300</v>
      </c>
      <c r="T118" s="70">
        <v>2668269500</v>
      </c>
      <c r="U118" s="70">
        <v>2668269500</v>
      </c>
    </row>
    <row r="119" spans="1:21" ht="15" customHeight="1">
      <c r="A119" s="90" t="s">
        <v>49</v>
      </c>
      <c r="B119" s="90"/>
      <c r="C119" s="90"/>
      <c r="D119" s="90"/>
      <c r="E119" s="90"/>
      <c r="F119" s="90"/>
      <c r="G119" s="90"/>
      <c r="H119" s="59">
        <f t="shared" ref="H119" si="66">SUM(H115:H118)</f>
        <v>92891430368.210007</v>
      </c>
      <c r="I119" s="114">
        <f>(H119/$H$172)</f>
        <v>4.6063539399641869E-2</v>
      </c>
      <c r="J119" s="59">
        <f>SUM(J115:J118)</f>
        <v>93995813289.460007</v>
      </c>
      <c r="K119" s="114">
        <f>(J119/$J$172)</f>
        <v>4.4274648443732363E-2</v>
      </c>
      <c r="L119" s="58">
        <f t="shared" ref="L119" si="67">((J119-H119)/H119)</f>
        <v>1.1888964534966942E-2</v>
      </c>
      <c r="M119" s="55"/>
      <c r="N119" s="55"/>
      <c r="O119" s="60"/>
      <c r="P119" s="60"/>
      <c r="Q119" s="46"/>
      <c r="R119" s="46"/>
      <c r="S119" s="59">
        <f>SUM(S115:S118)</f>
        <v>216982</v>
      </c>
      <c r="T119" s="46"/>
      <c r="U119" s="46"/>
    </row>
    <row r="120" spans="1:21" ht="8.25" customHeight="1">
      <c r="A120" s="95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</row>
    <row r="121" spans="1:21">
      <c r="A121" s="92" t="s">
        <v>164</v>
      </c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</row>
    <row r="122" spans="1:21" ht="14.25">
      <c r="A122" s="85">
        <v>100.101</v>
      </c>
      <c r="B122" s="62" t="s">
        <v>165</v>
      </c>
      <c r="C122" s="62" t="s">
        <v>53</v>
      </c>
      <c r="D122" s="65">
        <v>229935607.55000001</v>
      </c>
      <c r="E122" s="65">
        <v>1232678.3799999999</v>
      </c>
      <c r="F122" s="46">
        <v>513775.83</v>
      </c>
      <c r="G122" s="42">
        <v>718902.55</v>
      </c>
      <c r="H122" s="46">
        <v>210499305.13</v>
      </c>
      <c r="I122" s="43">
        <f>(H122/$H$146)</f>
        <v>5.300310701534916E-3</v>
      </c>
      <c r="J122" s="46">
        <v>213976253</v>
      </c>
      <c r="K122" s="43">
        <f>(J122/$J$146)</f>
        <v>5.275617792463938E-3</v>
      </c>
      <c r="L122" s="43">
        <f>((J122-H122)/H122)</f>
        <v>1.6517621603799187E-2</v>
      </c>
      <c r="M122" s="55">
        <f t="shared" ref="M122" si="68">(F122/J122)</f>
        <v>2.4010880777503847E-3</v>
      </c>
      <c r="N122" s="55">
        <f t="shared" ref="N122" si="69">G122/J122</f>
        <v>3.3597305304715287E-3</v>
      </c>
      <c r="O122" s="56">
        <f t="shared" ref="O122" si="70">J122/U122</f>
        <v>4.8451249992145335</v>
      </c>
      <c r="P122" s="56">
        <f t="shared" ref="P122" si="71">G122/U122</f>
        <v>1.6278314383811908E-2</v>
      </c>
      <c r="Q122" s="46">
        <v>4.78</v>
      </c>
      <c r="R122" s="46">
        <v>4.88</v>
      </c>
      <c r="S122" s="46">
        <v>11828</v>
      </c>
      <c r="T122" s="46">
        <v>44175337.299999997</v>
      </c>
      <c r="U122" s="46">
        <v>44163205.909999996</v>
      </c>
    </row>
    <row r="123" spans="1:21" ht="14.25">
      <c r="A123" s="85">
        <v>101</v>
      </c>
      <c r="B123" s="62" t="s">
        <v>166</v>
      </c>
      <c r="C123" s="46" t="s">
        <v>24</v>
      </c>
      <c r="D123" s="65">
        <v>5091663827.9200001</v>
      </c>
      <c r="E123" s="65">
        <v>39625080.039999999</v>
      </c>
      <c r="F123" s="46">
        <v>6267709.9000000004</v>
      </c>
      <c r="G123" s="42">
        <v>75029141.239999995</v>
      </c>
      <c r="H123" s="70">
        <v>6008640891</v>
      </c>
      <c r="I123" s="43">
        <f t="shared" ref="I123:I145" si="72">(H123/$H$146)</f>
        <v>0.15129581352574603</v>
      </c>
      <c r="J123" s="46">
        <v>6086221894</v>
      </c>
      <c r="K123" s="43">
        <f t="shared" ref="K123:K145" si="73">(J123/$J$146)</f>
        <v>0.15005674724507848</v>
      </c>
      <c r="L123" s="43">
        <f t="shared" ref="L123:L146" si="74">((J123-H123)/H123)</f>
        <v>1.2911572584776061E-2</v>
      </c>
      <c r="M123" s="55">
        <f t="shared" ref="M123:M145" si="75">(F123/J123)</f>
        <v>1.0298194855792092E-3</v>
      </c>
      <c r="N123" s="55">
        <f t="shared" ref="N123:N145" si="76">G123/J123</f>
        <v>1.2327703877173163E-2</v>
      </c>
      <c r="O123" s="56">
        <f t="shared" ref="O123:O145" si="77">J123/U123</f>
        <v>652.6967095676315</v>
      </c>
      <c r="P123" s="56">
        <f t="shared" ref="P123:P145" si="78">G123/U123</f>
        <v>8.0462517571550585</v>
      </c>
      <c r="Q123" s="46">
        <v>649.43320000000006</v>
      </c>
      <c r="R123" s="46">
        <v>669.01409999999998</v>
      </c>
      <c r="S123" s="46">
        <v>21192</v>
      </c>
      <c r="T123" s="46">
        <v>9314449</v>
      </c>
      <c r="U123" s="46">
        <v>9324732</v>
      </c>
    </row>
    <row r="124" spans="1:21" ht="14.25">
      <c r="A124" s="85">
        <v>101.899</v>
      </c>
      <c r="B124" s="62" t="s">
        <v>167</v>
      </c>
      <c r="C124" s="62" t="s">
        <v>106</v>
      </c>
      <c r="D124" s="46">
        <v>1353169221.8699999</v>
      </c>
      <c r="E124" s="46">
        <v>7365765.04</v>
      </c>
      <c r="F124" s="46">
        <v>2058259.18</v>
      </c>
      <c r="G124" s="42">
        <v>36710498.560000002</v>
      </c>
      <c r="H124" s="46">
        <v>1245484033.28</v>
      </c>
      <c r="I124" s="43">
        <f t="shared" si="72"/>
        <v>3.136092228954359E-2</v>
      </c>
      <c r="J124" s="46">
        <v>1245484033.28</v>
      </c>
      <c r="K124" s="43">
        <f t="shared" si="73"/>
        <v>3.0707602521676623E-2</v>
      </c>
      <c r="L124" s="43">
        <f t="shared" si="74"/>
        <v>0</v>
      </c>
      <c r="M124" s="55">
        <f t="shared" si="75"/>
        <v>1.6525777328349565E-3</v>
      </c>
      <c r="N124" s="55">
        <f t="shared" si="76"/>
        <v>2.9474884927526836E-2</v>
      </c>
      <c r="O124" s="56">
        <f t="shared" si="77"/>
        <v>2.9490226527708909</v>
      </c>
      <c r="P124" s="56">
        <f t="shared" si="78"/>
        <v>8.6922103339091936E-2</v>
      </c>
      <c r="Q124" s="46">
        <v>2.98</v>
      </c>
      <c r="R124" s="46">
        <v>3.05</v>
      </c>
      <c r="S124" s="46">
        <v>2754</v>
      </c>
      <c r="T124" s="46">
        <v>422304803.54000002</v>
      </c>
      <c r="U124" s="46">
        <v>422337899.68000001</v>
      </c>
    </row>
    <row r="125" spans="1:21" ht="14.25">
      <c r="A125" s="85">
        <v>102.798</v>
      </c>
      <c r="B125" s="62" t="s">
        <v>168</v>
      </c>
      <c r="C125" s="62" t="s">
        <v>58</v>
      </c>
      <c r="D125" s="65">
        <v>2893134974.0900002</v>
      </c>
      <c r="E125" s="65">
        <v>31954518.079999998</v>
      </c>
      <c r="F125" s="46">
        <v>7562404.4100000001</v>
      </c>
      <c r="G125" s="42">
        <v>24864540.620000001</v>
      </c>
      <c r="H125" s="46">
        <v>2827580994.8000002</v>
      </c>
      <c r="I125" s="43">
        <f t="shared" si="72"/>
        <v>7.1197659284145814E-2</v>
      </c>
      <c r="J125" s="46">
        <v>2903606134.2399998</v>
      </c>
      <c r="K125" s="43">
        <f t="shared" si="73"/>
        <v>7.158886077000319E-2</v>
      </c>
      <c r="L125" s="43">
        <f t="shared" si="74"/>
        <v>2.688698911890125E-2</v>
      </c>
      <c r="M125" s="55">
        <f t="shared" si="75"/>
        <v>2.604486993198687E-3</v>
      </c>
      <c r="N125" s="55">
        <f t="shared" si="76"/>
        <v>8.5633310684915375E-3</v>
      </c>
      <c r="O125" s="56">
        <f t="shared" si="77"/>
        <v>5452.562653476235</v>
      </c>
      <c r="P125" s="56">
        <f t="shared" si="78"/>
        <v>46.692099173409702</v>
      </c>
      <c r="Q125" s="46">
        <v>5452.56</v>
      </c>
      <c r="R125" s="46">
        <v>5492.52</v>
      </c>
      <c r="S125" s="46">
        <v>824</v>
      </c>
      <c r="T125" s="46">
        <v>529808.98</v>
      </c>
      <c r="U125" s="46">
        <v>532521.37</v>
      </c>
    </row>
    <row r="126" spans="1:21" ht="14.25" customHeight="1">
      <c r="A126" s="85">
        <v>103.697</v>
      </c>
      <c r="B126" s="62" t="s">
        <v>169</v>
      </c>
      <c r="C126" s="46" t="s">
        <v>60</v>
      </c>
      <c r="D126" s="65">
        <v>313486638.79000002</v>
      </c>
      <c r="E126" s="65">
        <v>2731515.28</v>
      </c>
      <c r="F126" s="46">
        <v>836052.02</v>
      </c>
      <c r="G126" s="42">
        <v>1895463.26</v>
      </c>
      <c r="H126" s="46">
        <v>386210945.31999999</v>
      </c>
      <c r="I126" s="43">
        <f t="shared" si="72"/>
        <v>9.7246782133808204E-3</v>
      </c>
      <c r="J126" s="46">
        <v>412353175.04000002</v>
      </c>
      <c r="K126" s="43">
        <f t="shared" si="73"/>
        <v>1.0166631654308016E-2</v>
      </c>
      <c r="L126" s="43">
        <f t="shared" si="74"/>
        <v>6.7688992341580462E-2</v>
      </c>
      <c r="M126" s="55">
        <f t="shared" si="75"/>
        <v>2.0275144478247302E-3</v>
      </c>
      <c r="N126" s="55">
        <f t="shared" si="76"/>
        <v>4.5966985941508316E-3</v>
      </c>
      <c r="O126" s="56">
        <f t="shared" si="77"/>
        <v>156.89034769007517</v>
      </c>
      <c r="P126" s="56">
        <f t="shared" si="78"/>
        <v>0.72117764066280388</v>
      </c>
      <c r="Q126" s="46">
        <v>162.94999999999999</v>
      </c>
      <c r="R126" s="46">
        <v>164.03</v>
      </c>
      <c r="S126" s="46">
        <v>630</v>
      </c>
      <c r="T126" s="46">
        <v>2569478</v>
      </c>
      <c r="U126" s="46">
        <v>2628289</v>
      </c>
    </row>
    <row r="127" spans="1:21" ht="15" customHeight="1">
      <c r="A127" s="85">
        <v>104.596</v>
      </c>
      <c r="B127" s="62" t="s">
        <v>170</v>
      </c>
      <c r="C127" s="46" t="s">
        <v>62</v>
      </c>
      <c r="D127" s="65">
        <v>248331135.28999999</v>
      </c>
      <c r="E127" s="65">
        <v>1956454.75</v>
      </c>
      <c r="F127" s="46">
        <v>691169.45</v>
      </c>
      <c r="G127" s="42">
        <v>3676035.92</v>
      </c>
      <c r="H127" s="46">
        <v>331444396.5</v>
      </c>
      <c r="I127" s="43">
        <f t="shared" si="72"/>
        <v>8.3456725933028358E-3</v>
      </c>
      <c r="J127" s="46">
        <v>331444396.5</v>
      </c>
      <c r="K127" s="43">
        <f t="shared" si="73"/>
        <v>8.1718131375441566E-3</v>
      </c>
      <c r="L127" s="43">
        <f t="shared" si="74"/>
        <v>0</v>
      </c>
      <c r="M127" s="55">
        <f t="shared" si="75"/>
        <v>2.0853254944076267E-3</v>
      </c>
      <c r="N127" s="55">
        <f t="shared" si="76"/>
        <v>1.1090958117917675E-2</v>
      </c>
      <c r="O127" s="56">
        <f t="shared" si="77"/>
        <v>137.41595449214111</v>
      </c>
      <c r="P127" s="56">
        <f t="shared" si="78"/>
        <v>1.5240745960060182</v>
      </c>
      <c r="Q127" s="46">
        <v>141.68</v>
      </c>
      <c r="R127" s="46">
        <v>142.58000000000001</v>
      </c>
      <c r="S127" s="46">
        <f>549+27+3</f>
        <v>579</v>
      </c>
      <c r="T127" s="46">
        <v>2411979</v>
      </c>
      <c r="U127" s="46">
        <v>2411979</v>
      </c>
    </row>
    <row r="128" spans="1:21" ht="14.25">
      <c r="A128" s="85">
        <v>106</v>
      </c>
      <c r="B128" s="62" t="s">
        <v>171</v>
      </c>
      <c r="C128" s="46" t="s">
        <v>64</v>
      </c>
      <c r="D128" s="70">
        <v>163947377.09999999</v>
      </c>
      <c r="E128" s="70">
        <v>1034325.58</v>
      </c>
      <c r="F128" s="70">
        <v>460348.52</v>
      </c>
      <c r="G128" s="70">
        <v>2029495.48</v>
      </c>
      <c r="H128" s="47">
        <v>161160093.09999999</v>
      </c>
      <c r="I128" s="43">
        <f t="shared" si="72"/>
        <v>4.0579638283877381E-3</v>
      </c>
      <c r="J128" s="70">
        <v>163548919.58000001</v>
      </c>
      <c r="K128" s="43">
        <f t="shared" si="73"/>
        <v>4.0323240452037534E-3</v>
      </c>
      <c r="L128" s="43">
        <f t="shared" si="74"/>
        <v>1.4822692355468856E-2</v>
      </c>
      <c r="M128" s="55">
        <f t="shared" si="75"/>
        <v>2.8147451000116231E-3</v>
      </c>
      <c r="N128" s="55">
        <f t="shared" si="76"/>
        <v>1.2409103558811781E-2</v>
      </c>
      <c r="O128" s="56">
        <f t="shared" si="77"/>
        <v>1.4558919930483696</v>
      </c>
      <c r="P128" s="56">
        <f t="shared" si="78"/>
        <v>1.8066314512182099E-2</v>
      </c>
      <c r="Q128" s="70">
        <v>1.4487000000000001</v>
      </c>
      <c r="R128" s="70">
        <v>1.4624999999999999</v>
      </c>
      <c r="S128" s="46">
        <v>265</v>
      </c>
      <c r="T128" s="70">
        <v>112123256.5</v>
      </c>
      <c r="U128" s="70">
        <v>112335887.8</v>
      </c>
    </row>
    <row r="129" spans="1:21" ht="14.25">
      <c r="A129" s="85">
        <v>107</v>
      </c>
      <c r="B129" s="62" t="s">
        <v>248</v>
      </c>
      <c r="C129" s="62" t="s">
        <v>46</v>
      </c>
      <c r="D129" s="65">
        <v>89754823.319999993</v>
      </c>
      <c r="E129" s="65">
        <v>1078098.01</v>
      </c>
      <c r="F129" s="46">
        <v>184948.17</v>
      </c>
      <c r="G129" s="42">
        <v>893149.84</v>
      </c>
      <c r="H129" s="47">
        <v>114853053.40000001</v>
      </c>
      <c r="I129" s="43">
        <f t="shared" si="72"/>
        <v>2.8919661642779564E-3</v>
      </c>
      <c r="J129" s="46">
        <v>129329875.98</v>
      </c>
      <c r="K129" s="43">
        <f t="shared" si="73"/>
        <v>3.1886482039539337E-3</v>
      </c>
      <c r="L129" s="43">
        <f t="shared" si="74"/>
        <v>0.12604647548708528</v>
      </c>
      <c r="M129" s="55">
        <f t="shared" si="75"/>
        <v>1.4300498519661535E-3</v>
      </c>
      <c r="N129" s="55">
        <f t="shared" si="76"/>
        <v>6.9059823434619201E-3</v>
      </c>
      <c r="O129" s="56">
        <f t="shared" si="77"/>
        <v>127.55214852248353</v>
      </c>
      <c r="P129" s="56">
        <f t="shared" si="78"/>
        <v>0.8808728855669038</v>
      </c>
      <c r="Q129" s="46">
        <v>127.4072</v>
      </c>
      <c r="R129" s="46">
        <v>127.9025</v>
      </c>
      <c r="S129" s="46">
        <v>79</v>
      </c>
      <c r="T129" s="46">
        <v>928807.93</v>
      </c>
      <c r="U129" s="46">
        <v>1013937.26</v>
      </c>
    </row>
    <row r="130" spans="1:21" ht="14.25">
      <c r="A130" s="85">
        <v>108</v>
      </c>
      <c r="B130" s="62" t="s">
        <v>172</v>
      </c>
      <c r="C130" s="62" t="s">
        <v>173</v>
      </c>
      <c r="D130" s="70">
        <v>79280725.890000001</v>
      </c>
      <c r="E130" s="70">
        <v>1749514.47</v>
      </c>
      <c r="F130" s="70">
        <v>560815.01</v>
      </c>
      <c r="G130" s="70">
        <v>1188699.46</v>
      </c>
      <c r="H130" s="46">
        <v>180253084.46000001</v>
      </c>
      <c r="I130" s="43">
        <f t="shared" si="72"/>
        <v>4.5387197452171242E-3</v>
      </c>
      <c r="J130" s="70">
        <v>180253084.46000001</v>
      </c>
      <c r="K130" s="43">
        <f t="shared" si="73"/>
        <v>4.4441678279303308E-3</v>
      </c>
      <c r="L130" s="43">
        <f t="shared" si="74"/>
        <v>0</v>
      </c>
      <c r="M130" s="55">
        <f t="shared" si="75"/>
        <v>3.1112644295662557E-3</v>
      </c>
      <c r="N130" s="55">
        <f t="shared" si="76"/>
        <v>6.5946136986287434E-3</v>
      </c>
      <c r="O130" s="56">
        <f t="shared" si="77"/>
        <v>116.30529372633204</v>
      </c>
      <c r="P130" s="56">
        <f t="shared" si="78"/>
        <v>0.76698848323070901</v>
      </c>
      <c r="Q130" s="70">
        <v>114.01</v>
      </c>
      <c r="R130" s="70">
        <v>116.31</v>
      </c>
      <c r="S130" s="46">
        <v>49</v>
      </c>
      <c r="T130" s="70">
        <v>1565109</v>
      </c>
      <c r="U130" s="70">
        <v>1549827</v>
      </c>
    </row>
    <row r="131" spans="1:21" ht="14.25">
      <c r="A131" s="85">
        <v>109</v>
      </c>
      <c r="B131" s="62" t="s">
        <v>174</v>
      </c>
      <c r="C131" s="46" t="s">
        <v>69</v>
      </c>
      <c r="D131" s="70">
        <v>462392500.02999997</v>
      </c>
      <c r="E131" s="70">
        <v>3619685.05</v>
      </c>
      <c r="F131" s="70">
        <v>912185.91</v>
      </c>
      <c r="G131" s="70">
        <v>10192650.65</v>
      </c>
      <c r="H131" s="46">
        <v>517527362.35000002</v>
      </c>
      <c r="I131" s="43">
        <f t="shared" si="72"/>
        <v>1.3031187040293503E-2</v>
      </c>
      <c r="J131" s="70">
        <v>469568522.67000002</v>
      </c>
      <c r="K131" s="43">
        <f t="shared" si="73"/>
        <v>1.1577284947497693E-2</v>
      </c>
      <c r="L131" s="43">
        <f t="shared" si="74"/>
        <v>-9.2669186537746362E-2</v>
      </c>
      <c r="M131" s="55">
        <f t="shared" si="75"/>
        <v>1.9426044676360461E-3</v>
      </c>
      <c r="N131" s="55">
        <f t="shared" si="76"/>
        <v>2.1706418036805075E-2</v>
      </c>
      <c r="O131" s="56">
        <f t="shared" si="77"/>
        <v>1.2700166122717325</v>
      </c>
      <c r="P131" s="56">
        <f t="shared" si="78"/>
        <v>2.7567511499657211E-2</v>
      </c>
      <c r="Q131" s="46">
        <v>1.27</v>
      </c>
      <c r="R131" s="46">
        <v>1.27</v>
      </c>
      <c r="S131" s="46">
        <v>103</v>
      </c>
      <c r="T131" s="70">
        <v>410015500.94999999</v>
      </c>
      <c r="U131" s="70">
        <v>369734157.91000003</v>
      </c>
    </row>
    <row r="132" spans="1:21" ht="14.25">
      <c r="A132" s="85">
        <v>110</v>
      </c>
      <c r="B132" s="46" t="s">
        <v>175</v>
      </c>
      <c r="C132" s="46" t="s">
        <v>73</v>
      </c>
      <c r="D132" s="65">
        <v>6820447758</v>
      </c>
      <c r="E132" s="65">
        <v>33143424.350000001</v>
      </c>
      <c r="F132" s="47">
        <v>22124473.699999999</v>
      </c>
      <c r="G132" s="47">
        <v>23402474.91</v>
      </c>
      <c r="H132" s="46">
        <v>6634297410.3999996</v>
      </c>
      <c r="I132" s="43">
        <f t="shared" si="72"/>
        <v>0.16704966099432986</v>
      </c>
      <c r="J132" s="46">
        <v>6820447758</v>
      </c>
      <c r="K132" s="43">
        <f t="shared" si="73"/>
        <v>0.16815920009906696</v>
      </c>
      <c r="L132" s="43">
        <f t="shared" si="74"/>
        <v>2.8058788457115142E-2</v>
      </c>
      <c r="M132" s="55">
        <f t="shared" si="75"/>
        <v>3.2438447569735052E-3</v>
      </c>
      <c r="N132" s="55">
        <f t="shared" si="76"/>
        <v>3.4312226616720607E-3</v>
      </c>
      <c r="O132" s="56">
        <f t="shared" si="77"/>
        <v>259.20520939445072</v>
      </c>
      <c r="P132" s="56">
        <f t="shared" si="78"/>
        <v>0.88939078849769104</v>
      </c>
      <c r="Q132" s="46">
        <v>259.20999999999998</v>
      </c>
      <c r="R132" s="46">
        <v>261.41000000000003</v>
      </c>
      <c r="S132" s="46">
        <v>5467</v>
      </c>
      <c r="T132" s="46">
        <v>26270982.629999999</v>
      </c>
      <c r="U132" s="46">
        <v>26312927.02</v>
      </c>
    </row>
    <row r="133" spans="1:21" ht="14.25">
      <c r="A133" s="85">
        <v>111</v>
      </c>
      <c r="B133" s="46" t="s">
        <v>176</v>
      </c>
      <c r="C133" s="62" t="s">
        <v>75</v>
      </c>
      <c r="D133" s="65">
        <v>2506728482.79</v>
      </c>
      <c r="E133" s="65">
        <v>20188612.489999998</v>
      </c>
      <c r="F133" s="46">
        <v>7040632.6200000001</v>
      </c>
      <c r="G133" s="42">
        <v>13147979.869999999</v>
      </c>
      <c r="H133" s="46">
        <v>2355993894.4899998</v>
      </c>
      <c r="I133" s="43">
        <f t="shared" si="72"/>
        <v>5.9323234554167534E-2</v>
      </c>
      <c r="J133" s="46">
        <v>2419106757.1799998</v>
      </c>
      <c r="K133" s="43">
        <f t="shared" si="73"/>
        <v>5.9643453285671597E-2</v>
      </c>
      <c r="L133" s="43">
        <f t="shared" si="74"/>
        <v>2.6788211479496237E-2</v>
      </c>
      <c r="M133" s="55">
        <f t="shared" si="75"/>
        <v>2.9104265858061608E-3</v>
      </c>
      <c r="N133" s="55">
        <f t="shared" si="76"/>
        <v>5.4350556588609825E-3</v>
      </c>
      <c r="O133" s="56">
        <f t="shared" si="77"/>
        <v>1.7022890224430938</v>
      </c>
      <c r="P133" s="56">
        <f t="shared" si="78"/>
        <v>9.2520355844462662E-3</v>
      </c>
      <c r="Q133" s="46">
        <v>1.69</v>
      </c>
      <c r="R133" s="46">
        <v>1.72</v>
      </c>
      <c r="S133" s="46">
        <v>10310</v>
      </c>
      <c r="T133" s="46">
        <v>1421212102.23</v>
      </c>
      <c r="U133" s="46">
        <v>1421090499.49</v>
      </c>
    </row>
    <row r="134" spans="1:21" ht="14.25">
      <c r="A134" s="85">
        <v>112</v>
      </c>
      <c r="B134" s="62" t="s">
        <v>177</v>
      </c>
      <c r="C134" s="46" t="s">
        <v>77</v>
      </c>
      <c r="D134" s="70">
        <v>180020423.22</v>
      </c>
      <c r="E134" s="70">
        <v>1173455.53</v>
      </c>
      <c r="F134" s="70">
        <v>274419.15999999997</v>
      </c>
      <c r="G134" s="70">
        <v>899036.37</v>
      </c>
      <c r="H134" s="46">
        <v>172977200.00999999</v>
      </c>
      <c r="I134" s="43">
        <f t="shared" si="72"/>
        <v>4.3555151109327022E-3</v>
      </c>
      <c r="J134" s="70">
        <v>179728533.16999999</v>
      </c>
      <c r="K134" s="43">
        <f t="shared" si="73"/>
        <v>4.4312349343041211E-3</v>
      </c>
      <c r="L134" s="43">
        <f t="shared" si="74"/>
        <v>3.9030191028700284E-2</v>
      </c>
      <c r="M134" s="55">
        <f t="shared" si="75"/>
        <v>1.5268536117213781E-3</v>
      </c>
      <c r="N134" s="55">
        <f t="shared" si="76"/>
        <v>5.0021905489521113E-3</v>
      </c>
      <c r="O134" s="56">
        <f t="shared" si="77"/>
        <v>233.85250822881815</v>
      </c>
      <c r="P134" s="56">
        <f t="shared" si="78"/>
        <v>1.1697748065109401</v>
      </c>
      <c r="Q134" s="46">
        <v>233.85</v>
      </c>
      <c r="R134" s="46">
        <v>234.2</v>
      </c>
      <c r="S134" s="46">
        <v>39</v>
      </c>
      <c r="T134" s="70">
        <v>768555</v>
      </c>
      <c r="U134" s="70">
        <v>768555.08</v>
      </c>
    </row>
    <row r="135" spans="1:21" ht="14.25">
      <c r="A135" s="85">
        <v>113</v>
      </c>
      <c r="B135" s="46" t="s">
        <v>178</v>
      </c>
      <c r="C135" s="46" t="s">
        <v>34</v>
      </c>
      <c r="D135" s="70">
        <v>2565576019.8200002</v>
      </c>
      <c r="E135" s="70">
        <v>13198166.65</v>
      </c>
      <c r="F135" s="70">
        <v>6567186.8700000001</v>
      </c>
      <c r="G135" s="70">
        <v>-19636242.120000001</v>
      </c>
      <c r="H135" s="70">
        <v>2633566479.8899999</v>
      </c>
      <c r="I135" s="43">
        <f t="shared" si="72"/>
        <v>6.6312430760491065E-2</v>
      </c>
      <c r="J135" s="70">
        <v>2624286452.9699998</v>
      </c>
      <c r="K135" s="43">
        <f t="shared" si="73"/>
        <v>6.4702190592199074E-2</v>
      </c>
      <c r="L135" s="43">
        <f t="shared" si="74"/>
        <v>-3.5237488747152071E-3</v>
      </c>
      <c r="M135" s="55">
        <f t="shared" si="75"/>
        <v>2.5024657131342038E-3</v>
      </c>
      <c r="N135" s="55">
        <f t="shared" si="76"/>
        <v>-7.4825071393318961E-3</v>
      </c>
      <c r="O135" s="56">
        <f t="shared" si="77"/>
        <v>3.6464288196458439</v>
      </c>
      <c r="P135" s="56">
        <f t="shared" si="78"/>
        <v>-2.7284429676065605E-2</v>
      </c>
      <c r="Q135" s="46">
        <v>3.61</v>
      </c>
      <c r="R135" s="46">
        <v>3.68</v>
      </c>
      <c r="S135" s="46">
        <v>2262</v>
      </c>
      <c r="T135" s="70">
        <v>719671227.94000006</v>
      </c>
      <c r="U135" s="70">
        <v>719686735.37</v>
      </c>
    </row>
    <row r="136" spans="1:21" ht="14.25">
      <c r="A136" s="85">
        <v>114</v>
      </c>
      <c r="B136" s="46" t="s">
        <v>179</v>
      </c>
      <c r="C136" s="46" t="s">
        <v>117</v>
      </c>
      <c r="D136" s="65">
        <v>179618618.38999999</v>
      </c>
      <c r="E136" s="65">
        <v>1875659.08</v>
      </c>
      <c r="F136" s="39">
        <v>5520999.2800000003</v>
      </c>
      <c r="G136" s="42">
        <v>3645340.2</v>
      </c>
      <c r="H136" s="46">
        <v>176261031.69999999</v>
      </c>
      <c r="I136" s="43">
        <f t="shared" si="72"/>
        <v>4.4382010287688546E-3</v>
      </c>
      <c r="J136" s="46">
        <v>174212114.75999999</v>
      </c>
      <c r="K136" s="43">
        <f t="shared" si="73"/>
        <v>4.2952267805653433E-3</v>
      </c>
      <c r="L136" s="43">
        <f t="shared" si="74"/>
        <v>-1.1624333071460161E-2</v>
      </c>
      <c r="M136" s="55">
        <f t="shared" si="75"/>
        <v>3.1691247693111928E-2</v>
      </c>
      <c r="N136" s="55">
        <f t="shared" si="76"/>
        <v>2.0924722744006259E-2</v>
      </c>
      <c r="O136" s="56">
        <f t="shared" si="77"/>
        <v>173.70301034401282</v>
      </c>
      <c r="P136" s="56">
        <f t="shared" si="78"/>
        <v>3.6346873312477195</v>
      </c>
      <c r="Q136" s="46">
        <v>173.703</v>
      </c>
      <c r="R136" s="46">
        <v>179.09370000000001</v>
      </c>
      <c r="S136" s="46">
        <v>139</v>
      </c>
      <c r="T136" s="46">
        <v>1049244.3400000001</v>
      </c>
      <c r="U136" s="46">
        <v>1002930.89</v>
      </c>
    </row>
    <row r="137" spans="1:21" ht="14.25">
      <c r="A137" s="85">
        <v>115</v>
      </c>
      <c r="B137" s="62" t="s">
        <v>180</v>
      </c>
      <c r="C137" s="46" t="s">
        <v>30</v>
      </c>
      <c r="D137" s="65">
        <v>15711194553.83</v>
      </c>
      <c r="E137" s="47">
        <v>16717540.189999999</v>
      </c>
      <c r="F137" s="46">
        <v>3322427.08</v>
      </c>
      <c r="G137" s="47">
        <v>13395113.109999999</v>
      </c>
      <c r="H137" s="70">
        <v>1514225556.02</v>
      </c>
      <c r="I137" s="43">
        <f t="shared" si="72"/>
        <v>3.8127754930848141E-2</v>
      </c>
      <c r="J137" s="70">
        <v>1547436919.1500001</v>
      </c>
      <c r="K137" s="43">
        <f t="shared" si="73"/>
        <v>3.8152297878509538E-2</v>
      </c>
      <c r="L137" s="43">
        <f t="shared" si="74"/>
        <v>2.1932903587556053E-2</v>
      </c>
      <c r="M137" s="55">
        <f t="shared" si="75"/>
        <v>2.1470517078169453E-3</v>
      </c>
      <c r="N137" s="55">
        <f t="shared" si="76"/>
        <v>8.6563225577930974E-3</v>
      </c>
      <c r="O137" s="56">
        <f t="shared" si="77"/>
        <v>2074.4512623500236</v>
      </c>
      <c r="P137" s="56">
        <f t="shared" si="78"/>
        <v>17.957119257322876</v>
      </c>
      <c r="Q137" s="46">
        <v>552.20000000000005</v>
      </c>
      <c r="R137" s="46">
        <v>552.20000000000005</v>
      </c>
      <c r="S137" s="46">
        <v>830</v>
      </c>
      <c r="T137" s="47">
        <v>745950</v>
      </c>
      <c r="U137" s="46">
        <v>745950</v>
      </c>
    </row>
    <row r="138" spans="1:21" ht="14.25">
      <c r="A138" s="85">
        <v>116</v>
      </c>
      <c r="B138" s="62" t="s">
        <v>181</v>
      </c>
      <c r="C138" s="46" t="s">
        <v>84</v>
      </c>
      <c r="D138" s="70">
        <v>25420588.210000001</v>
      </c>
      <c r="E138" s="65">
        <v>58815.8</v>
      </c>
      <c r="F138" s="46">
        <v>11162.48</v>
      </c>
      <c r="G138" s="42">
        <v>47653.32</v>
      </c>
      <c r="H138" s="46">
        <v>24659875.440000001</v>
      </c>
      <c r="I138" s="43">
        <f t="shared" si="72"/>
        <v>6.2092842355194176E-4</v>
      </c>
      <c r="J138" s="46">
        <v>26439150.879999999</v>
      </c>
      <c r="K138" s="43">
        <f t="shared" si="73"/>
        <v>6.5186137641248712E-4</v>
      </c>
      <c r="L138" s="43">
        <f t="shared" si="74"/>
        <v>7.2152653176580581E-2</v>
      </c>
      <c r="M138" s="55">
        <f t="shared" si="75"/>
        <v>4.2219510190260695E-4</v>
      </c>
      <c r="N138" s="55">
        <f t="shared" si="76"/>
        <v>1.8023770966127184E-3</v>
      </c>
      <c r="O138" s="56">
        <f t="shared" si="77"/>
        <v>1.5935884968204648</v>
      </c>
      <c r="P138" s="56">
        <f t="shared" si="78"/>
        <v>2.8722474080946957E-3</v>
      </c>
      <c r="Q138" s="46">
        <v>1.59</v>
      </c>
      <c r="R138" s="46">
        <v>1.59</v>
      </c>
      <c r="S138" s="46">
        <v>7</v>
      </c>
      <c r="T138" s="46">
        <v>16265952.390000001</v>
      </c>
      <c r="U138" s="46">
        <v>16590952.390000001</v>
      </c>
    </row>
    <row r="139" spans="1:21" ht="14.25">
      <c r="A139" s="85">
        <v>117</v>
      </c>
      <c r="B139" s="46" t="s">
        <v>182</v>
      </c>
      <c r="C139" s="46" t="s">
        <v>40</v>
      </c>
      <c r="D139" s="65">
        <v>200645563.25</v>
      </c>
      <c r="E139" s="65">
        <v>2151619.87</v>
      </c>
      <c r="F139" s="46">
        <v>338049.26</v>
      </c>
      <c r="G139" s="42">
        <v>1813570.61</v>
      </c>
      <c r="H139" s="46">
        <v>210475446.61000001</v>
      </c>
      <c r="I139" s="43">
        <f t="shared" si="72"/>
        <v>5.2997099510060696E-3</v>
      </c>
      <c r="J139" s="46">
        <v>202060090.06999999</v>
      </c>
      <c r="K139" s="43">
        <f t="shared" si="73"/>
        <v>4.9818229423811708E-3</v>
      </c>
      <c r="L139" s="43">
        <f t="shared" si="74"/>
        <v>-3.9982604505851158E-2</v>
      </c>
      <c r="M139" s="55">
        <f t="shared" si="75"/>
        <v>1.6730135074318193E-3</v>
      </c>
      <c r="N139" s="55">
        <f t="shared" si="76"/>
        <v>8.9754023635826453E-3</v>
      </c>
      <c r="O139" s="56">
        <f t="shared" si="77"/>
        <v>2.0719474698610756</v>
      </c>
      <c r="P139" s="56">
        <f t="shared" si="78"/>
        <v>1.859656221821018E-2</v>
      </c>
      <c r="Q139" s="46">
        <v>2.04</v>
      </c>
      <c r="R139" s="46">
        <v>2.08</v>
      </c>
      <c r="S139" s="46">
        <v>115</v>
      </c>
      <c r="T139" s="46">
        <v>98289751.900000006</v>
      </c>
      <c r="U139" s="46">
        <v>97521820.900000006</v>
      </c>
    </row>
    <row r="140" spans="1:21" ht="14.25">
      <c r="A140" s="85">
        <v>118</v>
      </c>
      <c r="B140" s="62" t="s">
        <v>183</v>
      </c>
      <c r="C140" s="62" t="s">
        <v>44</v>
      </c>
      <c r="D140" s="70">
        <v>2094356989.96</v>
      </c>
      <c r="E140" s="70">
        <v>17017697.390000001</v>
      </c>
      <c r="F140" s="70">
        <v>3869445.91</v>
      </c>
      <c r="G140" s="70">
        <v>47835847.170000002</v>
      </c>
      <c r="H140" s="70">
        <v>2071765747.23</v>
      </c>
      <c r="I140" s="43">
        <f t="shared" si="72"/>
        <v>5.2166453254251899E-2</v>
      </c>
      <c r="J140" s="70">
        <v>2150935491.48</v>
      </c>
      <c r="K140" s="43">
        <f t="shared" si="73"/>
        <v>5.3031649027399562E-2</v>
      </c>
      <c r="L140" s="43">
        <f t="shared" si="74"/>
        <v>3.8213656324732573E-2</v>
      </c>
      <c r="M140" s="55">
        <f t="shared" si="75"/>
        <v>1.7989595342710813E-3</v>
      </c>
      <c r="N140" s="55">
        <f t="shared" si="76"/>
        <v>2.2239554537772519E-2</v>
      </c>
      <c r="O140" s="56">
        <f t="shared" si="77"/>
        <v>4803.0732093378292</v>
      </c>
      <c r="P140" s="56">
        <f t="shared" si="78"/>
        <v>106.81820858798275</v>
      </c>
      <c r="Q140" s="46">
        <v>4777.7700000000004</v>
      </c>
      <c r="R140" s="46">
        <v>4820.41</v>
      </c>
      <c r="S140" s="46">
        <v>1908</v>
      </c>
      <c r="T140" s="70">
        <v>441184.41</v>
      </c>
      <c r="U140" s="70">
        <v>447824.84</v>
      </c>
    </row>
    <row r="141" spans="1:21" ht="14.25">
      <c r="A141" s="85">
        <v>119</v>
      </c>
      <c r="B141" s="62" t="s">
        <v>184</v>
      </c>
      <c r="C141" s="62" t="s">
        <v>48</v>
      </c>
      <c r="D141" s="70">
        <v>1126496399</v>
      </c>
      <c r="E141" s="70">
        <v>15252152</v>
      </c>
      <c r="F141" s="70">
        <v>3155554</v>
      </c>
      <c r="G141" s="70">
        <v>15849026</v>
      </c>
      <c r="H141" s="46">
        <v>1429905819.55</v>
      </c>
      <c r="I141" s="43">
        <f t="shared" si="72"/>
        <v>3.6004608722424621E-2</v>
      </c>
      <c r="J141" s="70">
        <v>1451306853.99</v>
      </c>
      <c r="K141" s="43">
        <f t="shared" si="73"/>
        <v>3.578219617311696E-2</v>
      </c>
      <c r="L141" s="43">
        <f t="shared" si="74"/>
        <v>1.4966744066217657E-2</v>
      </c>
      <c r="M141" s="55">
        <f t="shared" si="75"/>
        <v>2.174284501809252E-3</v>
      </c>
      <c r="N141" s="55">
        <f t="shared" si="76"/>
        <v>1.0920520327198292E-2</v>
      </c>
      <c r="O141" s="56">
        <f t="shared" si="77"/>
        <v>1.6214593130257804</v>
      </c>
      <c r="P141" s="56">
        <f t="shared" si="78"/>
        <v>1.7707179387623014E-2</v>
      </c>
      <c r="Q141" s="46">
        <v>1.62</v>
      </c>
      <c r="R141" s="46">
        <v>1.57</v>
      </c>
      <c r="S141" s="46">
        <v>1391</v>
      </c>
      <c r="T141" s="70">
        <v>890946388.72000003</v>
      </c>
      <c r="U141" s="70">
        <v>895062147</v>
      </c>
    </row>
    <row r="142" spans="1:21" ht="14.25">
      <c r="A142" s="85">
        <v>120</v>
      </c>
      <c r="B142" s="83" t="s">
        <v>185</v>
      </c>
      <c r="C142" s="62" t="s">
        <v>91</v>
      </c>
      <c r="D142" s="46">
        <v>5967325037.2799997</v>
      </c>
      <c r="E142" s="47">
        <v>36609286.280000001</v>
      </c>
      <c r="F142" s="47">
        <v>7919363.8200000003</v>
      </c>
      <c r="G142" s="47">
        <v>271642442.41000003</v>
      </c>
      <c r="H142" s="70">
        <v>6179174514.0900002</v>
      </c>
      <c r="I142" s="43">
        <f t="shared" si="72"/>
        <v>0.1555898000872562</v>
      </c>
      <c r="J142" s="47">
        <v>6488721686.8000002</v>
      </c>
      <c r="K142" s="43">
        <f t="shared" si="73"/>
        <v>0.15998044222799199</v>
      </c>
      <c r="L142" s="43">
        <f t="shared" si="74"/>
        <v>5.0095230682376458E-2</v>
      </c>
      <c r="M142" s="55">
        <f t="shared" si="75"/>
        <v>1.220481352453497E-3</v>
      </c>
      <c r="N142" s="55">
        <f t="shared" si="76"/>
        <v>4.1863783888682109E-2</v>
      </c>
      <c r="O142" s="56">
        <f t="shared" si="77"/>
        <v>320.17182229597086</v>
      </c>
      <c r="P142" s="56">
        <f t="shared" si="78"/>
        <v>13.403603975844055</v>
      </c>
      <c r="Q142" s="46">
        <v>317.79000000000002</v>
      </c>
      <c r="R142" s="46">
        <v>321.39</v>
      </c>
      <c r="S142" s="46">
        <v>28</v>
      </c>
      <c r="T142" s="47">
        <v>20201539.32</v>
      </c>
      <c r="U142" s="47">
        <v>20266373.350000001</v>
      </c>
    </row>
    <row r="143" spans="1:21" ht="14.25">
      <c r="A143" s="85">
        <v>121</v>
      </c>
      <c r="B143" s="62" t="s">
        <v>186</v>
      </c>
      <c r="C143" s="62" t="s">
        <v>48</v>
      </c>
      <c r="D143" s="70">
        <v>417764284.14999998</v>
      </c>
      <c r="E143" s="70">
        <v>47710709.259999998</v>
      </c>
      <c r="F143" s="70">
        <v>1657472</v>
      </c>
      <c r="G143" s="70">
        <v>83854930</v>
      </c>
      <c r="H143" s="47">
        <v>842794436</v>
      </c>
      <c r="I143" s="43">
        <f t="shared" si="72"/>
        <v>2.1221316457867227E-2</v>
      </c>
      <c r="J143" s="70">
        <v>841049557</v>
      </c>
      <c r="K143" s="43">
        <f t="shared" si="73"/>
        <v>2.0736207616707414E-2</v>
      </c>
      <c r="L143" s="43">
        <f t="shared" si="74"/>
        <v>-2.0703494535172749E-3</v>
      </c>
      <c r="M143" s="55">
        <f t="shared" si="75"/>
        <v>1.9707185934585781E-3</v>
      </c>
      <c r="N143" s="55">
        <f t="shared" si="76"/>
        <v>9.9702721798116345E-2</v>
      </c>
      <c r="O143" s="56">
        <f t="shared" si="77"/>
        <v>1.3589342906104218</v>
      </c>
      <c r="P143" s="56">
        <f t="shared" si="78"/>
        <v>0.1354894475186515</v>
      </c>
      <c r="Q143" s="46">
        <v>1.36</v>
      </c>
      <c r="R143" s="46">
        <v>1.35</v>
      </c>
      <c r="S143" s="46">
        <v>147</v>
      </c>
      <c r="T143" s="70">
        <v>616661846</v>
      </c>
      <c r="U143" s="70">
        <v>618903771</v>
      </c>
    </row>
    <row r="144" spans="1:21" ht="14.25">
      <c r="A144" s="85">
        <v>122</v>
      </c>
      <c r="B144" s="62" t="s">
        <v>187</v>
      </c>
      <c r="C144" s="62" t="s">
        <v>42</v>
      </c>
      <c r="D144" s="65">
        <v>279439964.88999999</v>
      </c>
      <c r="E144" s="65">
        <v>1233024.8</v>
      </c>
      <c r="F144" s="46">
        <v>488035.89</v>
      </c>
      <c r="G144" s="42">
        <v>744988.91</v>
      </c>
      <c r="H144" s="46">
        <v>259928081.91</v>
      </c>
      <c r="I144" s="43">
        <f t="shared" si="72"/>
        <v>6.5449127887912918E-3</v>
      </c>
      <c r="J144" s="46">
        <v>276920236.76999998</v>
      </c>
      <c r="K144" s="43">
        <f t="shared" si="73"/>
        <v>6.8275115005268288E-3</v>
      </c>
      <c r="L144" s="43">
        <f t="shared" si="74"/>
        <v>6.5372524334956286E-2</v>
      </c>
      <c r="M144" s="55">
        <f t="shared" si="75"/>
        <v>1.7623699000566186E-3</v>
      </c>
      <c r="N144" s="55">
        <f t="shared" si="76"/>
        <v>2.6902653222081459E-3</v>
      </c>
      <c r="O144" s="56">
        <f t="shared" si="77"/>
        <v>210.21198566351231</v>
      </c>
      <c r="P144" s="56">
        <f t="shared" si="78"/>
        <v>0.56552601534306313</v>
      </c>
      <c r="Q144" s="46">
        <v>199.7</v>
      </c>
      <c r="R144" s="46">
        <v>202.8</v>
      </c>
      <c r="S144" s="46">
        <v>736</v>
      </c>
      <c r="T144" s="46">
        <v>1317338</v>
      </c>
      <c r="U144" s="46">
        <v>1317338</v>
      </c>
    </row>
    <row r="145" spans="1:21" ht="14.25">
      <c r="A145" s="85">
        <v>123</v>
      </c>
      <c r="B145" s="62" t="s">
        <v>188</v>
      </c>
      <c r="C145" s="62" t="s">
        <v>95</v>
      </c>
      <c r="D145" s="46">
        <v>3241925239.5799999</v>
      </c>
      <c r="E145" s="47">
        <v>14349618.9</v>
      </c>
      <c r="F145" s="70">
        <v>26519124.309999999</v>
      </c>
      <c r="G145" s="46">
        <v>18710345.379999999</v>
      </c>
      <c r="H145" s="70">
        <v>3224842190.1700001</v>
      </c>
      <c r="I145" s="43">
        <f t="shared" si="72"/>
        <v>8.1200579549482482E-2</v>
      </c>
      <c r="J145" s="70">
        <v>3221030481.75</v>
      </c>
      <c r="K145" s="43">
        <f t="shared" si="73"/>
        <v>7.9415007419486816E-2</v>
      </c>
      <c r="L145" s="43">
        <f t="shared" si="74"/>
        <v>-1.1819829297752828E-3</v>
      </c>
      <c r="M145" s="55">
        <f t="shared" si="75"/>
        <v>8.2331180844932711E-3</v>
      </c>
      <c r="N145" s="55">
        <f t="shared" si="76"/>
        <v>5.808807301269185E-3</v>
      </c>
      <c r="O145" s="56">
        <f t="shared" si="77"/>
        <v>18.109836461625282</v>
      </c>
      <c r="P145" s="56">
        <f t="shared" si="78"/>
        <v>0.10519655026307982</v>
      </c>
      <c r="Q145" s="47">
        <v>18.1098</v>
      </c>
      <c r="R145" s="47">
        <v>18.3156</v>
      </c>
      <c r="S145" s="47">
        <v>6272</v>
      </c>
      <c r="T145" s="46">
        <v>178020866.49000001</v>
      </c>
      <c r="U145" s="46">
        <v>177860826.55000001</v>
      </c>
    </row>
    <row r="146" spans="1:21" ht="15.75" customHeight="1">
      <c r="A146" s="90" t="s">
        <v>49</v>
      </c>
      <c r="B146" s="90"/>
      <c r="C146" s="90"/>
      <c r="D146" s="90"/>
      <c r="E146" s="90"/>
      <c r="F146" s="90"/>
      <c r="G146" s="90"/>
      <c r="H146" s="59">
        <f>SUM(H122:H145)</f>
        <v>39714521842.849991</v>
      </c>
      <c r="I146" s="79">
        <f>(H146/$H$172)</f>
        <v>1.9693866639738235E-2</v>
      </c>
      <c r="J146" s="59">
        <f>SUM(J122:J145)</f>
        <v>40559468372.720001</v>
      </c>
      <c r="K146" s="79">
        <f>(J146/$J$172)</f>
        <v>1.9104640307082935E-2</v>
      </c>
      <c r="L146" s="43">
        <f t="shared" si="74"/>
        <v>2.1275505549669119E-2</v>
      </c>
      <c r="M146" s="55"/>
      <c r="N146" s="55"/>
      <c r="O146" s="56"/>
      <c r="P146" s="56"/>
      <c r="Q146" s="46"/>
      <c r="R146" s="46"/>
      <c r="S146" s="59">
        <f>SUM(S122:S145)</f>
        <v>67954</v>
      </c>
      <c r="T146" s="46"/>
      <c r="U146" s="62"/>
    </row>
    <row r="147" spans="1:21" ht="6" customHeight="1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</row>
    <row r="148" spans="1:21">
      <c r="A148" s="92" t="s">
        <v>189</v>
      </c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</row>
    <row r="149" spans="1:21" ht="14.25">
      <c r="A149" s="85">
        <v>124</v>
      </c>
      <c r="B149" s="46" t="s">
        <v>190</v>
      </c>
      <c r="C149" s="46" t="s">
        <v>24</v>
      </c>
      <c r="D149" s="70">
        <v>576198482.47000003</v>
      </c>
      <c r="E149" s="46">
        <v>4353372.8</v>
      </c>
      <c r="F149" s="46">
        <v>1603243.2</v>
      </c>
      <c r="G149" s="42">
        <v>6256452.7699999996</v>
      </c>
      <c r="H149" s="70">
        <v>718997235</v>
      </c>
      <c r="I149" s="43">
        <f>(H149/$H$152)</f>
        <v>0.18461874115367691</v>
      </c>
      <c r="J149" s="46">
        <v>744779336</v>
      </c>
      <c r="K149" s="43">
        <f>(J149/$J$152)</f>
        <v>0.21452143552777006</v>
      </c>
      <c r="L149" s="43">
        <f>((J149-H149)/H149)</f>
        <v>3.585841467109397E-2</v>
      </c>
      <c r="M149" s="55">
        <f>(F149/J149)</f>
        <v>2.1526418933835727E-3</v>
      </c>
      <c r="N149" s="55">
        <f>G149/J149</f>
        <v>8.4004113266644108E-3</v>
      </c>
      <c r="O149" s="56">
        <f>J149/U149</f>
        <v>53.940647129007623</v>
      </c>
      <c r="P149" s="56">
        <f>G149/U149</f>
        <v>0.45312362311012377</v>
      </c>
      <c r="Q149" s="46">
        <v>53.670900000000003</v>
      </c>
      <c r="R149" s="46">
        <v>55.289099999999998</v>
      </c>
      <c r="S149" s="46">
        <v>1413</v>
      </c>
      <c r="T149" s="46">
        <v>13459192</v>
      </c>
      <c r="U149" s="46">
        <v>13807386</v>
      </c>
    </row>
    <row r="150" spans="1:21" ht="14.25">
      <c r="A150" s="85">
        <v>125</v>
      </c>
      <c r="B150" s="46" t="s">
        <v>191</v>
      </c>
      <c r="C150" s="62" t="s">
        <v>44</v>
      </c>
      <c r="D150" s="70">
        <v>2724800070.3200002</v>
      </c>
      <c r="E150" s="70">
        <v>15031202.09</v>
      </c>
      <c r="F150" s="70">
        <v>7032567.8799999999</v>
      </c>
      <c r="G150" s="70">
        <v>89405071.870000005</v>
      </c>
      <c r="H150" s="70">
        <v>2393764334.73</v>
      </c>
      <c r="I150" s="43">
        <f t="shared" ref="I150:I151" si="79">(H150/$H$152)</f>
        <v>0.61465293130984222</v>
      </c>
      <c r="J150" s="70">
        <v>2727038453.0599999</v>
      </c>
      <c r="K150" s="43">
        <f t="shared" ref="K150:K151" si="80">(J150/$J$152)</f>
        <v>0.78547856447222997</v>
      </c>
      <c r="L150" s="43">
        <f t="shared" ref="L150:L152" si="81">((J150-H150)/H150)</f>
        <v>0.13922595198478088</v>
      </c>
      <c r="M150" s="55">
        <f t="shared" ref="M150:M151" si="82">(F150/J150)</f>
        <v>2.5788297455464119E-3</v>
      </c>
      <c r="N150" s="55">
        <f t="shared" ref="N150:N151" si="83">G150/J150</f>
        <v>3.2784675907183813E-2</v>
      </c>
      <c r="O150" s="56">
        <f t="shared" ref="O150:O151" si="84">J150/U150</f>
        <v>1.9980378242824646</v>
      </c>
      <c r="P150" s="56">
        <f t="shared" ref="P150:P151" si="85">G150/U150</f>
        <v>6.5505022519395287E-2</v>
      </c>
      <c r="Q150" s="46">
        <v>1.98</v>
      </c>
      <c r="R150" s="46">
        <v>2.0099999999999998</v>
      </c>
      <c r="S150" s="46">
        <v>9875</v>
      </c>
      <c r="T150" s="70">
        <v>1241285940.0599999</v>
      </c>
      <c r="U150" s="70">
        <v>1364858272.4100001</v>
      </c>
    </row>
    <row r="151" spans="1:21" ht="14.25">
      <c r="A151" s="85">
        <v>126</v>
      </c>
      <c r="B151" s="46" t="s">
        <v>192</v>
      </c>
      <c r="C151" s="62" t="s">
        <v>95</v>
      </c>
      <c r="D151" s="47" t="s">
        <v>213</v>
      </c>
      <c r="E151" s="47" t="s">
        <v>214</v>
      </c>
      <c r="F151" s="47" t="s">
        <v>215</v>
      </c>
      <c r="G151" s="46">
        <v>10281321.6</v>
      </c>
      <c r="H151" s="70">
        <v>781735979.69000006</v>
      </c>
      <c r="I151" s="43">
        <f t="shared" si="79"/>
        <v>0.20072832753648093</v>
      </c>
      <c r="J151" s="47" t="s">
        <v>216</v>
      </c>
      <c r="K151" s="43">
        <f t="shared" si="80"/>
        <v>0.19541080570466404</v>
      </c>
      <c r="L151" s="43">
        <f t="shared" si="81"/>
        <v>-0.1321485398573648</v>
      </c>
      <c r="M151" s="55">
        <f t="shared" si="82"/>
        <v>3.4430814314269836E-2</v>
      </c>
      <c r="N151" s="55">
        <f t="shared" si="83"/>
        <v>1.5154563947260759E-2</v>
      </c>
      <c r="O151" s="56">
        <f t="shared" si="84"/>
        <v>18.590073679460097</v>
      </c>
      <c r="P151" s="56">
        <f t="shared" si="85"/>
        <v>0.28172446035966719</v>
      </c>
      <c r="Q151" s="47" t="s">
        <v>217</v>
      </c>
      <c r="R151" s="47" t="s">
        <v>218</v>
      </c>
      <c r="S151" s="47" t="s">
        <v>219</v>
      </c>
      <c r="T151" s="47" t="s">
        <v>220</v>
      </c>
      <c r="U151" s="47" t="s">
        <v>221</v>
      </c>
    </row>
    <row r="152" spans="1:21" ht="15.75" customHeight="1">
      <c r="A152" s="90" t="s">
        <v>49</v>
      </c>
      <c r="B152" s="90"/>
      <c r="C152" s="90"/>
      <c r="D152" s="90"/>
      <c r="E152" s="90"/>
      <c r="F152" s="90"/>
      <c r="G152" s="90"/>
      <c r="H152" s="59">
        <f t="shared" ref="H152" si="86">SUM(H149:H151)</f>
        <v>3894497549.4200001</v>
      </c>
      <c r="I152" s="79">
        <f>(H152/$H$172)</f>
        <v>1.9312259548423375E-3</v>
      </c>
      <c r="J152" s="59">
        <f>SUM(J149:J151)</f>
        <v>3471817789.0599999</v>
      </c>
      <c r="K152" s="79">
        <f>(J152/$J$172)</f>
        <v>1.6353229648427752E-3</v>
      </c>
      <c r="L152" s="43">
        <f t="shared" si="81"/>
        <v>-0.10853255265828811</v>
      </c>
      <c r="M152" s="55"/>
      <c r="N152" s="73"/>
      <c r="O152" s="56"/>
      <c r="P152" s="56"/>
      <c r="Q152" s="46"/>
      <c r="R152" s="46"/>
      <c r="S152" s="59">
        <f>SUM(S149:S151)</f>
        <v>11288</v>
      </c>
      <c r="T152" s="46"/>
      <c r="U152" s="62"/>
    </row>
    <row r="153" spans="1:21" ht="8.25" customHeight="1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</row>
    <row r="154" spans="1:21">
      <c r="A154" s="92" t="s">
        <v>193</v>
      </c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</row>
    <row r="155" spans="1:21" ht="13.5" customHeight="1">
      <c r="A155" s="97" t="s">
        <v>194</v>
      </c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</row>
    <row r="156" spans="1:21" ht="15" customHeight="1">
      <c r="A156" s="40">
        <v>127</v>
      </c>
      <c r="B156" s="49" t="s">
        <v>195</v>
      </c>
      <c r="C156" s="41" t="s">
        <v>120</v>
      </c>
      <c r="D156" s="87">
        <v>3710761186.7199998</v>
      </c>
      <c r="E156" s="38">
        <v>31979350.52</v>
      </c>
      <c r="F156" s="51">
        <v>6975599.5700000003</v>
      </c>
      <c r="G156" s="42">
        <v>48260469.82</v>
      </c>
      <c r="H156" s="38">
        <v>3718546005.1700001</v>
      </c>
      <c r="I156" s="43">
        <f>(H156/$H$169)</f>
        <v>0.44633726540392465</v>
      </c>
      <c r="J156" s="38">
        <v>3718546005.1700001</v>
      </c>
      <c r="K156" s="43">
        <f>(J156/$J$169)</f>
        <v>0.44388276032665974</v>
      </c>
      <c r="L156" s="43">
        <f>((J156-H156)/H156)</f>
        <v>0</v>
      </c>
      <c r="M156" s="44">
        <f>(F156/J156)</f>
        <v>1.8758943846066787E-3</v>
      </c>
      <c r="N156" s="44">
        <f>G156/J156</f>
        <v>1.2978317265109023E-2</v>
      </c>
      <c r="O156" s="45">
        <f>J156/U156</f>
        <v>1.8362686884415111</v>
      </c>
      <c r="P156" s="45">
        <f>G156/U156</f>
        <v>2.3831677622579567E-2</v>
      </c>
      <c r="Q156" s="65">
        <v>1.82</v>
      </c>
      <c r="R156" s="65">
        <v>1.85</v>
      </c>
      <c r="S156" s="65">
        <v>14846</v>
      </c>
      <c r="T156" s="70">
        <v>2023352085.52</v>
      </c>
      <c r="U156" s="46">
        <v>2025055499</v>
      </c>
    </row>
    <row r="157" spans="1:21" ht="14.25">
      <c r="A157" s="40">
        <v>128</v>
      </c>
      <c r="B157" s="41" t="s">
        <v>196</v>
      </c>
      <c r="C157" s="41" t="s">
        <v>44</v>
      </c>
      <c r="D157" s="70">
        <v>530012417.42000002</v>
      </c>
      <c r="E157" s="70">
        <v>2808001.85</v>
      </c>
      <c r="F157" s="70">
        <v>1000325.28</v>
      </c>
      <c r="G157" s="70">
        <v>792176.87</v>
      </c>
      <c r="H157" s="70">
        <v>522793401.75999999</v>
      </c>
      <c r="I157" s="43">
        <f>(H157/$H$171)</f>
        <v>1.1293135745364649E-2</v>
      </c>
      <c r="J157" s="70">
        <v>539812646.12</v>
      </c>
      <c r="K157" s="43">
        <f>(J157/$J$171)</f>
        <v>1.1634490421951141E-2</v>
      </c>
      <c r="L157" s="43">
        <f>((J157-H157)/H157)</f>
        <v>3.2554436040516589E-2</v>
      </c>
      <c r="M157" s="55">
        <f>(F157/J157)</f>
        <v>1.8530971573008099E-3</v>
      </c>
      <c r="N157" s="55">
        <f>G157/J157</f>
        <v>1.4675033563846882E-3</v>
      </c>
      <c r="O157" s="56">
        <f>J157/U157</f>
        <v>369.379212231407</v>
      </c>
      <c r="P157" s="56">
        <f>G157/U157</f>
        <v>0.54206523372832194</v>
      </c>
      <c r="Q157" s="46">
        <v>366.82</v>
      </c>
      <c r="R157" s="46">
        <v>371.13</v>
      </c>
      <c r="S157" s="46">
        <v>690</v>
      </c>
      <c r="T157" s="70">
        <v>1418002.7</v>
      </c>
      <c r="U157" s="70">
        <v>1461405.05</v>
      </c>
    </row>
    <row r="158" spans="1:21" ht="7.5" customHeight="1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</row>
    <row r="159" spans="1:21" ht="13.5">
      <c r="A159" s="97" t="s">
        <v>149</v>
      </c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</row>
    <row r="160" spans="1:21" ht="14.25">
      <c r="A160" s="85">
        <v>129</v>
      </c>
      <c r="B160" s="46" t="s">
        <v>197</v>
      </c>
      <c r="C160" s="62" t="s">
        <v>198</v>
      </c>
      <c r="D160" s="70">
        <v>337934922.78895098</v>
      </c>
      <c r="E160" s="70">
        <v>4207642.6832049498</v>
      </c>
      <c r="F160" s="70">
        <v>3036057</v>
      </c>
      <c r="G160" s="70">
        <v>1171585</v>
      </c>
      <c r="H160" s="46">
        <v>418104157.76972002</v>
      </c>
      <c r="I160" s="43">
        <f>(H160/$H$171)</f>
        <v>9.0316882223437298E-3</v>
      </c>
      <c r="J160" s="70">
        <v>405998710.66839701</v>
      </c>
      <c r="K160" s="43">
        <f>(J160/$J$171)</f>
        <v>8.7504213629443703E-3</v>
      </c>
      <c r="L160" s="43">
        <f t="shared" ref="L160:L172" si="87">((J160-H160)/H160)</f>
        <v>-2.8953185172557763E-2</v>
      </c>
      <c r="M160" s="55">
        <f t="shared" ref="M160" si="88">(F160/J160)</f>
        <v>7.4779966542300822E-3</v>
      </c>
      <c r="N160" s="55">
        <f t="shared" ref="N160" si="89">G160/J160</f>
        <v>2.8856865039576501E-3</v>
      </c>
      <c r="O160" s="56">
        <f t="shared" ref="O160" si="90">J160/U160</f>
        <v>1027.8968825469569</v>
      </c>
      <c r="P160" s="56">
        <f t="shared" ref="P160" si="91">G160/U160</f>
        <v>2.9661881614258951</v>
      </c>
      <c r="Q160" s="70">
        <v>1027.8968825469599</v>
      </c>
      <c r="R160" s="70">
        <v>1027.8968825469599</v>
      </c>
      <c r="S160" s="46">
        <v>21</v>
      </c>
      <c r="T160" s="70">
        <v>408009</v>
      </c>
      <c r="U160" s="70">
        <v>394980</v>
      </c>
    </row>
    <row r="161" spans="1:21" ht="15" customHeight="1">
      <c r="A161" s="85">
        <v>130</v>
      </c>
      <c r="B161" s="46" t="s">
        <v>199</v>
      </c>
      <c r="C161" s="62" t="s">
        <v>60</v>
      </c>
      <c r="D161" s="46">
        <v>51293178.729999997</v>
      </c>
      <c r="E161" s="46">
        <v>376810.75</v>
      </c>
      <c r="F161" s="46">
        <v>104026.24000000001</v>
      </c>
      <c r="G161" s="42">
        <v>272784.51</v>
      </c>
      <c r="H161" s="46">
        <v>50233970.530000001</v>
      </c>
      <c r="I161" s="43">
        <f t="shared" ref="I161:I170" si="92">(H161/$H$171)</f>
        <v>1.0851304670527742E-3</v>
      </c>
      <c r="J161" s="46">
        <v>50233970.530000001</v>
      </c>
      <c r="K161" s="43">
        <f t="shared" ref="K161:K170" si="93">(J161/$J$171)</f>
        <v>1.0826842483011019E-3</v>
      </c>
      <c r="L161" s="43">
        <f t="shared" si="87"/>
        <v>0</v>
      </c>
      <c r="M161" s="55">
        <f t="shared" ref="M161:M170" si="94">(F161/J161)</f>
        <v>2.0708345150195718E-3</v>
      </c>
      <c r="N161" s="55">
        <f t="shared" ref="N161:N170" si="95">G161/J161</f>
        <v>5.4302796916499288E-3</v>
      </c>
      <c r="O161" s="56">
        <f t="shared" ref="O161:O170" si="96">J161/U161</f>
        <v>102.31117926564995</v>
      </c>
      <c r="P161" s="56">
        <f t="shared" ref="P161:P170" si="97">G161/U161</f>
        <v>0.5555783189950142</v>
      </c>
      <c r="Q161" s="46">
        <v>108.61</v>
      </c>
      <c r="R161" s="46">
        <v>108.61</v>
      </c>
      <c r="S161" s="46">
        <v>60</v>
      </c>
      <c r="T161" s="46">
        <v>465989</v>
      </c>
      <c r="U161" s="46">
        <v>490992</v>
      </c>
    </row>
    <row r="162" spans="1:21" ht="15" customHeight="1">
      <c r="A162" s="85">
        <v>131</v>
      </c>
      <c r="B162" s="46" t="s">
        <v>200</v>
      </c>
      <c r="C162" s="62" t="s">
        <v>173</v>
      </c>
      <c r="D162" s="46">
        <v>55840539.600000001</v>
      </c>
      <c r="E162" s="46">
        <v>598433.32999999996</v>
      </c>
      <c r="F162" s="46">
        <v>321819.87</v>
      </c>
      <c r="G162" s="42">
        <v>276613.34999999998</v>
      </c>
      <c r="H162" s="46">
        <v>53992905.960000001</v>
      </c>
      <c r="I162" s="43">
        <f t="shared" si="92"/>
        <v>1.1663292119606877E-3</v>
      </c>
      <c r="J162" s="46">
        <v>54281604.229999997</v>
      </c>
      <c r="K162" s="43">
        <f t="shared" si="93"/>
        <v>1.1699222110511411E-3</v>
      </c>
      <c r="L162" s="43">
        <f t="shared" si="87"/>
        <v>5.3469666962151375E-3</v>
      </c>
      <c r="M162" s="55">
        <f t="shared" si="94"/>
        <v>5.9287096349694606E-3</v>
      </c>
      <c r="N162" s="55">
        <f t="shared" si="95"/>
        <v>5.0958948970620723E-3</v>
      </c>
      <c r="O162" s="56">
        <f t="shared" si="96"/>
        <v>110.66901854487182</v>
      </c>
      <c r="P162" s="56">
        <f t="shared" si="97"/>
        <v>0.56395768686568015</v>
      </c>
      <c r="Q162" s="46">
        <v>103.72</v>
      </c>
      <c r="R162" s="46">
        <v>110.67</v>
      </c>
      <c r="S162" s="46">
        <v>12</v>
      </c>
      <c r="T162" s="46">
        <v>491721</v>
      </c>
      <c r="U162" s="46">
        <v>490486</v>
      </c>
    </row>
    <row r="163" spans="1:21" ht="15" customHeight="1">
      <c r="A163" s="85">
        <v>132</v>
      </c>
      <c r="B163" s="62" t="s">
        <v>201</v>
      </c>
      <c r="C163" s="62" t="s">
        <v>73</v>
      </c>
      <c r="D163" s="70">
        <v>8402239731.0799999</v>
      </c>
      <c r="E163" s="70">
        <v>99810461.519999996</v>
      </c>
      <c r="F163" s="70">
        <v>13677601.07</v>
      </c>
      <c r="G163" s="70">
        <v>86132860.450000003</v>
      </c>
      <c r="H163" s="47">
        <v>8672403171.3400002</v>
      </c>
      <c r="I163" s="43">
        <f t="shared" si="92"/>
        <v>0.18733715062730347</v>
      </c>
      <c r="J163" s="70">
        <v>8402239731.0799999</v>
      </c>
      <c r="K163" s="43">
        <f t="shared" si="93"/>
        <v>0.18109204809636223</v>
      </c>
      <c r="L163" s="43">
        <f t="shared" si="87"/>
        <v>-3.1152084943746501E-2</v>
      </c>
      <c r="M163" s="55">
        <f t="shared" si="94"/>
        <v>1.6278517999678546E-3</v>
      </c>
      <c r="N163" s="55">
        <f t="shared" si="95"/>
        <v>1.025117863888046E-2</v>
      </c>
      <c r="O163" s="56">
        <f t="shared" si="96"/>
        <v>132.27293726162338</v>
      </c>
      <c r="P163" s="56">
        <f t="shared" si="97"/>
        <v>1.355953508958329</v>
      </c>
      <c r="Q163" s="70">
        <v>132.27000000000001</v>
      </c>
      <c r="R163" s="70">
        <v>132.27000000000001</v>
      </c>
      <c r="S163" s="46">
        <v>613</v>
      </c>
      <c r="T163" s="70">
        <v>66255093.780000001</v>
      </c>
      <c r="U163" s="70">
        <v>63521986.469999999</v>
      </c>
    </row>
    <row r="164" spans="1:21" ht="15" customHeight="1">
      <c r="A164" s="85">
        <v>133</v>
      </c>
      <c r="B164" s="62" t="s">
        <v>223</v>
      </c>
      <c r="C164" s="46" t="s">
        <v>58</v>
      </c>
      <c r="D164" s="70">
        <v>204131147.53999999</v>
      </c>
      <c r="E164" s="70">
        <v>4201147.54</v>
      </c>
      <c r="F164" s="70">
        <v>330596.67</v>
      </c>
      <c r="G164" s="70">
        <v>3870550.87</v>
      </c>
      <c r="H164" s="46">
        <v>0</v>
      </c>
      <c r="I164" s="43">
        <f t="shared" si="92"/>
        <v>0</v>
      </c>
      <c r="J164" s="70">
        <v>203870550.87</v>
      </c>
      <c r="K164" s="43">
        <f t="shared" si="93"/>
        <v>4.393987411120486E-3</v>
      </c>
      <c r="L164" s="43" t="e">
        <f t="shared" si="87"/>
        <v>#DIV/0!</v>
      </c>
      <c r="M164" s="55">
        <f t="shared" si="94"/>
        <v>1.6216009060122081E-3</v>
      </c>
      <c r="N164" s="55">
        <f t="shared" si="95"/>
        <v>1.898533580982029E-2</v>
      </c>
      <c r="O164" s="56">
        <f t="shared" si="96"/>
        <v>1018.9996200316781</v>
      </c>
      <c r="P164" s="56">
        <f t="shared" si="97"/>
        <v>19.346049976380687</v>
      </c>
      <c r="Q164" s="70">
        <v>1019</v>
      </c>
      <c r="R164" s="70">
        <v>1019</v>
      </c>
      <c r="S164" s="46">
        <v>6</v>
      </c>
      <c r="T164" s="70">
        <v>200069.31</v>
      </c>
      <c r="U164" s="70">
        <v>200069.31</v>
      </c>
    </row>
    <row r="165" spans="1:21" ht="15" customHeight="1">
      <c r="A165" s="85">
        <v>134</v>
      </c>
      <c r="B165" s="46" t="s">
        <v>119</v>
      </c>
      <c r="C165" s="62" t="s">
        <v>120</v>
      </c>
      <c r="D165" s="46">
        <v>17920708311.439999</v>
      </c>
      <c r="E165" s="46">
        <v>212682022.69999999</v>
      </c>
      <c r="F165" s="46">
        <v>28205046.350000001</v>
      </c>
      <c r="G165" s="42">
        <v>184476976.34999999</v>
      </c>
      <c r="H165" s="46">
        <v>18290519655.119999</v>
      </c>
      <c r="I165" s="43">
        <f t="shared" si="92"/>
        <v>0.39510315283848041</v>
      </c>
      <c r="J165" s="46">
        <v>17986456218.810001</v>
      </c>
      <c r="K165" s="43">
        <f t="shared" si="93"/>
        <v>0.38765904079258906</v>
      </c>
      <c r="L165" s="43">
        <f t="shared" si="87"/>
        <v>-1.662410046534037E-2</v>
      </c>
      <c r="M165" s="55">
        <f t="shared" si="94"/>
        <v>1.5681269287778619E-3</v>
      </c>
      <c r="N165" s="55">
        <f t="shared" si="95"/>
        <v>1.0256438183585957E-2</v>
      </c>
      <c r="O165" s="56">
        <f t="shared" si="96"/>
        <v>1203.8407450846826</v>
      </c>
      <c r="P165" s="56">
        <f t="shared" si="97"/>
        <v>12.347118184843106</v>
      </c>
      <c r="Q165" s="42">
        <v>1203.8399999999999</v>
      </c>
      <c r="R165" s="42">
        <v>1203.8399999999999</v>
      </c>
      <c r="S165" s="46">
        <v>7152</v>
      </c>
      <c r="T165" s="46">
        <v>15224551.039999999</v>
      </c>
      <c r="U165" s="46">
        <v>14940893.380000001</v>
      </c>
    </row>
    <row r="166" spans="1:21" ht="15" customHeight="1">
      <c r="A166" s="85">
        <v>135</v>
      </c>
      <c r="B166" s="62" t="s">
        <v>232</v>
      </c>
      <c r="C166" s="62" t="s">
        <v>233</v>
      </c>
      <c r="D166" s="46">
        <v>160734052.38</v>
      </c>
      <c r="E166" s="46">
        <v>2822947.78</v>
      </c>
      <c r="F166" s="46">
        <v>1900598.33</v>
      </c>
      <c r="G166" s="42">
        <v>922349.45</v>
      </c>
      <c r="H166" s="46">
        <v>329667429.38999999</v>
      </c>
      <c r="I166" s="43">
        <f t="shared" si="92"/>
        <v>7.1213198529154398E-3</v>
      </c>
      <c r="J166" s="46">
        <v>332027482.63</v>
      </c>
      <c r="K166" s="43">
        <f t="shared" si="93"/>
        <v>7.156132028860525E-3</v>
      </c>
      <c r="L166" s="43">
        <f t="shared" si="87"/>
        <v>7.158891141799884E-3</v>
      </c>
      <c r="M166" s="55">
        <f t="shared" si="94"/>
        <v>5.7242199198250148E-3</v>
      </c>
      <c r="N166" s="55">
        <f t="shared" si="95"/>
        <v>2.7779310396056417E-3</v>
      </c>
      <c r="O166" s="56">
        <f t="shared" si="96"/>
        <v>98.900104316973881</v>
      </c>
      <c r="P166" s="56">
        <f t="shared" si="97"/>
        <v>0.27473766960235768</v>
      </c>
      <c r="Q166" s="42">
        <v>98.87</v>
      </c>
      <c r="R166" s="42">
        <v>98.87</v>
      </c>
      <c r="S166" s="46">
        <v>119</v>
      </c>
      <c r="T166" s="46">
        <v>3194736.24</v>
      </c>
      <c r="U166" s="46">
        <v>3357200.53</v>
      </c>
    </row>
    <row r="167" spans="1:21" ht="15" customHeight="1">
      <c r="A167" s="85">
        <v>136</v>
      </c>
      <c r="B167" s="62" t="s">
        <v>235</v>
      </c>
      <c r="C167" s="62" t="s">
        <v>233</v>
      </c>
      <c r="D167" s="46">
        <v>10044145.6</v>
      </c>
      <c r="E167" s="46">
        <v>44619.46</v>
      </c>
      <c r="F167" s="46">
        <v>21723.64</v>
      </c>
      <c r="G167" s="42">
        <v>22895.82</v>
      </c>
      <c r="H167" s="46">
        <v>0</v>
      </c>
      <c r="I167" s="43">
        <f t="shared" si="92"/>
        <v>0</v>
      </c>
      <c r="J167" s="46">
        <v>42362895.829999998</v>
      </c>
      <c r="K167" s="43">
        <f t="shared" si="93"/>
        <v>9.130403100461713E-4</v>
      </c>
      <c r="L167" s="43" t="e">
        <f t="shared" si="87"/>
        <v>#DIV/0!</v>
      </c>
      <c r="M167" s="55">
        <f t="shared" si="94"/>
        <v>5.1279874933894481E-4</v>
      </c>
      <c r="N167" s="55">
        <f t="shared" si="95"/>
        <v>5.4046871799981954E-4</v>
      </c>
      <c r="O167" s="56">
        <f t="shared" si="96"/>
        <v>100.05468817109676</v>
      </c>
      <c r="P167" s="56">
        <f t="shared" si="97"/>
        <v>5.4076429045704366E-2</v>
      </c>
      <c r="Q167" s="42">
        <v>100.11</v>
      </c>
      <c r="R167" s="42">
        <v>100.11</v>
      </c>
      <c r="S167" s="46">
        <v>36</v>
      </c>
      <c r="T167" s="46">
        <v>419400</v>
      </c>
      <c r="U167" s="46">
        <v>423397.41</v>
      </c>
    </row>
    <row r="168" spans="1:21" ht="15" customHeight="1">
      <c r="A168" s="85">
        <v>137</v>
      </c>
      <c r="B168" s="62" t="s">
        <v>202</v>
      </c>
      <c r="C168" s="62" t="s">
        <v>147</v>
      </c>
      <c r="D168" s="70">
        <v>568188112.44000006</v>
      </c>
      <c r="E168" s="70">
        <v>8270271.04</v>
      </c>
      <c r="F168" s="70">
        <v>1152121.46</v>
      </c>
      <c r="G168" s="70">
        <v>7118149.5800000001</v>
      </c>
      <c r="H168" s="46">
        <v>727170082.15999997</v>
      </c>
      <c r="I168" s="43">
        <f t="shared" si="92"/>
        <v>1.5707984110271463E-2</v>
      </c>
      <c r="J168" s="70">
        <v>777938944.82000005</v>
      </c>
      <c r="K168" s="43">
        <f t="shared" si="93"/>
        <v>1.6766786157060599E-2</v>
      </c>
      <c r="L168" s="43">
        <f t="shared" si="87"/>
        <v>6.9817039927158833E-2</v>
      </c>
      <c r="M168" s="55">
        <f t="shared" si="94"/>
        <v>1.480992136557167E-3</v>
      </c>
      <c r="N168" s="55">
        <f t="shared" si="95"/>
        <v>9.1500105855312347E-3</v>
      </c>
      <c r="O168" s="56">
        <f t="shared" si="96"/>
        <v>103.61126169930212</v>
      </c>
      <c r="P168" s="56">
        <f t="shared" si="97"/>
        <v>0.9480441413288615</v>
      </c>
      <c r="Q168" s="46">
        <v>103.61</v>
      </c>
      <c r="R168" s="46">
        <v>103.61</v>
      </c>
      <c r="S168" s="70">
        <v>511</v>
      </c>
      <c r="T168" s="70">
        <v>7082635</v>
      </c>
      <c r="U168" s="70">
        <v>7508247</v>
      </c>
    </row>
    <row r="169" spans="1:21" ht="16.5" customHeight="1">
      <c r="A169" s="85">
        <v>138</v>
      </c>
      <c r="B169" s="46" t="s">
        <v>203</v>
      </c>
      <c r="C169" s="46" t="s">
        <v>44</v>
      </c>
      <c r="D169" s="70">
        <v>8290184199.6599998</v>
      </c>
      <c r="E169" s="70">
        <v>58641660.640000001</v>
      </c>
      <c r="F169" s="70">
        <v>13064542.32</v>
      </c>
      <c r="G169" s="70">
        <v>45577118.32</v>
      </c>
      <c r="H169" s="70">
        <v>8331247004</v>
      </c>
      <c r="I169" s="43">
        <f t="shared" si="92"/>
        <v>0.17996765649220411</v>
      </c>
      <c r="J169" s="70">
        <v>8377315673.25</v>
      </c>
      <c r="K169" s="43">
        <f t="shared" si="93"/>
        <v>0.18055486410450214</v>
      </c>
      <c r="L169" s="43">
        <f t="shared" si="87"/>
        <v>5.5296247041867206E-3</v>
      </c>
      <c r="M169" s="55">
        <f t="shared" si="94"/>
        <v>1.5595141486331957E-3</v>
      </c>
      <c r="N169" s="55">
        <f t="shared" si="95"/>
        <v>5.4405396785433833E-3</v>
      </c>
      <c r="O169" s="56">
        <f t="shared" si="96"/>
        <v>127.52710690542145</v>
      </c>
      <c r="P169" s="56">
        <f t="shared" si="97"/>
        <v>0.69381628520878924</v>
      </c>
      <c r="Q169" s="70">
        <v>127.53</v>
      </c>
      <c r="R169" s="70">
        <v>127.53</v>
      </c>
      <c r="S169" s="46">
        <v>1095</v>
      </c>
      <c r="T169" s="70">
        <v>67462506.319999993</v>
      </c>
      <c r="U169" s="70">
        <v>65690470.649999999</v>
      </c>
    </row>
    <row r="170" spans="1:21" ht="15" customHeight="1">
      <c r="A170" s="85">
        <v>139</v>
      </c>
      <c r="B170" s="62" t="s">
        <v>204</v>
      </c>
      <c r="C170" s="62" t="s">
        <v>48</v>
      </c>
      <c r="D170" s="70">
        <v>3502622703</v>
      </c>
      <c r="E170" s="70">
        <v>50467426</v>
      </c>
      <c r="F170" s="70">
        <v>8405749</v>
      </c>
      <c r="G170" s="70">
        <v>42061677</v>
      </c>
      <c r="H170" s="70">
        <v>5178346010</v>
      </c>
      <c r="I170" s="43">
        <f t="shared" si="92"/>
        <v>0.11186018077221994</v>
      </c>
      <c r="J170" s="70">
        <v>5506533901</v>
      </c>
      <c r="K170" s="43">
        <f t="shared" si="93"/>
        <v>0.11868139138609952</v>
      </c>
      <c r="L170" s="43">
        <f t="shared" si="87"/>
        <v>6.3376972177260904E-2</v>
      </c>
      <c r="M170" s="55">
        <f t="shared" si="94"/>
        <v>1.5265045400834625E-3</v>
      </c>
      <c r="N170" s="55">
        <f t="shared" si="95"/>
        <v>7.638503232017058E-3</v>
      </c>
      <c r="O170" s="56">
        <f t="shared" si="96"/>
        <v>1.2342242650382471</v>
      </c>
      <c r="P170" s="56">
        <f t="shared" si="97"/>
        <v>9.4276260375285286E-3</v>
      </c>
      <c r="Q170" s="42">
        <v>1.23</v>
      </c>
      <c r="R170" s="42">
        <v>1.23</v>
      </c>
      <c r="S170" s="46">
        <v>200</v>
      </c>
      <c r="T170" s="70">
        <v>4483335295</v>
      </c>
      <c r="U170" s="70">
        <v>4461534307</v>
      </c>
    </row>
    <row r="171" spans="1:21" ht="15" customHeight="1">
      <c r="A171" s="90" t="s">
        <v>49</v>
      </c>
      <c r="B171" s="90"/>
      <c r="C171" s="90"/>
      <c r="D171" s="90"/>
      <c r="E171" s="90"/>
      <c r="F171" s="90"/>
      <c r="G171" s="90"/>
      <c r="H171" s="59">
        <f>SUM(H156:H170)</f>
        <v>46293023793.199722</v>
      </c>
      <c r="I171" s="114">
        <f>(H171/$H$172)</f>
        <v>2.2956052210348854E-2</v>
      </c>
      <c r="J171" s="59">
        <f>SUM(J156:J170)</f>
        <v>46397618335.008408</v>
      </c>
      <c r="K171" s="114">
        <f>(J171/$J$172)</f>
        <v>2.185457169334706E-2</v>
      </c>
      <c r="L171" s="43">
        <f t="shared" si="87"/>
        <v>2.2594018112951581E-3</v>
      </c>
      <c r="M171" s="55"/>
      <c r="N171" s="55"/>
      <c r="O171" s="56"/>
      <c r="P171" s="56"/>
      <c r="Q171" s="46"/>
      <c r="R171" s="46"/>
      <c r="S171" s="59">
        <f>SUM(S156:S170)</f>
        <v>25361</v>
      </c>
      <c r="T171" s="46"/>
      <c r="U171" s="46"/>
    </row>
    <row r="172" spans="1:21" ht="15.75" customHeight="1">
      <c r="A172" s="96" t="s">
        <v>205</v>
      </c>
      <c r="B172" s="96"/>
      <c r="C172" s="96"/>
      <c r="D172" s="96"/>
      <c r="E172" s="96"/>
      <c r="F172" s="96"/>
      <c r="G172" s="96"/>
      <c r="H172" s="54">
        <f>SUM(H21,H53,H86,H111,H119,H146,H152,H171)</f>
        <v>2016593418110.9021</v>
      </c>
      <c r="I172" s="53"/>
      <c r="J172" s="54">
        <f>SUM(J21,J53,J86,J111,J119,J146,J152,J171)</f>
        <v>2123016592868.4253</v>
      </c>
      <c r="K172" s="66"/>
      <c r="L172" s="84">
        <f t="shared" si="87"/>
        <v>5.277373902034152E-2</v>
      </c>
      <c r="M172" s="74"/>
      <c r="N172" s="74"/>
      <c r="O172" s="75"/>
      <c r="P172" s="75"/>
      <c r="Q172" s="76"/>
      <c r="R172" s="76"/>
      <c r="S172" s="67">
        <f>SUM(S21,S53,S86,S111,S119,S146,S152,S171)</f>
        <v>680269</v>
      </c>
      <c r="T172" s="76"/>
      <c r="U172" s="76"/>
    </row>
    <row r="173" spans="1:21" ht="5.25" customHeight="1">
      <c r="A173" s="19"/>
      <c r="B173" s="19"/>
      <c r="C173" s="19"/>
      <c r="D173" s="20"/>
      <c r="E173" s="20"/>
      <c r="F173" s="20"/>
      <c r="G173" s="21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</row>
    <row r="174" spans="1:21">
      <c r="A174" s="22" t="s">
        <v>206</v>
      </c>
      <c r="B174" s="23" t="s">
        <v>249</v>
      </c>
      <c r="C174" s="24"/>
      <c r="D174" s="20"/>
      <c r="E174" s="20"/>
      <c r="F174" s="20"/>
      <c r="G174" s="21"/>
      <c r="H174" s="25"/>
      <c r="I174" s="20"/>
      <c r="J174" s="25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6"/>
    </row>
  </sheetData>
  <sheetProtection algorithmName="SHA-512" hashValue="dPStNSUmJFWbysIkas7RoaeYKPN1uGmMNdJhFdkg83ahTfprALyHrUTMXYjuZvK+iRYlHwUAwGEDDDkYgja6Tw==" saltValue="zwN97S/tbqfuRje99VYF3w==" spinCount="100000" sheet="1" objects="1" scenarios="1"/>
  <mergeCells count="32">
    <mergeCell ref="A171:G171"/>
    <mergeCell ref="A172:G172"/>
    <mergeCell ref="A153:U153"/>
    <mergeCell ref="A154:U154"/>
    <mergeCell ref="A155:U155"/>
    <mergeCell ref="A158:U158"/>
    <mergeCell ref="A159:U159"/>
    <mergeCell ref="A121:U121"/>
    <mergeCell ref="A146:G146"/>
    <mergeCell ref="A147:U147"/>
    <mergeCell ref="A148:U148"/>
    <mergeCell ref="A152:G152"/>
    <mergeCell ref="A111:G111"/>
    <mergeCell ref="A112:U112"/>
    <mergeCell ref="A113:U113"/>
    <mergeCell ref="A119:G119"/>
    <mergeCell ref="A120:U120"/>
    <mergeCell ref="A87:U87"/>
    <mergeCell ref="A88:U88"/>
    <mergeCell ref="A89:U89"/>
    <mergeCell ref="A100:U100"/>
    <mergeCell ref="A101:U101"/>
    <mergeCell ref="A23:U23"/>
    <mergeCell ref="A53:G53"/>
    <mergeCell ref="A54:U54"/>
    <mergeCell ref="A55:U55"/>
    <mergeCell ref="A86:G86"/>
    <mergeCell ref="A1:U1"/>
    <mergeCell ref="A3:U3"/>
    <mergeCell ref="A4:U4"/>
    <mergeCell ref="A21:G21"/>
    <mergeCell ref="A22:U22"/>
  </mergeCells>
  <pageMargins left="0.7" right="0.7" top="0.75" bottom="0.75" header="0.3" footer="0.3"/>
  <pageSetup orientation="portrait" r:id="rId1"/>
  <ignoredErrors>
    <ignoredError sqref="I171 I152 I146 I119 I111 I86 I53 I21" formula="1"/>
    <ignoredError sqref="L164 L167" evalError="1"/>
    <ignoredError sqref="A114 D114:G114 F117 J114 Q114:R114 Q151:U151 D151:F151 J151 H65" numberStoredAsText="1"/>
    <ignoredError sqref="H119 S1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I5" sqref="I5"/>
    </sheetView>
  </sheetViews>
  <sheetFormatPr defaultColWidth="9"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1"/>
      <c r="B1" s="1"/>
      <c r="C1" s="1"/>
      <c r="D1" s="1"/>
    </row>
    <row r="2" spans="1:4">
      <c r="A2" s="17"/>
      <c r="B2" s="17"/>
      <c r="C2" s="17"/>
      <c r="D2" s="17"/>
    </row>
    <row r="3" spans="1:4">
      <c r="A3" s="17"/>
      <c r="B3" s="17"/>
      <c r="C3" s="17"/>
      <c r="D3" s="17"/>
    </row>
    <row r="4" spans="1:4" ht="33" customHeight="1">
      <c r="A4" s="10" t="s">
        <v>207</v>
      </c>
      <c r="B4" s="99" t="s">
        <v>250</v>
      </c>
      <c r="C4" s="99" t="s">
        <v>251</v>
      </c>
      <c r="D4" s="1"/>
    </row>
    <row r="5" spans="1:4" ht="19.5" customHeight="1">
      <c r="A5" s="100" t="s">
        <v>18</v>
      </c>
      <c r="B5" s="101">
        <v>22.54790675089</v>
      </c>
      <c r="C5" s="102">
        <f>'November 2023'!J21/1000000000</f>
        <v>23.04667578047</v>
      </c>
      <c r="D5" s="1"/>
    </row>
    <row r="6" spans="1:4" ht="15.75">
      <c r="A6" s="10" t="s">
        <v>50</v>
      </c>
      <c r="B6" s="101">
        <v>864.77026955073995</v>
      </c>
      <c r="C6" s="102">
        <f>'November 2023'!J53/1000000000</f>
        <v>865.75717689171017</v>
      </c>
      <c r="D6" s="1"/>
    </row>
    <row r="7" spans="1:4" ht="15.75">
      <c r="A7" s="10" t="s">
        <v>208</v>
      </c>
      <c r="B7" s="101">
        <v>297.86882694543999</v>
      </c>
      <c r="C7" s="102">
        <f>'November 2023'!J86/1000000000</f>
        <v>292.87024288021001</v>
      </c>
      <c r="D7" s="1"/>
    </row>
    <row r="8" spans="1:4" ht="15.75">
      <c r="A8" s="10" t="s">
        <v>209</v>
      </c>
      <c r="B8" s="101">
        <v>648.61294131015234</v>
      </c>
      <c r="C8" s="102">
        <f>'November 2023'!J111/1000000000</f>
        <v>756.91777952978691</v>
      </c>
      <c r="D8" s="1"/>
    </row>
    <row r="9" spans="1:4" ht="15.75">
      <c r="A9" s="10" t="s">
        <v>210</v>
      </c>
      <c r="B9" s="101">
        <v>92.89143036821001</v>
      </c>
      <c r="C9" s="102">
        <f>'November 2023'!J119/1000000000</f>
        <v>93.995813289460003</v>
      </c>
      <c r="D9" s="1"/>
    </row>
    <row r="10" spans="1:4" ht="15.75">
      <c r="A10" s="10" t="s">
        <v>164</v>
      </c>
      <c r="B10" s="101">
        <v>39.71452184284999</v>
      </c>
      <c r="C10" s="102">
        <f>'November 2023'!J146/1000000000</f>
        <v>40.559468372719998</v>
      </c>
      <c r="D10" s="1"/>
    </row>
    <row r="11" spans="1:4" ht="15.75">
      <c r="A11" s="10" t="s">
        <v>189</v>
      </c>
      <c r="B11" s="101">
        <v>3.89449754942</v>
      </c>
      <c r="C11" s="102">
        <f>'November 2023'!J152/1000000000</f>
        <v>3.4718177890600002</v>
      </c>
      <c r="D11" s="1"/>
    </row>
    <row r="12" spans="1:4" ht="15.75">
      <c r="A12" s="10" t="s">
        <v>211</v>
      </c>
      <c r="B12" s="101">
        <v>46.293023793199723</v>
      </c>
      <c r="C12" s="102">
        <f>'November 2023'!J171/1000000000</f>
        <v>46.39761833500841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7"/>
      <c r="B15" s="17"/>
      <c r="C15" s="17"/>
      <c r="D15" s="17"/>
    </row>
    <row r="16" spans="1:4" ht="16.5">
      <c r="A16" s="17"/>
      <c r="B16" s="33"/>
      <c r="C16" s="34"/>
      <c r="D16" s="17"/>
    </row>
    <row r="17" spans="1:4" ht="16.5">
      <c r="A17" s="35"/>
      <c r="B17" s="36"/>
      <c r="C17" s="37"/>
      <c r="D17" s="17"/>
    </row>
    <row r="18" spans="1:4" ht="16.5">
      <c r="A18" s="10"/>
      <c r="B18" s="12"/>
      <c r="C18" s="13">
        <v>324257293662.39001</v>
      </c>
      <c r="D18" s="1"/>
    </row>
    <row r="19" spans="1:4" ht="16.5">
      <c r="A19" s="6"/>
      <c r="B19" s="11"/>
      <c r="C19" s="14">
        <v>329523427075.08801</v>
      </c>
      <c r="D19" s="1"/>
    </row>
    <row r="20" spans="1:4" ht="16.5">
      <c r="A20" s="6"/>
      <c r="B20" s="12"/>
      <c r="C20" s="13">
        <v>92979365311.570007</v>
      </c>
      <c r="D20" s="1"/>
    </row>
    <row r="21" spans="1:4" ht="16.5">
      <c r="A21" s="6"/>
      <c r="B21" s="11"/>
      <c r="C21" s="14">
        <v>33483827699.669998</v>
      </c>
      <c r="D21" s="1"/>
    </row>
    <row r="22" spans="1:4" ht="16.5">
      <c r="A22" s="6"/>
      <c r="B22" s="15"/>
      <c r="C22" s="16">
        <v>3211014587.77</v>
      </c>
      <c r="D22" s="1"/>
    </row>
    <row r="23" spans="1:4" ht="16.5">
      <c r="A23" s="6"/>
      <c r="B23" s="11"/>
      <c r="C23" s="14">
        <v>25485626359.523201</v>
      </c>
      <c r="D23" s="1"/>
    </row>
    <row r="24" spans="1:4" ht="16.5">
      <c r="A24" s="6"/>
      <c r="B24" s="11"/>
      <c r="C24" s="11"/>
      <c r="D24" s="1"/>
    </row>
    <row r="25" spans="1:4" ht="16.5">
      <c r="A25" s="6"/>
      <c r="B25" s="11"/>
      <c r="C25" s="11"/>
      <c r="D25" s="1"/>
    </row>
    <row r="26" spans="1:4" ht="16.5">
      <c r="A26" s="6"/>
      <c r="B26" s="11"/>
      <c r="C26" s="11"/>
      <c r="D26" s="1"/>
    </row>
    <row r="27" spans="1:4">
      <c r="B27" s="17"/>
      <c r="C27" s="17"/>
    </row>
    <row r="28" spans="1:4">
      <c r="B28" s="17"/>
      <c r="C28" s="17"/>
    </row>
  </sheetData>
  <sheetProtection algorithmName="SHA-512" hashValue="RtM6zbUEFzAu0DusgwG8AytR0MiNxBWd7yFCnjBenOb4bE+fzvfWd7JDcmGGGluNhlJeiQmrh9FsHnHRiUhaHQ==" saltValue="k1y4zuz4cZ4jrZEuqTKCO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C16" sqref="C16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4">
      <c r="A1" s="103" t="s">
        <v>207</v>
      </c>
      <c r="B1" s="104" t="s">
        <v>251</v>
      </c>
      <c r="C1" s="1"/>
      <c r="D1" s="27"/>
    </row>
    <row r="2" spans="1:4">
      <c r="A2" s="103" t="s">
        <v>189</v>
      </c>
      <c r="B2" s="105">
        <f>'November 2023'!J152</f>
        <v>3471817789.0599999</v>
      </c>
      <c r="C2" s="1"/>
      <c r="D2" s="27"/>
    </row>
    <row r="3" spans="1:4">
      <c r="A3" s="103" t="s">
        <v>18</v>
      </c>
      <c r="B3" s="106">
        <f>'November 2023'!J21</f>
        <v>23046675780.470001</v>
      </c>
      <c r="C3" s="1"/>
      <c r="D3" s="27"/>
    </row>
    <row r="4" spans="1:4">
      <c r="A4" s="103" t="s">
        <v>164</v>
      </c>
      <c r="B4" s="107">
        <f>'November 2023'!J146</f>
        <v>40559468372.720001</v>
      </c>
      <c r="C4" s="1"/>
      <c r="D4" s="27"/>
    </row>
    <row r="5" spans="1:4">
      <c r="A5" s="103" t="s">
        <v>211</v>
      </c>
      <c r="B5" s="107">
        <f>'November 2023'!J171</f>
        <v>46397618335.008408</v>
      </c>
      <c r="C5" s="1"/>
      <c r="D5" s="27"/>
    </row>
    <row r="6" spans="1:4">
      <c r="A6" s="103" t="s">
        <v>210</v>
      </c>
      <c r="B6" s="108">
        <f>'November 2023'!J119</f>
        <v>93995813289.460007</v>
      </c>
      <c r="C6" s="1"/>
      <c r="D6" s="27"/>
    </row>
    <row r="7" spans="1:4">
      <c r="A7" s="103" t="s">
        <v>208</v>
      </c>
      <c r="B7" s="108">
        <f>'November 2023'!J86</f>
        <v>292870242880.21002</v>
      </c>
      <c r="C7" s="1"/>
      <c r="D7" s="27"/>
    </row>
    <row r="8" spans="1:4">
      <c r="A8" s="103" t="s">
        <v>209</v>
      </c>
      <c r="B8" s="107">
        <f>'November 2023'!J111</f>
        <v>756917779529.78687</v>
      </c>
      <c r="C8" s="1"/>
      <c r="D8" s="27"/>
    </row>
    <row r="9" spans="1:4">
      <c r="A9" s="103" t="s">
        <v>50</v>
      </c>
      <c r="B9" s="107">
        <f>'November 2023'!J53</f>
        <v>865757176891.71021</v>
      </c>
      <c r="C9" s="1"/>
      <c r="D9" s="27"/>
    </row>
    <row r="10" spans="1:4">
      <c r="A10" s="1"/>
      <c r="B10" s="1"/>
      <c r="C10" s="1"/>
      <c r="D10" s="27"/>
    </row>
    <row r="11" spans="1:4" ht="16.5">
      <c r="A11" s="109"/>
      <c r="B11" s="1"/>
      <c r="C11" s="1"/>
      <c r="D11" s="27"/>
    </row>
    <row r="12" spans="1:4">
      <c r="A12" s="29"/>
      <c r="B12" s="17"/>
      <c r="C12" s="17"/>
      <c r="D12" s="27"/>
    </row>
    <row r="13" spans="1:4" ht="15.75" customHeight="1">
      <c r="A13" s="28"/>
      <c r="B13" s="30"/>
      <c r="C13" s="17"/>
      <c r="D13" s="27"/>
    </row>
    <row r="14" spans="1:4">
      <c r="A14" s="31"/>
      <c r="B14" s="30"/>
      <c r="C14" s="17"/>
      <c r="D14" s="27"/>
    </row>
    <row r="15" spans="1:4">
      <c r="A15" s="31"/>
      <c r="B15" s="30"/>
      <c r="C15" s="17"/>
      <c r="D15" s="27"/>
    </row>
    <row r="16" spans="1:4">
      <c r="A16" s="32"/>
      <c r="B16" s="30"/>
      <c r="C16" s="17"/>
      <c r="D16" s="27"/>
    </row>
    <row r="17" spans="1:17">
      <c r="A17" s="32"/>
      <c r="B17" s="30"/>
      <c r="C17" s="17"/>
      <c r="D17" s="27"/>
    </row>
    <row r="18" spans="1:17">
      <c r="A18" s="3"/>
      <c r="B18" s="2"/>
      <c r="C18" s="1"/>
    </row>
    <row r="19" spans="1:17" ht="15" customHeight="1">
      <c r="A19" s="4">
        <v>749900598862.70996</v>
      </c>
      <c r="B19" s="2"/>
      <c r="C19" s="1"/>
    </row>
    <row r="20" spans="1:17" ht="16.5">
      <c r="A20" s="5"/>
      <c r="B20" s="2"/>
      <c r="C20" s="1"/>
    </row>
    <row r="21" spans="1:17" ht="16.5">
      <c r="A21" s="6"/>
      <c r="B21" s="7"/>
      <c r="C21" s="1"/>
    </row>
    <row r="22" spans="1:17" ht="16.5">
      <c r="B22" s="8"/>
    </row>
    <row r="32" spans="1:17" ht="16.5" customHeight="1">
      <c r="A32" s="98" t="s">
        <v>252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"/>
    </row>
    <row r="33" spans="1:17" ht="15" customHeight="1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"/>
    </row>
  </sheetData>
  <sheetProtection algorithmName="SHA-512" hashValue="K4yzjkM9si5lcReyJ/fnmcAUwKJT7+I6fQrZOtafC4TrJwq/Ub341zkedXTCgcwQT6GfIBaDCwiFcTe7czCmog==" saltValue="I+Ad29K7l7rkZFNsOEqZCQ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0"/>
  <sheetViews>
    <sheetView workbookViewId="0">
      <selection activeCell="G6" sqref="G6"/>
    </sheetView>
  </sheetViews>
  <sheetFormatPr defaultColWidth="9" defaultRowHeight="15"/>
  <cols>
    <col min="1" max="1" width="34.7109375" customWidth="1"/>
    <col min="2" max="2" width="15" customWidth="1"/>
  </cols>
  <sheetData>
    <row r="2" spans="1:3">
      <c r="A2" s="110"/>
      <c r="B2" s="110"/>
      <c r="C2" s="110"/>
    </row>
    <row r="3" spans="1:3">
      <c r="A3" s="110"/>
      <c r="B3" s="110"/>
      <c r="C3" s="110"/>
    </row>
    <row r="4" spans="1:3">
      <c r="A4" s="1"/>
      <c r="B4" s="1"/>
      <c r="C4" s="110"/>
    </row>
    <row r="5" spans="1:3" ht="15.75">
      <c r="A5" s="111" t="s">
        <v>207</v>
      </c>
      <c r="B5" s="112" t="s">
        <v>212</v>
      </c>
      <c r="C5" s="110"/>
    </row>
    <row r="6" spans="1:3" ht="16.5">
      <c r="A6" s="109" t="s">
        <v>18</v>
      </c>
      <c r="B6" s="113">
        <f>'November 2023'!S21</f>
        <v>47379</v>
      </c>
      <c r="C6" s="110"/>
    </row>
    <row r="7" spans="1:3" ht="16.5">
      <c r="A7" s="109" t="s">
        <v>50</v>
      </c>
      <c r="B7" s="113">
        <f>'November 2023'!S53</f>
        <v>254575</v>
      </c>
      <c r="C7" s="110"/>
    </row>
    <row r="8" spans="1:3" ht="16.5">
      <c r="A8" s="109" t="s">
        <v>208</v>
      </c>
      <c r="B8" s="113">
        <f>'November 2023'!S86</f>
        <v>44102</v>
      </c>
      <c r="C8" s="110"/>
    </row>
    <row r="9" spans="1:3" ht="16.5">
      <c r="A9" s="109" t="s">
        <v>209</v>
      </c>
      <c r="B9" s="113">
        <f>'November 2023'!S111</f>
        <v>12628</v>
      </c>
      <c r="C9" s="110"/>
    </row>
    <row r="10" spans="1:3" ht="16.5">
      <c r="A10" s="109" t="s">
        <v>210</v>
      </c>
      <c r="B10" s="113">
        <f>'November 2023'!S119</f>
        <v>216982</v>
      </c>
      <c r="C10" s="110"/>
    </row>
    <row r="11" spans="1:3" ht="16.5">
      <c r="A11" s="109" t="s">
        <v>164</v>
      </c>
      <c r="B11" s="113">
        <f>'November 2023'!S146</f>
        <v>67954</v>
      </c>
      <c r="C11" s="110"/>
    </row>
    <row r="12" spans="1:3" ht="16.5">
      <c r="A12" s="109" t="s">
        <v>189</v>
      </c>
      <c r="B12" s="113">
        <f>'November 2023'!S152</f>
        <v>11288</v>
      </c>
      <c r="C12" s="110"/>
    </row>
    <row r="13" spans="1:3" ht="16.5">
      <c r="A13" s="109" t="s">
        <v>211</v>
      </c>
      <c r="B13" s="113">
        <f>'November 2023'!S171</f>
        <v>25361</v>
      </c>
      <c r="C13" s="110"/>
    </row>
    <row r="14" spans="1:3">
      <c r="A14" s="1"/>
      <c r="B14" s="1"/>
      <c r="C14" s="110"/>
    </row>
    <row r="15" spans="1:3">
      <c r="A15" s="1"/>
      <c r="B15" s="1"/>
      <c r="C15" s="110"/>
    </row>
    <row r="16" spans="1:3">
      <c r="A16" s="110"/>
      <c r="B16" s="110"/>
      <c r="C16" s="110"/>
    </row>
    <row r="17" spans="1:3">
      <c r="A17" s="110"/>
      <c r="B17" s="110"/>
      <c r="C17" s="110"/>
    </row>
    <row r="18" spans="1:3">
      <c r="A18" s="110"/>
      <c r="B18" s="110"/>
      <c r="C18" s="110"/>
    </row>
    <row r="19" spans="1:3">
      <c r="A19" s="27"/>
      <c r="B19" s="27"/>
      <c r="C19" s="27"/>
    </row>
    <row r="20" spans="1:3">
      <c r="A20" s="27"/>
      <c r="B20" s="27"/>
      <c r="C20" s="27"/>
    </row>
  </sheetData>
  <sheetProtection algorithmName="SHA-512" hashValue="ILTRZItodlIwV4vLOdXwXZrw5rrB/Ue/kc6pcvUptDaBG3yDVCQEBRlUzTSlSfa6ayXHumtO+H8vi9DqyzxA+w==" saltValue="EC11fulvaJZ6gYesVHLDJ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November 2023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2023-10-09T09:40:00Z</dcterms:created>
  <dcterms:modified xsi:type="dcterms:W3CDTF">2024-06-23T19:15:37Z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A28B6CC3FF9C449EAFECA2D87E614F85_13</vt:lpwstr>
  </property>
  <property fmtid="{D5CDD505-2E9C-101B-9397-08002B2CF9AE}" pid="3" name="KSOProductBuildVer">
    <vt:lpwstr>1033-12.2.0.13266</vt:lpwstr>
  </property>
</Properties>
</file>