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C7A6BEE3-6B7F-4DC4-B531-2FF2771DD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OBER 2023" sheetId="7" r:id="rId1"/>
    <sheet name="NAV Comparison" sheetId="2" r:id="rId2"/>
    <sheet name="Market Share" sheetId="3" r:id="rId3"/>
    <sheet name="Unitholders" sheetId="6" r:id="rId4"/>
  </sheets>
  <definedNames>
    <definedName name="Component">"Group"</definedName>
    <definedName name="pbCountingPages">FALSE</definedName>
  </definedNames>
  <calcPr calcId="181029"/>
</workbook>
</file>

<file path=xl/calcChain.xml><?xml version="1.0" encoding="utf-8"?>
<calcChain xmlns="http://schemas.openxmlformats.org/spreadsheetml/2006/main">
  <c r="M91" i="7" l="1"/>
  <c r="N91" i="7"/>
  <c r="O91" i="7"/>
  <c r="P91" i="7"/>
  <c r="M92" i="7"/>
  <c r="N92" i="7"/>
  <c r="O92" i="7"/>
  <c r="P92" i="7"/>
  <c r="M93" i="7"/>
  <c r="N93" i="7"/>
  <c r="O93" i="7"/>
  <c r="P93" i="7"/>
  <c r="M94" i="7"/>
  <c r="N94" i="7"/>
  <c r="O94" i="7"/>
  <c r="P94" i="7"/>
  <c r="M95" i="7"/>
  <c r="N95" i="7"/>
  <c r="O95" i="7"/>
  <c r="P95" i="7"/>
  <c r="M96" i="7"/>
  <c r="N96" i="7"/>
  <c r="O96" i="7"/>
  <c r="P96" i="7"/>
  <c r="M97" i="7"/>
  <c r="N97" i="7"/>
  <c r="O97" i="7"/>
  <c r="P97" i="7"/>
  <c r="M98" i="7"/>
  <c r="N98" i="7"/>
  <c r="O98" i="7"/>
  <c r="P98" i="7"/>
  <c r="M99" i="7"/>
  <c r="N99" i="7"/>
  <c r="O99" i="7"/>
  <c r="P99" i="7"/>
  <c r="M90" i="7"/>
  <c r="B13" i="6"/>
  <c r="B12" i="6"/>
  <c r="B11" i="6"/>
  <c r="B10" i="6"/>
  <c r="B9" i="6"/>
  <c r="B8" i="6"/>
  <c r="B7" i="6"/>
  <c r="B6" i="6"/>
  <c r="B9" i="3"/>
  <c r="B8" i="3"/>
  <c r="B7" i="3"/>
  <c r="B6" i="3"/>
  <c r="B5" i="3"/>
  <c r="B3" i="3"/>
  <c r="B2" i="3"/>
  <c r="C12" i="2"/>
  <c r="C11" i="2"/>
  <c r="C9" i="2"/>
  <c r="C8" i="2"/>
  <c r="C7" i="2"/>
  <c r="C6" i="2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M57" i="7"/>
  <c r="N57" i="7"/>
  <c r="O57" i="7"/>
  <c r="P57" i="7"/>
  <c r="M58" i="7"/>
  <c r="N58" i="7"/>
  <c r="O58" i="7"/>
  <c r="P58" i="7"/>
  <c r="M59" i="7"/>
  <c r="N59" i="7"/>
  <c r="O59" i="7"/>
  <c r="P59" i="7"/>
  <c r="M60" i="7"/>
  <c r="N60" i="7"/>
  <c r="O60" i="7"/>
  <c r="P60" i="7"/>
  <c r="M61" i="7"/>
  <c r="N61" i="7"/>
  <c r="O61" i="7"/>
  <c r="P61" i="7"/>
  <c r="M62" i="7"/>
  <c r="N62" i="7"/>
  <c r="O62" i="7"/>
  <c r="P62" i="7"/>
  <c r="M63" i="7"/>
  <c r="N63" i="7"/>
  <c r="O63" i="7"/>
  <c r="P63" i="7"/>
  <c r="M64" i="7"/>
  <c r="N64" i="7"/>
  <c r="O64" i="7"/>
  <c r="P64" i="7"/>
  <c r="M65" i="7"/>
  <c r="N65" i="7"/>
  <c r="O65" i="7"/>
  <c r="P65" i="7"/>
  <c r="M66" i="7"/>
  <c r="N66" i="7"/>
  <c r="O66" i="7"/>
  <c r="P66" i="7"/>
  <c r="M67" i="7"/>
  <c r="N67" i="7"/>
  <c r="O67" i="7"/>
  <c r="P67" i="7"/>
  <c r="M68" i="7"/>
  <c r="N68" i="7"/>
  <c r="O68" i="7"/>
  <c r="P68" i="7"/>
  <c r="M69" i="7"/>
  <c r="N69" i="7"/>
  <c r="O69" i="7"/>
  <c r="P69" i="7"/>
  <c r="M70" i="7"/>
  <c r="N70" i="7"/>
  <c r="O70" i="7"/>
  <c r="P70" i="7"/>
  <c r="M71" i="7"/>
  <c r="N71" i="7"/>
  <c r="O71" i="7"/>
  <c r="P71" i="7"/>
  <c r="M72" i="7"/>
  <c r="N72" i="7"/>
  <c r="O72" i="7"/>
  <c r="P72" i="7"/>
  <c r="M73" i="7"/>
  <c r="N73" i="7"/>
  <c r="O73" i="7"/>
  <c r="P73" i="7"/>
  <c r="M74" i="7"/>
  <c r="N74" i="7"/>
  <c r="O74" i="7"/>
  <c r="P74" i="7"/>
  <c r="M75" i="7"/>
  <c r="N75" i="7"/>
  <c r="O75" i="7"/>
  <c r="P75" i="7"/>
  <c r="M76" i="7"/>
  <c r="N76" i="7"/>
  <c r="O76" i="7"/>
  <c r="P76" i="7"/>
  <c r="M77" i="7"/>
  <c r="N77" i="7"/>
  <c r="O77" i="7"/>
  <c r="P77" i="7"/>
  <c r="M78" i="7"/>
  <c r="N78" i="7"/>
  <c r="O78" i="7"/>
  <c r="P78" i="7"/>
  <c r="M79" i="7"/>
  <c r="N79" i="7"/>
  <c r="O79" i="7"/>
  <c r="P79" i="7"/>
  <c r="M80" i="7"/>
  <c r="N80" i="7"/>
  <c r="O80" i="7"/>
  <c r="P80" i="7"/>
  <c r="M81" i="7"/>
  <c r="N81" i="7"/>
  <c r="O81" i="7"/>
  <c r="P81" i="7"/>
  <c r="M82" i="7"/>
  <c r="N82" i="7"/>
  <c r="O82" i="7"/>
  <c r="P82" i="7"/>
  <c r="M83" i="7"/>
  <c r="N83" i="7"/>
  <c r="O83" i="7"/>
  <c r="P83" i="7"/>
  <c r="M84" i="7"/>
  <c r="N84" i="7"/>
  <c r="O84" i="7"/>
  <c r="P84" i="7"/>
  <c r="M85" i="7"/>
  <c r="N85" i="7"/>
  <c r="O85" i="7"/>
  <c r="P85" i="7"/>
  <c r="L75" i="7"/>
  <c r="L76" i="7"/>
  <c r="L77" i="7"/>
  <c r="L78" i="7"/>
  <c r="L79" i="7"/>
  <c r="L80" i="7"/>
  <c r="L81" i="7"/>
  <c r="L82" i="7"/>
  <c r="L83" i="7"/>
  <c r="L84" i="7"/>
  <c r="L85" i="7"/>
  <c r="L86" i="7"/>
  <c r="K75" i="7"/>
  <c r="K76" i="7"/>
  <c r="K77" i="7"/>
  <c r="K78" i="7"/>
  <c r="K79" i="7"/>
  <c r="K80" i="7"/>
  <c r="K81" i="7"/>
  <c r="K82" i="7"/>
  <c r="K83" i="7"/>
  <c r="K84" i="7"/>
  <c r="K85" i="7"/>
  <c r="C5" i="2"/>
  <c r="M161" i="7" l="1"/>
  <c r="N161" i="7"/>
  <c r="O161" i="7"/>
  <c r="P161" i="7"/>
  <c r="M162" i="7"/>
  <c r="N162" i="7"/>
  <c r="O162" i="7"/>
  <c r="P162" i="7"/>
  <c r="M163" i="7"/>
  <c r="N163" i="7"/>
  <c r="O163" i="7"/>
  <c r="P163" i="7"/>
  <c r="M164" i="7"/>
  <c r="N164" i="7"/>
  <c r="O164" i="7"/>
  <c r="P164" i="7"/>
  <c r="M165" i="7"/>
  <c r="N165" i="7"/>
  <c r="O165" i="7"/>
  <c r="P165" i="7"/>
  <c r="M166" i="7"/>
  <c r="N166" i="7"/>
  <c r="O166" i="7"/>
  <c r="P166" i="7"/>
  <c r="M167" i="7"/>
  <c r="N167" i="7"/>
  <c r="O167" i="7"/>
  <c r="P167" i="7"/>
  <c r="M168" i="7"/>
  <c r="N168" i="7"/>
  <c r="O168" i="7"/>
  <c r="P168" i="7"/>
  <c r="L161" i="7"/>
  <c r="L162" i="7"/>
  <c r="L163" i="7"/>
  <c r="L164" i="7"/>
  <c r="L165" i="7"/>
  <c r="L166" i="7"/>
  <c r="L167" i="7"/>
  <c r="L168" i="7"/>
  <c r="K161" i="7"/>
  <c r="K162" i="7"/>
  <c r="K163" i="7"/>
  <c r="K164" i="7"/>
  <c r="K165" i="7"/>
  <c r="K166" i="7"/>
  <c r="K167" i="7"/>
  <c r="K168" i="7"/>
  <c r="I161" i="7"/>
  <c r="I162" i="7"/>
  <c r="I163" i="7"/>
  <c r="I164" i="7"/>
  <c r="I165" i="7"/>
  <c r="I166" i="7"/>
  <c r="I167" i="7"/>
  <c r="I168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P32" i="7"/>
  <c r="O32" i="7"/>
  <c r="N32" i="7"/>
  <c r="M32" i="7"/>
  <c r="L32" i="7"/>
  <c r="S127" i="7"/>
  <c r="P127" i="7"/>
  <c r="O127" i="7"/>
  <c r="N127" i="7"/>
  <c r="M127" i="7"/>
  <c r="L127" i="7"/>
  <c r="K127" i="7"/>
  <c r="H110" i="7"/>
  <c r="H109" i="7"/>
  <c r="H108" i="7"/>
  <c r="H107" i="7"/>
  <c r="H106" i="7"/>
  <c r="H105" i="7"/>
  <c r="H104" i="7"/>
  <c r="H103" i="7"/>
  <c r="H102" i="7"/>
  <c r="H99" i="7"/>
  <c r="H97" i="7"/>
  <c r="H96" i="7"/>
  <c r="H95" i="7"/>
  <c r="H91" i="7"/>
  <c r="R99" i="7" l="1"/>
  <c r="Q99" i="7"/>
  <c r="J99" i="7"/>
  <c r="G99" i="7"/>
  <c r="F99" i="7"/>
  <c r="E99" i="7"/>
  <c r="D99" i="7"/>
  <c r="R107" i="7" l="1"/>
  <c r="Q107" i="7"/>
  <c r="J107" i="7"/>
  <c r="G107" i="7"/>
  <c r="F107" i="7"/>
  <c r="E107" i="7"/>
  <c r="D107" i="7"/>
  <c r="D114" i="7"/>
  <c r="S104" i="7" l="1"/>
  <c r="R104" i="7"/>
  <c r="Q104" i="7"/>
  <c r="J104" i="7"/>
  <c r="G104" i="7"/>
  <c r="F104" i="7"/>
  <c r="E104" i="7"/>
  <c r="D104" i="7"/>
  <c r="D129" i="7" l="1"/>
  <c r="D9" i="7"/>
  <c r="D66" i="7"/>
  <c r="R94" i="7"/>
  <c r="Q94" i="7"/>
  <c r="R93" i="7"/>
  <c r="Q93" i="7"/>
  <c r="R106" i="7" l="1"/>
  <c r="Q106" i="7"/>
  <c r="J106" i="7"/>
  <c r="G106" i="7"/>
  <c r="F106" i="7"/>
  <c r="E106" i="7"/>
  <c r="D106" i="7"/>
  <c r="R105" i="7" l="1"/>
  <c r="Q105" i="7"/>
  <c r="J105" i="7"/>
  <c r="G105" i="7"/>
  <c r="F105" i="7"/>
  <c r="E105" i="7"/>
  <c r="D105" i="7"/>
  <c r="R102" i="7" l="1"/>
  <c r="Q102" i="7"/>
  <c r="J102" i="7"/>
  <c r="G102" i="7"/>
  <c r="F102" i="7"/>
  <c r="E102" i="7"/>
  <c r="D102" i="7"/>
  <c r="R95" i="7"/>
  <c r="Q95" i="7"/>
  <c r="J95" i="7"/>
  <c r="G95" i="7"/>
  <c r="F95" i="7"/>
  <c r="E95" i="7"/>
  <c r="D95" i="7"/>
  <c r="Q91" i="7" l="1"/>
  <c r="R91" i="7"/>
  <c r="J91" i="7"/>
  <c r="G91" i="7"/>
  <c r="F91" i="7"/>
  <c r="E91" i="7"/>
  <c r="D91" i="7"/>
  <c r="R103" i="7"/>
  <c r="Q103" i="7"/>
  <c r="J103" i="7"/>
  <c r="G103" i="7"/>
  <c r="F103" i="7"/>
  <c r="E103" i="7"/>
  <c r="D103" i="7"/>
  <c r="Q110" i="7" l="1"/>
  <c r="R110" i="7"/>
  <c r="J110" i="7"/>
  <c r="G110" i="7"/>
  <c r="F110" i="7"/>
  <c r="E110" i="7"/>
  <c r="D110" i="7"/>
  <c r="S169" i="7" l="1"/>
  <c r="J169" i="7"/>
  <c r="H169" i="7"/>
  <c r="P160" i="7"/>
  <c r="O160" i="7"/>
  <c r="N160" i="7"/>
  <c r="M160" i="7"/>
  <c r="L160" i="7"/>
  <c r="I160" i="7"/>
  <c r="P157" i="7"/>
  <c r="O157" i="7"/>
  <c r="N157" i="7"/>
  <c r="M157" i="7"/>
  <c r="L157" i="7"/>
  <c r="I157" i="7"/>
  <c r="P156" i="7"/>
  <c r="O156" i="7"/>
  <c r="N156" i="7"/>
  <c r="M156" i="7"/>
  <c r="L156" i="7"/>
  <c r="I156" i="7"/>
  <c r="S152" i="7"/>
  <c r="J152" i="7"/>
  <c r="K151" i="7" s="1"/>
  <c r="H152" i="7"/>
  <c r="P151" i="7"/>
  <c r="O151" i="7"/>
  <c r="N151" i="7"/>
  <c r="M151" i="7"/>
  <c r="L151" i="7"/>
  <c r="I151" i="7"/>
  <c r="P150" i="7"/>
  <c r="O150" i="7"/>
  <c r="N150" i="7"/>
  <c r="M150" i="7"/>
  <c r="L150" i="7"/>
  <c r="I150" i="7"/>
  <c r="P149" i="7"/>
  <c r="O149" i="7"/>
  <c r="N149" i="7"/>
  <c r="M149" i="7"/>
  <c r="L149" i="7"/>
  <c r="I149" i="7"/>
  <c r="J146" i="7"/>
  <c r="H146" i="7"/>
  <c r="P145" i="7"/>
  <c r="O145" i="7"/>
  <c r="N145" i="7"/>
  <c r="M145" i="7"/>
  <c r="L145" i="7"/>
  <c r="P144" i="7"/>
  <c r="O144" i="7"/>
  <c r="N144" i="7"/>
  <c r="M144" i="7"/>
  <c r="L144" i="7"/>
  <c r="P143" i="7"/>
  <c r="O143" i="7"/>
  <c r="N143" i="7"/>
  <c r="M143" i="7"/>
  <c r="L143" i="7"/>
  <c r="P142" i="7"/>
  <c r="O142" i="7"/>
  <c r="N142" i="7"/>
  <c r="M142" i="7"/>
  <c r="L142" i="7"/>
  <c r="P141" i="7"/>
  <c r="O141" i="7"/>
  <c r="N141" i="7"/>
  <c r="M141" i="7"/>
  <c r="L141" i="7"/>
  <c r="P129" i="7"/>
  <c r="O129" i="7"/>
  <c r="N129" i="7"/>
  <c r="M129" i="7"/>
  <c r="L129" i="7"/>
  <c r="P140" i="7"/>
  <c r="O140" i="7"/>
  <c r="N140" i="7"/>
  <c r="M140" i="7"/>
  <c r="L140" i="7"/>
  <c r="P139" i="7"/>
  <c r="O139" i="7"/>
  <c r="N139" i="7"/>
  <c r="M139" i="7"/>
  <c r="L139" i="7"/>
  <c r="P138" i="7"/>
  <c r="O138" i="7"/>
  <c r="N138" i="7"/>
  <c r="M138" i="7"/>
  <c r="L138" i="7"/>
  <c r="P137" i="7"/>
  <c r="O137" i="7"/>
  <c r="N137" i="7"/>
  <c r="M137" i="7"/>
  <c r="L137" i="7"/>
  <c r="P136" i="7"/>
  <c r="O136" i="7"/>
  <c r="N136" i="7"/>
  <c r="M136" i="7"/>
  <c r="L136" i="7"/>
  <c r="P135" i="7"/>
  <c r="O135" i="7"/>
  <c r="N135" i="7"/>
  <c r="M135" i="7"/>
  <c r="L135" i="7"/>
  <c r="P134" i="7"/>
  <c r="O134" i="7"/>
  <c r="N134" i="7"/>
  <c r="M134" i="7"/>
  <c r="L134" i="7"/>
  <c r="P133" i="7"/>
  <c r="O133" i="7"/>
  <c r="N133" i="7"/>
  <c r="M133" i="7"/>
  <c r="L133" i="7"/>
  <c r="P132" i="7"/>
  <c r="O132" i="7"/>
  <c r="N132" i="7"/>
  <c r="M132" i="7"/>
  <c r="L132" i="7"/>
  <c r="P131" i="7"/>
  <c r="O131" i="7"/>
  <c r="N131" i="7"/>
  <c r="M131" i="7"/>
  <c r="L131" i="7"/>
  <c r="P130" i="7"/>
  <c r="O130" i="7"/>
  <c r="N130" i="7"/>
  <c r="M130" i="7"/>
  <c r="L130" i="7"/>
  <c r="P128" i="7"/>
  <c r="O128" i="7"/>
  <c r="N128" i="7"/>
  <c r="M128" i="7"/>
  <c r="L128" i="7"/>
  <c r="S146" i="7"/>
  <c r="P126" i="7"/>
  <c r="O126" i="7"/>
  <c r="N126" i="7"/>
  <c r="M126" i="7"/>
  <c r="L126" i="7"/>
  <c r="P125" i="7"/>
  <c r="O125" i="7"/>
  <c r="N125" i="7"/>
  <c r="M125" i="7"/>
  <c r="L125" i="7"/>
  <c r="P124" i="7"/>
  <c r="O124" i="7"/>
  <c r="N124" i="7"/>
  <c r="M124" i="7"/>
  <c r="L124" i="7"/>
  <c r="P123" i="7"/>
  <c r="O123" i="7"/>
  <c r="N123" i="7"/>
  <c r="M123" i="7"/>
  <c r="L123" i="7"/>
  <c r="P122" i="7"/>
  <c r="O122" i="7"/>
  <c r="N122" i="7"/>
  <c r="M122" i="7"/>
  <c r="L122" i="7"/>
  <c r="I122" i="7"/>
  <c r="S119" i="7"/>
  <c r="J119" i="7"/>
  <c r="H119" i="7"/>
  <c r="P118" i="7"/>
  <c r="O118" i="7"/>
  <c r="N118" i="7"/>
  <c r="M118" i="7"/>
  <c r="L118" i="7"/>
  <c r="I118" i="7"/>
  <c r="P117" i="7"/>
  <c r="O117" i="7"/>
  <c r="N117" i="7"/>
  <c r="M117" i="7"/>
  <c r="L117" i="7"/>
  <c r="I117" i="7"/>
  <c r="P116" i="7"/>
  <c r="O116" i="7"/>
  <c r="N116" i="7"/>
  <c r="M116" i="7"/>
  <c r="L116" i="7"/>
  <c r="K116" i="7"/>
  <c r="I116" i="7"/>
  <c r="P115" i="7"/>
  <c r="O115" i="7"/>
  <c r="N115" i="7"/>
  <c r="M115" i="7"/>
  <c r="L115" i="7"/>
  <c r="K115" i="7"/>
  <c r="I115" i="7"/>
  <c r="S111" i="7"/>
  <c r="P110" i="7"/>
  <c r="M110" i="7"/>
  <c r="R109" i="7"/>
  <c r="Q109" i="7"/>
  <c r="J109" i="7"/>
  <c r="G109" i="7"/>
  <c r="F109" i="7"/>
  <c r="M109" i="7" s="1"/>
  <c r="E109" i="7"/>
  <c r="D109" i="7"/>
  <c r="R108" i="7"/>
  <c r="Q108" i="7"/>
  <c r="J108" i="7"/>
  <c r="G108" i="7"/>
  <c r="P108" i="7" s="1"/>
  <c r="F108" i="7"/>
  <c r="E108" i="7"/>
  <c r="D108" i="7"/>
  <c r="O107" i="7"/>
  <c r="M107" i="7"/>
  <c r="L107" i="7"/>
  <c r="P106" i="7"/>
  <c r="M106" i="7"/>
  <c r="O105" i="7"/>
  <c r="M105" i="7"/>
  <c r="L105" i="7"/>
  <c r="P104" i="7"/>
  <c r="L104" i="7"/>
  <c r="O103" i="7"/>
  <c r="M103" i="7"/>
  <c r="L103" i="7"/>
  <c r="P102" i="7"/>
  <c r="M102" i="7"/>
  <c r="L98" i="7"/>
  <c r="R97" i="7"/>
  <c r="Q97" i="7"/>
  <c r="J97" i="7"/>
  <c r="G97" i="7"/>
  <c r="F97" i="7"/>
  <c r="E97" i="7"/>
  <c r="D97" i="7"/>
  <c r="R96" i="7"/>
  <c r="Q96" i="7"/>
  <c r="J96" i="7"/>
  <c r="G96" i="7"/>
  <c r="F96" i="7"/>
  <c r="E96" i="7"/>
  <c r="D96" i="7"/>
  <c r="L94" i="7"/>
  <c r="L93" i="7"/>
  <c r="L92" i="7"/>
  <c r="L91" i="7"/>
  <c r="P90" i="7"/>
  <c r="O90" i="7"/>
  <c r="N90" i="7"/>
  <c r="L90" i="7"/>
  <c r="S86" i="7"/>
  <c r="J86" i="7"/>
  <c r="H86" i="7"/>
  <c r="I83" i="7" s="1"/>
  <c r="I85" i="7"/>
  <c r="I84" i="7"/>
  <c r="I82" i="7"/>
  <c r="L66" i="7"/>
  <c r="I66" i="7"/>
  <c r="I81" i="7"/>
  <c r="I80" i="7"/>
  <c r="I79" i="7"/>
  <c r="I78" i="7"/>
  <c r="I77" i="7"/>
  <c r="I76" i="7"/>
  <c r="I75" i="7"/>
  <c r="L74" i="7"/>
  <c r="I74" i="7"/>
  <c r="L73" i="7"/>
  <c r="I73" i="7"/>
  <c r="L72" i="7"/>
  <c r="I72" i="7"/>
  <c r="L71" i="7"/>
  <c r="I71" i="7"/>
  <c r="L70" i="7"/>
  <c r="I70" i="7"/>
  <c r="L69" i="7"/>
  <c r="I69" i="7"/>
  <c r="L68" i="7"/>
  <c r="I68" i="7"/>
  <c r="L67" i="7"/>
  <c r="I67" i="7"/>
  <c r="L65" i="7"/>
  <c r="I65" i="7"/>
  <c r="L64" i="7"/>
  <c r="I64" i="7"/>
  <c r="L63" i="7"/>
  <c r="I63" i="7"/>
  <c r="L62" i="7"/>
  <c r="I62" i="7"/>
  <c r="L61" i="7"/>
  <c r="I61" i="7"/>
  <c r="L60" i="7"/>
  <c r="I60" i="7"/>
  <c r="L59" i="7"/>
  <c r="I59" i="7"/>
  <c r="L58" i="7"/>
  <c r="I58" i="7"/>
  <c r="L57" i="7"/>
  <c r="I57" i="7"/>
  <c r="P56" i="7"/>
  <c r="O56" i="7"/>
  <c r="N56" i="7"/>
  <c r="M56" i="7"/>
  <c r="L56" i="7"/>
  <c r="I56" i="7"/>
  <c r="S53" i="7"/>
  <c r="J53" i="7"/>
  <c r="K32" i="7" s="1"/>
  <c r="H53" i="7"/>
  <c r="I32" i="7" s="1"/>
  <c r="P52" i="7"/>
  <c r="O52" i="7"/>
  <c r="N52" i="7"/>
  <c r="M52" i="7"/>
  <c r="L52" i="7"/>
  <c r="I52" i="7"/>
  <c r="P51" i="7"/>
  <c r="O51" i="7"/>
  <c r="N51" i="7"/>
  <c r="M51" i="7"/>
  <c r="L51" i="7"/>
  <c r="I51" i="7"/>
  <c r="P50" i="7"/>
  <c r="O50" i="7"/>
  <c r="N50" i="7"/>
  <c r="M50" i="7"/>
  <c r="L50" i="7"/>
  <c r="I50" i="7"/>
  <c r="P49" i="7"/>
  <c r="O49" i="7"/>
  <c r="N49" i="7"/>
  <c r="M49" i="7"/>
  <c r="L49" i="7"/>
  <c r="I49" i="7"/>
  <c r="P48" i="7"/>
  <c r="O48" i="7"/>
  <c r="N48" i="7"/>
  <c r="M48" i="7"/>
  <c r="L48" i="7"/>
  <c r="I48" i="7"/>
  <c r="P47" i="7"/>
  <c r="O47" i="7"/>
  <c r="N47" i="7"/>
  <c r="M47" i="7"/>
  <c r="L47" i="7"/>
  <c r="I47" i="7"/>
  <c r="P46" i="7"/>
  <c r="O46" i="7"/>
  <c r="N46" i="7"/>
  <c r="M46" i="7"/>
  <c r="L46" i="7"/>
  <c r="I46" i="7"/>
  <c r="P45" i="7"/>
  <c r="O45" i="7"/>
  <c r="N45" i="7"/>
  <c r="M45" i="7"/>
  <c r="L45" i="7"/>
  <c r="I45" i="7"/>
  <c r="P44" i="7"/>
  <c r="O44" i="7"/>
  <c r="N44" i="7"/>
  <c r="M44" i="7"/>
  <c r="L44" i="7"/>
  <c r="I44" i="7"/>
  <c r="P43" i="7"/>
  <c r="O43" i="7"/>
  <c r="N43" i="7"/>
  <c r="M43" i="7"/>
  <c r="L43" i="7"/>
  <c r="I43" i="7"/>
  <c r="P42" i="7"/>
  <c r="O42" i="7"/>
  <c r="N42" i="7"/>
  <c r="M42" i="7"/>
  <c r="L42" i="7"/>
  <c r="I42" i="7"/>
  <c r="P41" i="7"/>
  <c r="O41" i="7"/>
  <c r="N41" i="7"/>
  <c r="M41" i="7"/>
  <c r="L41" i="7"/>
  <c r="I41" i="7"/>
  <c r="P40" i="7"/>
  <c r="O40" i="7"/>
  <c r="N40" i="7"/>
  <c r="M40" i="7"/>
  <c r="L40" i="7"/>
  <c r="I40" i="7"/>
  <c r="P39" i="7"/>
  <c r="O39" i="7"/>
  <c r="N39" i="7"/>
  <c r="M39" i="7"/>
  <c r="L39" i="7"/>
  <c r="I39" i="7"/>
  <c r="P38" i="7"/>
  <c r="O38" i="7"/>
  <c r="N38" i="7"/>
  <c r="M38" i="7"/>
  <c r="L38" i="7"/>
  <c r="I38" i="7"/>
  <c r="P37" i="7"/>
  <c r="O37" i="7"/>
  <c r="N37" i="7"/>
  <c r="M37" i="7"/>
  <c r="L37" i="7"/>
  <c r="I37" i="7"/>
  <c r="P36" i="7"/>
  <c r="O36" i="7"/>
  <c r="N36" i="7"/>
  <c r="M36" i="7"/>
  <c r="L36" i="7"/>
  <c r="I36" i="7"/>
  <c r="P35" i="7"/>
  <c r="O35" i="7"/>
  <c r="N35" i="7"/>
  <c r="M35" i="7"/>
  <c r="L35" i="7"/>
  <c r="I35" i="7"/>
  <c r="P34" i="7"/>
  <c r="O34" i="7"/>
  <c r="N34" i="7"/>
  <c r="M34" i="7"/>
  <c r="L34" i="7"/>
  <c r="I34" i="7"/>
  <c r="P33" i="7"/>
  <c r="O33" i="7"/>
  <c r="N33" i="7"/>
  <c r="M33" i="7"/>
  <c r="L33" i="7"/>
  <c r="I33" i="7"/>
  <c r="P31" i="7"/>
  <c r="O31" i="7"/>
  <c r="N31" i="7"/>
  <c r="M31" i="7"/>
  <c r="L31" i="7"/>
  <c r="I31" i="7"/>
  <c r="P30" i="7"/>
  <c r="O30" i="7"/>
  <c r="N30" i="7"/>
  <c r="M30" i="7"/>
  <c r="L30" i="7"/>
  <c r="I30" i="7"/>
  <c r="P29" i="7"/>
  <c r="O29" i="7"/>
  <c r="N29" i="7"/>
  <c r="M29" i="7"/>
  <c r="L29" i="7"/>
  <c r="I29" i="7"/>
  <c r="P28" i="7"/>
  <c r="O28" i="7"/>
  <c r="N28" i="7"/>
  <c r="M28" i="7"/>
  <c r="L28" i="7"/>
  <c r="I28" i="7"/>
  <c r="P27" i="7"/>
  <c r="O27" i="7"/>
  <c r="N27" i="7"/>
  <c r="M27" i="7"/>
  <c r="L27" i="7"/>
  <c r="I27" i="7"/>
  <c r="P26" i="7"/>
  <c r="O26" i="7"/>
  <c r="N26" i="7"/>
  <c r="M26" i="7"/>
  <c r="L26" i="7"/>
  <c r="I26" i="7"/>
  <c r="P25" i="7"/>
  <c r="O25" i="7"/>
  <c r="N25" i="7"/>
  <c r="M25" i="7"/>
  <c r="L25" i="7"/>
  <c r="I25" i="7"/>
  <c r="P24" i="7"/>
  <c r="O24" i="7"/>
  <c r="N24" i="7"/>
  <c r="M24" i="7"/>
  <c r="L24" i="7"/>
  <c r="I24" i="7"/>
  <c r="S21" i="7"/>
  <c r="J21" i="7"/>
  <c r="K20" i="7" s="1"/>
  <c r="H21" i="7"/>
  <c r="I7" i="7" s="1"/>
  <c r="L20" i="7"/>
  <c r="L9" i="7"/>
  <c r="L19" i="7"/>
  <c r="L18" i="7"/>
  <c r="L17" i="7"/>
  <c r="L16" i="7"/>
  <c r="L15" i="7"/>
  <c r="L14" i="7"/>
  <c r="L13" i="7"/>
  <c r="L12" i="7"/>
  <c r="L11" i="7"/>
  <c r="L10" i="7"/>
  <c r="L8" i="7"/>
  <c r="L7" i="7"/>
  <c r="L6" i="7"/>
  <c r="P5" i="7"/>
  <c r="O5" i="7"/>
  <c r="N5" i="7"/>
  <c r="M5" i="7"/>
  <c r="L5" i="7"/>
  <c r="B4" i="3" l="1"/>
  <c r="C10" i="2"/>
  <c r="L53" i="7"/>
  <c r="L96" i="7"/>
  <c r="L97" i="7"/>
  <c r="L108" i="7"/>
  <c r="L109" i="7"/>
  <c r="O109" i="7"/>
  <c r="L119" i="7"/>
  <c r="L146" i="7"/>
  <c r="L169" i="7"/>
  <c r="K136" i="7"/>
  <c r="K117" i="7"/>
  <c r="K118" i="7"/>
  <c r="K132" i="7"/>
  <c r="K124" i="7"/>
  <c r="I16" i="7"/>
  <c r="I12" i="7"/>
  <c r="I18" i="7"/>
  <c r="I9" i="7"/>
  <c r="I14" i="7"/>
  <c r="I6" i="7"/>
  <c r="I10" i="7"/>
  <c r="K25" i="7"/>
  <c r="K140" i="7"/>
  <c r="K122" i="7"/>
  <c r="K126" i="7"/>
  <c r="K130" i="7"/>
  <c r="K134" i="7"/>
  <c r="K138" i="7"/>
  <c r="K141" i="7"/>
  <c r="K5" i="7"/>
  <c r="K67" i="7"/>
  <c r="K6" i="7"/>
  <c r="K7" i="7"/>
  <c r="K8" i="7"/>
  <c r="K11" i="7"/>
  <c r="K13" i="7"/>
  <c r="K15" i="7"/>
  <c r="K17" i="7"/>
  <c r="K19" i="7"/>
  <c r="K123" i="7"/>
  <c r="K125" i="7"/>
  <c r="K128" i="7"/>
  <c r="K131" i="7"/>
  <c r="K133" i="7"/>
  <c r="K135" i="7"/>
  <c r="K137" i="7"/>
  <c r="K139" i="7"/>
  <c r="K129" i="7"/>
  <c r="K142" i="7"/>
  <c r="K143" i="7"/>
  <c r="K145" i="7"/>
  <c r="K37" i="7"/>
  <c r="K157" i="7"/>
  <c r="K58" i="7"/>
  <c r="K74" i="7"/>
  <c r="K62" i="7"/>
  <c r="K71" i="7"/>
  <c r="K29" i="7"/>
  <c r="K45" i="7"/>
  <c r="K156" i="7"/>
  <c r="K160" i="7"/>
  <c r="K33" i="7"/>
  <c r="K41" i="7"/>
  <c r="K49" i="7"/>
  <c r="K27" i="7"/>
  <c r="K31" i="7"/>
  <c r="K35" i="7"/>
  <c r="K39" i="7"/>
  <c r="K43" i="7"/>
  <c r="K47" i="7"/>
  <c r="K51" i="7"/>
  <c r="K24" i="7"/>
  <c r="K26" i="7"/>
  <c r="K28" i="7"/>
  <c r="K30" i="7"/>
  <c r="K34" i="7"/>
  <c r="K36" i="7"/>
  <c r="K38" i="7"/>
  <c r="K40" i="7"/>
  <c r="K42" i="7"/>
  <c r="K44" i="7"/>
  <c r="K46" i="7"/>
  <c r="K48" i="7"/>
  <c r="K50" i="7"/>
  <c r="K52" i="7"/>
  <c r="S170" i="7"/>
  <c r="K150" i="7"/>
  <c r="K149" i="7"/>
  <c r="K66" i="7"/>
  <c r="K56" i="7"/>
  <c r="K60" i="7"/>
  <c r="K64" i="7"/>
  <c r="K69" i="7"/>
  <c r="K73" i="7"/>
  <c r="K57" i="7"/>
  <c r="K59" i="7"/>
  <c r="K61" i="7"/>
  <c r="K63" i="7"/>
  <c r="K65" i="7"/>
  <c r="K68" i="7"/>
  <c r="K70" i="7"/>
  <c r="K72" i="7"/>
  <c r="L21" i="7"/>
  <c r="I5" i="7"/>
  <c r="K9" i="7"/>
  <c r="K18" i="7"/>
  <c r="K16" i="7"/>
  <c r="K14" i="7"/>
  <c r="K12" i="7"/>
  <c r="K10" i="7"/>
  <c r="H111" i="7"/>
  <c r="I91" i="7"/>
  <c r="I97" i="7"/>
  <c r="O102" i="7"/>
  <c r="N102" i="7"/>
  <c r="M104" i="7"/>
  <c r="I104" i="7"/>
  <c r="P105" i="7"/>
  <c r="N105" i="7"/>
  <c r="O106" i="7"/>
  <c r="N106" i="7"/>
  <c r="M108" i="7"/>
  <c r="I108" i="7"/>
  <c r="P109" i="7"/>
  <c r="N109" i="7"/>
  <c r="O110" i="7"/>
  <c r="N110" i="7"/>
  <c r="H170" i="7"/>
  <c r="I21" i="7" s="1"/>
  <c r="I20" i="7"/>
  <c r="I19" i="7"/>
  <c r="I17" i="7"/>
  <c r="I15" i="7"/>
  <c r="I13" i="7"/>
  <c r="I11" i="7"/>
  <c r="I8" i="7"/>
  <c r="J111" i="7"/>
  <c r="K102" i="7" s="1"/>
  <c r="I95" i="7"/>
  <c r="L95" i="7"/>
  <c r="L99" i="7"/>
  <c r="I99" i="7"/>
  <c r="I102" i="7"/>
  <c r="L102" i="7"/>
  <c r="P103" i="7"/>
  <c r="N103" i="7"/>
  <c r="O104" i="7"/>
  <c r="N104" i="7"/>
  <c r="I106" i="7"/>
  <c r="L106" i="7"/>
  <c r="P107" i="7"/>
  <c r="N107" i="7"/>
  <c r="O108" i="7"/>
  <c r="N108" i="7"/>
  <c r="I110" i="7"/>
  <c r="L110" i="7"/>
  <c r="K144" i="7"/>
  <c r="L152" i="7"/>
  <c r="K91" i="7" l="1"/>
  <c r="K104" i="7"/>
  <c r="K108" i="7"/>
  <c r="K97" i="7"/>
  <c r="I152" i="7"/>
  <c r="I169" i="7"/>
  <c r="I53" i="7"/>
  <c r="I119" i="7"/>
  <c r="I86" i="7"/>
  <c r="I146" i="7"/>
  <c r="K110" i="7"/>
  <c r="I98" i="7"/>
  <c r="I94" i="7"/>
  <c r="I92" i="7"/>
  <c r="I90" i="7"/>
  <c r="I107" i="7"/>
  <c r="I103" i="7"/>
  <c r="I96" i="7"/>
  <c r="I93" i="7"/>
  <c r="I111" i="7"/>
  <c r="I109" i="7"/>
  <c r="I105" i="7"/>
  <c r="L111" i="7"/>
  <c r="K93" i="7"/>
  <c r="K107" i="7"/>
  <c r="K103" i="7"/>
  <c r="K98" i="7"/>
  <c r="K96" i="7"/>
  <c r="K94" i="7"/>
  <c r="K92" i="7"/>
  <c r="K109" i="7"/>
  <c r="K105" i="7"/>
  <c r="K99" i="7"/>
  <c r="K90" i="7"/>
  <c r="K106" i="7"/>
  <c r="K95" i="7"/>
  <c r="J170" i="7"/>
  <c r="K53" i="7" l="1"/>
  <c r="K119" i="7"/>
  <c r="K86" i="7"/>
  <c r="K152" i="7"/>
  <c r="K146" i="7"/>
  <c r="K21" i="7"/>
  <c r="K169" i="7"/>
  <c r="K1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66" authorId="0" shapeId="0" xr:uid="{00000000-0006-0000-0000-000001000000}">
      <text>
        <r>
          <rPr>
            <b/>
            <sz val="9"/>
            <rFont val="Times New Roman"/>
            <family val="1"/>
          </rPr>
          <t>User:</t>
        </r>
        <r>
          <rPr>
            <sz val="9"/>
            <rFont val="Times New Roman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<sst xmlns="http://schemas.openxmlformats.org/spreadsheetml/2006/main" count="360" uniqueCount="244">
  <si>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</si>
  <si>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</si>
  <si>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</si>
  <si>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</si>
  <si>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</si>
  <si>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</si>
  <si>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</si>
  <si>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</si>
  <si>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</si>
  <si>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</si>
  <si>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</si>
  <si>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</si>
  <si>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</si>
  <si>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</si>
  <si>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</si>
  <si>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</si>
  <si>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</si>
  <si>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</si>
  <si>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</si>
  <si>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</si>
  <si>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</si>
  <si>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</si>
  <si>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</si>
  <si>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</si>
  <si>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</si>
  <si>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</si>
  <si>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</si>
  <si>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</si>
  <si>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</si>
  <si>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</si>
  <si>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</si>
  <si>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</si>
  <si>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</si>
  <si>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</si>
  <si>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</si>
  <si>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</si>
  <si>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</si>
  <si>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</si>
  <si>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</si>
  <si>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</si>
  <si>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</si>
  <si>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</si>
  <si>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</si>
  <si>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</si>
  <si>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</si>
  <si>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499,674,332.62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</si>
  <si>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</si>
  <si>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</si>
  <si>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</si>
  <si>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</si>
  <si>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</si>
  <si>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</si>
  <si>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</si>
  <si>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</si>
  <si>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</si>
  <si>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</si>
  <si>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</si>
  <si>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</si>
  <si>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</si>
  <si>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</si>
  <si>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</si>
  <si>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</si>
  <si>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</si>
  <si>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</si>
  <si>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</si>
  <si>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</si>
  <si>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</si>
  <si>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</si>
  <si>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</si>
  <si>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</si>
  <si>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</si>
  <si>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</si>
  <si>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</si>
  <si>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</si>
  <si>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</si>
  <si>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</si>
  <si>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</si>
  <si>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</si>
  <si>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</si>
  <si>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</si>
  <si>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</si>
  <si>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</si>
  <si>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</si>
  <si>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</si>
  <si>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</si>
  <si>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</si>
  <si>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</si>
  <si>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</si>
  <si>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</si>
  <si>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</si>
  <si>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</si>
  <si>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</si>
  <si>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</si>
  <si>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</si>
  <si>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</si>
  <si>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</si>
  <si>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</si>
  <si>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</si>
  <si>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</si>
  <si>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</si>
  <si>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</si>
  <si>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</si>
  <si>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</si>
  <si>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</si>
  <si>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</si>
  <si>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</si>
  <si>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</si>
  <si>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</si>
  <si>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</si>
  <si>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</si>
  <si>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</si>
  <si>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</si>
  <si>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</si>
  <si>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</si>
  <si>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359,969,041.68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</si>
  <si>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</si>
  <si>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</si>
  <si>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</si>
  <si>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</si>
  <si>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</si>
  <si>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</si>
  <si>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</si>
  <si>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</si>
  <si>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</si>
  <si>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</si>
  <si>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</si>
  <si>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</si>
  <si>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</si>
  <si>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</si>
  <si>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</si>
  <si>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22,336,056,899.44</t>
  </si>
  <si>
    <t>218,497,194.46</t>
  </si>
  <si>
    <t>192,652,728.17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</si>
  <si>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</si>
  <si>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</si>
  <si>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</si>
  <si>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</si>
  <si>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</si>
  <si>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Utica Custodian</t>
  </si>
  <si>
    <t>Utica Capital Limited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</si>
  <si>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</si>
  <si>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</si>
  <si>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</si>
  <si>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</si>
  <si>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</si>
  <si>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</si>
  <si>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</si>
  <si>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</si>
  <si>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</si>
  <si>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</si>
  <si>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</si>
  <si>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</si>
  <si>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</si>
  <si>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</si>
  <si>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</si>
  <si>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</si>
  <si>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</si>
  <si>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</si>
  <si>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</si>
  <si>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</si>
  <si>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</si>
  <si>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</si>
  <si>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</si>
  <si>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</si>
  <si>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</si>
  <si>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</si>
  <si>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</si>
  <si>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</si>
  <si>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</si>
  <si>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</si>
  <si>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</si>
  <si>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</si>
  <si>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</si>
  <si>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</si>
  <si>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</si>
  <si>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</si>
  <si>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</si>
  <si>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</si>
  <si>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</si>
  <si>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</si>
  <si>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</si>
  <si>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</si>
  <si>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</si>
  <si>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</si>
  <si>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</si>
  <si>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</si>
  <si>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</si>
  <si>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</si>
  <si>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</si>
  <si>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</si>
  <si>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</si>
  <si>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</si>
  <si>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</si>
  <si>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</si>
  <si>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</si>
  <si>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</si>
  <si>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</si>
  <si>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</si>
  <si>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</si>
  <si>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</si>
  <si>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</si>
  <si>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</si>
  <si>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</si>
  <si>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1,508.00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</si>
  <si>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</si>
  <si>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</si>
  <si>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</si>
  <si>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</si>
  <si>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</si>
  <si>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</si>
  <si>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</si>
  <si>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</si>
  <si>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</si>
  <si>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</si>
  <si>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</si>
  <si>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</si>
  <si>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46,983,951 16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</si>
  <si>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</si>
  <si>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</si>
  <si>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</si>
  <si>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</si>
  <si>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</si>
  <si>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</si>
  <si>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</si>
  <si>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</si>
  <si>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MONTHLY UPDATE ON REGISTERED MUTUAL FUNDS AS AT 31TH OCTOBER, 2023</t>
  </si>
  <si>
    <t>2,496,0139,50.29</t>
  </si>
  <si>
    <t>16,537,975.90</t>
  </si>
  <si>
    <r>
      <t>US$/NG</t>
    </r>
    <r>
      <rPr>
        <strike/>
        <sz val="10"/>
        <color theme="0"/>
        <rFont val="Times New Roman"/>
        <family val="1"/>
      </rPr>
      <t>N</t>
    </r>
    <r>
      <rPr>
        <sz val="10"/>
        <color theme="0"/>
        <rFont val="Times New Roman"/>
        <family val="1"/>
      </rPr>
      <t xml:space="preserve"> I&amp;E as at 31st October, 2023 = 825.494</t>
    </r>
  </si>
  <si>
    <t>Cowry Fixed Income Fund</t>
  </si>
  <si>
    <t>Cowry Equity Fund</t>
  </si>
  <si>
    <t>Cowry Balanced Fund</t>
  </si>
  <si>
    <t>Housing Solution Fund</t>
  </si>
  <si>
    <t>Fundco Capital Managers Limited</t>
  </si>
  <si>
    <t>PACAM Equity Fund</t>
  </si>
  <si>
    <t>NET ASSET VALUE (N) PREVIOUS - SEPTEMBER</t>
  </si>
  <si>
    <t>FBN Bond Fund</t>
  </si>
  <si>
    <t>95</t>
  </si>
  <si>
    <t>Marble Halal Commodities Fund</t>
  </si>
  <si>
    <t>Marble Capital Limited</t>
  </si>
  <si>
    <t>% OF TOTAL</t>
  </si>
  <si>
    <t>September 2023</t>
  </si>
  <si>
    <t>October 2023</t>
  </si>
  <si>
    <t>The chart above shows that the Money Market Fund has the highest share of the Aggregate Net Asset Value (NAV) at 42.88%, followed by Dollar Fund (Eurobonds and Fixed Income) with 32.16%, Bond/Fixed Income Fund at 14.77%, Real Estate Investment Trust at 4.61%.  Next is Shari'ah Compliant Fund at 2.30%, Balanced Fund at 1.97%, Equity Fund at 1.12%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</si>
</sst>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</numFmts>
  <fonts count="39">
    <font>
      <sz val="11"/>
      <color theme="1"/>
      <name val="Calibri"/>
      <charset val="134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0"/>
      <color indexed="8"/>
      <name val="Arial Narrow"/>
      <family val="2"/>
    </font>
    <font>
      <sz val="10"/>
      <color theme="1"/>
      <name val="Futura Bk BT"/>
      <charset val="134"/>
    </font>
    <font>
      <strike/>
      <sz val="10"/>
      <color theme="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8"/>
      <name val="Arial Narrow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name val="Calibri"/>
      <charset val="134"/>
      <scheme val="minor"/>
    </font>
    <font>
      <b/>
      <sz val="32"/>
      <color indexed="9"/>
      <name val="Segoe UI Black"/>
      <family val="2"/>
    </font>
    <font>
      <b/>
      <sz val="8"/>
      <color rgb="FF00B050"/>
      <name val="Century Gothic"/>
      <family val="2"/>
    </font>
    <font>
      <b/>
      <sz val="9"/>
      <name val="Century Gothic"/>
      <family val="2"/>
    </font>
    <font>
      <vertAlign val="superscript"/>
      <sz val="8"/>
      <name val="Century Gothic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8">
    <xf numFmtId="0" fontId="0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5" fillId="0" borderId="0"/>
    <xf numFmtId="0" fontId="19" fillId="0" borderId="0"/>
    <xf numFmtId="9" fontId="23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165" fontId="1" fillId="0" borderId="0" xfId="3" applyNumberFormat="1" applyFont="1"/>
    <xf numFmtId="43" fontId="1" fillId="0" borderId="0" xfId="3" applyFont="1"/>
    <xf numFmtId="4" fontId="5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right"/>
    </xf>
    <xf numFmtId="166" fontId="6" fillId="2" borderId="2" xfId="0" applyNumberFormat="1" applyFont="1" applyFill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2" fillId="0" borderId="0" xfId="0" applyFont="1" applyAlignment="1">
      <alignment horizontal="right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164" fontId="7" fillId="2" borderId="0" xfId="1" applyFont="1" applyFill="1" applyBorder="1" applyAlignment="1">
      <alignment horizontal="right" vertical="top" wrapText="1"/>
    </xf>
    <xf numFmtId="164" fontId="5" fillId="2" borderId="0" xfId="1" applyFont="1" applyFill="1" applyBorder="1" applyAlignment="1">
      <alignment horizontal="right" vertical="top" wrapText="1"/>
    </xf>
    <xf numFmtId="0" fontId="10" fillId="0" borderId="0" xfId="0" applyFont="1"/>
    <xf numFmtId="0" fontId="11" fillId="0" borderId="0" xfId="0" applyFont="1"/>
    <xf numFmtId="0" fontId="16" fillId="2" borderId="0" xfId="0" applyFont="1" applyFill="1"/>
    <xf numFmtId="0" fontId="11" fillId="2" borderId="0" xfId="0" applyFont="1" applyFill="1"/>
    <xf numFmtId="164" fontId="11" fillId="2" borderId="0" xfId="1" applyFont="1" applyFill="1" applyBorder="1" applyAlignment="1"/>
    <xf numFmtId="0" fontId="17" fillId="8" borderId="0" xfId="0" applyFont="1" applyFill="1" applyAlignment="1">
      <alignment horizontal="right" vertical="center"/>
    </xf>
    <xf numFmtId="0" fontId="17" fillId="8" borderId="0" xfId="0" applyFont="1" applyFill="1" applyAlignment="1">
      <alignment horizontal="left"/>
    </xf>
    <xf numFmtId="0" fontId="18" fillId="2" borderId="0" xfId="0" applyFont="1" applyFill="1"/>
    <xf numFmtId="166" fontId="14" fillId="2" borderId="0" xfId="0" applyNumberFormat="1" applyFont="1" applyFill="1"/>
    <xf numFmtId="168" fontId="14" fillId="2" borderId="0" xfId="0" applyNumberFormat="1" applyFont="1" applyFill="1"/>
    <xf numFmtId="0" fontId="24" fillId="0" borderId="0" xfId="0" applyFont="1"/>
    <xf numFmtId="164" fontId="27" fillId="2" borderId="2" xfId="1" applyFont="1" applyFill="1" applyBorder="1" applyAlignment="1"/>
    <xf numFmtId="166" fontId="27" fillId="2" borderId="2" xfId="0" applyNumberFormat="1" applyFont="1" applyFill="1" applyBorder="1"/>
    <xf numFmtId="164" fontId="27" fillId="2" borderId="2" xfId="1" applyFont="1" applyFill="1" applyBorder="1"/>
    <xf numFmtId="49" fontId="26" fillId="2" borderId="2" xfId="0" applyNumberFormat="1" applyFont="1" applyFill="1" applyBorder="1" applyAlignment="1">
      <alignment wrapText="1"/>
    </xf>
    <xf numFmtId="49" fontId="26" fillId="2" borderId="2" xfId="0" applyNumberFormat="1" applyFont="1" applyFill="1" applyBorder="1"/>
    <xf numFmtId="166" fontId="26" fillId="2" borderId="2" xfId="0" applyNumberFormat="1" applyFont="1" applyFill="1" applyBorder="1" applyAlignment="1">
      <alignment horizontal="right"/>
    </xf>
    <xf numFmtId="166" fontId="26" fillId="2" borderId="2" xfId="0" applyNumberFormat="1" applyFont="1" applyFill="1" applyBorder="1"/>
    <xf numFmtId="164" fontId="26" fillId="2" borderId="2" xfId="1" applyFont="1" applyFill="1" applyBorder="1"/>
    <xf numFmtId="164" fontId="26" fillId="2" borderId="2" xfId="1" applyFont="1" applyFill="1" applyBorder="1" applyAlignment="1">
      <alignment horizontal="right"/>
    </xf>
    <xf numFmtId="49" fontId="26" fillId="2" borderId="2" xfId="0" applyNumberFormat="1" applyFont="1" applyFill="1" applyBorder="1" applyAlignment="1">
      <alignment vertical="top" wrapText="1"/>
    </xf>
    <xf numFmtId="164" fontId="27" fillId="2" borderId="2" xfId="1" applyFont="1" applyFill="1" applyBorder="1" applyAlignment="1">
      <alignment horizontal="right"/>
    </xf>
    <xf numFmtId="10" fontId="26" fillId="2" borderId="2" xfId="0" applyNumberFormat="1" applyFont="1" applyFill="1" applyBorder="1" applyAlignment="1">
      <alignment horizontal="center"/>
    </xf>
    <xf numFmtId="10" fontId="26" fillId="7" borderId="2" xfId="0" applyNumberFormat="1" applyFont="1" applyFill="1" applyBorder="1" applyAlignment="1">
      <alignment horizontal="center" vertical="center"/>
    </xf>
    <xf numFmtId="166" fontId="26" fillId="7" borderId="2" xfId="0" applyNumberFormat="1" applyFont="1" applyFill="1" applyBorder="1" applyAlignment="1">
      <alignment horizontal="right" vertical="center"/>
    </xf>
    <xf numFmtId="4" fontId="26" fillId="2" borderId="2" xfId="0" applyNumberFormat="1" applyFont="1" applyFill="1" applyBorder="1"/>
    <xf numFmtId="164" fontId="26" fillId="2" borderId="2" xfId="1" applyFont="1" applyFill="1" applyBorder="1" applyAlignment="1"/>
    <xf numFmtId="166" fontId="26" fillId="2" borderId="2" xfId="0" applyNumberFormat="1" applyFont="1" applyFill="1" applyBorder="1" applyAlignment="1">
      <alignment horizontal="left"/>
    </xf>
    <xf numFmtId="166" fontId="26" fillId="7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/>
    <xf numFmtId="164" fontId="26" fillId="2" borderId="2" xfId="1" applyFont="1" applyFill="1" applyBorder="1" applyAlignment="1">
      <alignment wrapText="1"/>
    </xf>
    <xf numFmtId="164" fontId="26" fillId="2" borderId="2" xfId="1" applyFont="1" applyFill="1" applyBorder="1" applyAlignment="1">
      <alignment horizontal="left"/>
    </xf>
    <xf numFmtId="166" fontId="26" fillId="2" borderId="2" xfId="0" applyNumberFormat="1" applyFont="1" applyFill="1" applyBorder="1" applyAlignment="1">
      <alignment horizontal="right" wrapText="1"/>
    </xf>
    <xf numFmtId="164" fontId="27" fillId="5" borderId="2" xfId="1" applyFont="1" applyFill="1" applyBorder="1"/>
    <xf numFmtId="49" fontId="26" fillId="2" borderId="2" xfId="0" applyNumberFormat="1" applyFont="1" applyFill="1" applyBorder="1" applyAlignment="1">
      <alignment vertical="center" wrapText="1"/>
    </xf>
    <xf numFmtId="4" fontId="26" fillId="2" borderId="2" xfId="0" applyNumberFormat="1" applyFont="1" applyFill="1" applyBorder="1" applyAlignment="1">
      <alignment wrapText="1"/>
    </xf>
    <xf numFmtId="0" fontId="26" fillId="2" borderId="2" xfId="0" applyFont="1" applyFill="1" applyBorder="1" applyAlignment="1">
      <alignment wrapText="1"/>
    </xf>
    <xf numFmtId="49" fontId="26" fillId="2" borderId="2" xfId="0" applyNumberFormat="1" applyFont="1" applyFill="1" applyBorder="1" applyAlignment="1">
      <alignment horizontal="center" vertical="top" wrapText="1"/>
    </xf>
    <xf numFmtId="164" fontId="26" fillId="2" borderId="2" xfId="1" applyFont="1" applyFill="1" applyBorder="1" applyAlignment="1">
      <alignment horizontal="right" vertical="top" wrapText="1"/>
    </xf>
    <xf numFmtId="164" fontId="26" fillId="2" borderId="2" xfId="1" applyFont="1" applyFill="1" applyBorder="1" applyAlignment="1">
      <alignment horizontal="center" vertical="top" wrapText="1"/>
    </xf>
    <xf numFmtId="49" fontId="26" fillId="2" borderId="2" xfId="0" applyNumberFormat="1" applyFont="1" applyFill="1" applyBorder="1" applyAlignment="1">
      <alignment horizontal="right"/>
    </xf>
    <xf numFmtId="10" fontId="26" fillId="7" borderId="2" xfId="0" applyNumberFormat="1" applyFont="1" applyFill="1" applyBorder="1" applyAlignment="1">
      <alignment horizontal="right" vertical="center"/>
    </xf>
    <xf numFmtId="10" fontId="26" fillId="5" borderId="2" xfId="0" applyNumberFormat="1" applyFont="1" applyFill="1" applyBorder="1"/>
    <xf numFmtId="10" fontId="26" fillId="5" borderId="2" xfId="0" applyNumberFormat="1" applyFont="1" applyFill="1" applyBorder="1" applyAlignment="1">
      <alignment horizontal="right" vertical="center"/>
    </xf>
    <xf numFmtId="166" fontId="26" fillId="5" borderId="2" xfId="0" applyNumberFormat="1" applyFont="1" applyFill="1" applyBorder="1" applyAlignment="1">
      <alignment horizontal="right" vertical="center"/>
    </xf>
    <xf numFmtId="164" fontId="26" fillId="5" borderId="2" xfId="1" applyFont="1" applyFill="1" applyBorder="1"/>
    <xf numFmtId="49" fontId="12" fillId="5" borderId="2" xfId="0" applyNumberFormat="1" applyFont="1" applyFill="1" applyBorder="1" applyAlignment="1">
      <alignment horizontal="center" vertical="top" wrapText="1"/>
    </xf>
    <xf numFmtId="164" fontId="12" fillId="5" borderId="2" xfId="1" applyFont="1" applyFill="1" applyBorder="1" applyAlignment="1">
      <alignment horizontal="center" vertical="top" wrapText="1"/>
    </xf>
    <xf numFmtId="43" fontId="26" fillId="2" borderId="2" xfId="3" applyFont="1" applyFill="1" applyBorder="1"/>
    <xf numFmtId="10" fontId="26" fillId="9" borderId="2" xfId="0" applyNumberFormat="1" applyFont="1" applyFill="1" applyBorder="1" applyAlignment="1">
      <alignment horizontal="center" vertical="center"/>
    </xf>
    <xf numFmtId="166" fontId="26" fillId="9" borderId="2" xfId="0" applyNumberFormat="1" applyFont="1" applyFill="1" applyBorder="1" applyAlignment="1">
      <alignment horizontal="right" vertical="center"/>
    </xf>
    <xf numFmtId="164" fontId="26" fillId="0" borderId="2" xfId="1" applyFont="1" applyBorder="1" applyAlignment="1">
      <alignment horizontal="right"/>
    </xf>
    <xf numFmtId="164" fontId="26" fillId="0" borderId="2" xfId="1" applyFont="1" applyBorder="1"/>
    <xf numFmtId="164" fontId="26" fillId="0" borderId="2" xfId="1" applyFont="1" applyBorder="1" applyAlignment="1">
      <alignment horizontal="right" vertical="center"/>
    </xf>
    <xf numFmtId="164" fontId="26" fillId="2" borderId="2" xfId="1" applyFont="1" applyFill="1" applyBorder="1" applyAlignment="1">
      <alignment horizontal="right" wrapText="1"/>
    </xf>
    <xf numFmtId="166" fontId="13" fillId="5" borderId="2" xfId="0" applyNumberFormat="1" applyFont="1" applyFill="1" applyBorder="1"/>
    <xf numFmtId="10" fontId="13" fillId="5" borderId="2" xfId="0" applyNumberFormat="1" applyFont="1" applyFill="1" applyBorder="1"/>
    <xf numFmtId="16" fontId="28" fillId="2" borderId="0" xfId="0" applyNumberFormat="1" applyFont="1" applyFill="1"/>
    <xf numFmtId="164" fontId="25" fillId="2" borderId="0" xfId="1" applyFont="1" applyFill="1" applyBorder="1"/>
    <xf numFmtId="164" fontId="10" fillId="0" borderId="0" xfId="1" applyFont="1" applyBorder="1"/>
    <xf numFmtId="4" fontId="29" fillId="2" borderId="0" xfId="0" applyNumberFormat="1" applyFont="1" applyFill="1"/>
    <xf numFmtId="166" fontId="26" fillId="2" borderId="0" xfId="0" applyNumberFormat="1" applyFont="1" applyFill="1"/>
    <xf numFmtId="0" fontId="30" fillId="0" borderId="0" xfId="0" applyFont="1"/>
    <xf numFmtId="166" fontId="27" fillId="2" borderId="2" xfId="0" applyNumberFormat="1" applyFont="1" applyFill="1" applyBorder="1" applyAlignment="1">
      <alignment horizontal="left"/>
    </xf>
    <xf numFmtId="10" fontId="32" fillId="2" borderId="2" xfId="0" applyNumberFormat="1" applyFont="1" applyFill="1" applyBorder="1" applyAlignment="1">
      <alignment horizontal="center"/>
    </xf>
    <xf numFmtId="164" fontId="25" fillId="2" borderId="2" xfId="1" applyFont="1" applyFill="1" applyBorder="1" applyAlignment="1">
      <alignment horizontal="right" vertical="top" wrapText="1"/>
    </xf>
    <xf numFmtId="43" fontId="10" fillId="0" borderId="0" xfId="3" applyFont="1"/>
    <xf numFmtId="4" fontId="25" fillId="2" borderId="2" xfId="0" applyNumberFormat="1" applyFont="1" applyFill="1" applyBorder="1"/>
    <xf numFmtId="4" fontId="26" fillId="0" borderId="2" xfId="0" applyNumberFormat="1" applyFont="1" applyBorder="1"/>
    <xf numFmtId="3" fontId="26" fillId="0" borderId="2" xfId="0" applyNumberFormat="1" applyFont="1" applyBorder="1"/>
    <xf numFmtId="4" fontId="26" fillId="0" borderId="2" xfId="0" applyNumberFormat="1" applyFont="1" applyBorder="1" applyAlignment="1">
      <alignment horizontal="right"/>
    </xf>
    <xf numFmtId="164" fontId="26" fillId="6" borderId="2" xfId="0" applyNumberFormat="1" applyFont="1" applyFill="1" applyBorder="1"/>
    <xf numFmtId="166" fontId="26" fillId="6" borderId="2" xfId="0" applyNumberFormat="1" applyFont="1" applyFill="1" applyBorder="1" applyAlignment="1">
      <alignment horizontal="left"/>
    </xf>
    <xf numFmtId="164" fontId="26" fillId="0" borderId="2" xfId="1" applyFont="1" applyBorder="1" applyAlignment="1">
      <alignment vertical="center"/>
    </xf>
    <xf numFmtId="166" fontId="26" fillId="0" borderId="2" xfId="0" applyNumberFormat="1" applyFont="1" applyBorder="1"/>
    <xf numFmtId="166" fontId="26" fillId="6" borderId="2" xfId="0" applyNumberFormat="1" applyFont="1" applyFill="1" applyBorder="1"/>
    <xf numFmtId="164" fontId="26" fillId="0" borderId="2" xfId="1" applyFont="1" applyFill="1" applyBorder="1" applyAlignment="1">
      <alignment horizontal="right"/>
    </xf>
    <xf numFmtId="166" fontId="26" fillId="0" borderId="2" xfId="0" applyNumberFormat="1" applyFont="1" applyBorder="1" applyAlignment="1">
      <alignment horizontal="right"/>
    </xf>
    <xf numFmtId="4" fontId="34" fillId="0" borderId="2" xfId="0" applyNumberFormat="1" applyFont="1" applyBorder="1" applyAlignment="1">
      <alignment horizontal="right"/>
    </xf>
    <xf numFmtId="3" fontId="26" fillId="0" borderId="2" xfId="0" applyNumberFormat="1" applyFont="1" applyBorder="1" applyAlignment="1">
      <alignment vertical="center"/>
    </xf>
    <xf numFmtId="4" fontId="26" fillId="0" borderId="2" xfId="0" applyNumberFormat="1" applyFont="1" applyBorder="1" applyAlignment="1">
      <alignment horizontal="right" vertical="center"/>
    </xf>
    <xf numFmtId="164" fontId="26" fillId="6" borderId="2" xfId="1" applyFont="1" applyFill="1" applyBorder="1" applyAlignment="1">
      <alignment horizontal="right"/>
    </xf>
    <xf numFmtId="4" fontId="26" fillId="0" borderId="2" xfId="0" applyNumberFormat="1" applyFont="1" applyBorder="1" applyAlignment="1">
      <alignment vertical="center"/>
    </xf>
    <xf numFmtId="0" fontId="26" fillId="0" borderId="2" xfId="0" applyFont="1" applyBorder="1"/>
    <xf numFmtId="164" fontId="26" fillId="0" borderId="2" xfId="1" applyFont="1" applyBorder="1" applyAlignment="1"/>
    <xf numFmtId="4" fontId="26" fillId="2" borderId="2" xfId="0" applyNumberFormat="1" applyFont="1" applyFill="1" applyBorder="1" applyAlignment="1">
      <alignment horizontal="right"/>
    </xf>
    <xf numFmtId="3" fontId="26" fillId="2" borderId="2" xfId="0" applyNumberFormat="1" applyFont="1" applyFill="1" applyBorder="1"/>
    <xf numFmtId="165" fontId="26" fillId="2" borderId="2" xfId="0" applyNumberFormat="1" applyFont="1" applyFill="1" applyBorder="1"/>
    <xf numFmtId="165" fontId="26" fillId="0" borderId="2" xfId="0" applyNumberFormat="1" applyFont="1" applyBorder="1"/>
    <xf numFmtId="0" fontId="35" fillId="0" borderId="2" xfId="0" applyFont="1" applyBorder="1" applyAlignment="1">
      <alignment horizontal="right"/>
    </xf>
    <xf numFmtId="16" fontId="35" fillId="2" borderId="2" xfId="0" quotePrefix="1" applyNumberFormat="1" applyFont="1" applyFill="1" applyBorder="1" applyAlignment="1">
      <alignment horizontal="right"/>
    </xf>
    <xf numFmtId="164" fontId="36" fillId="2" borderId="2" xfId="1" applyFont="1" applyFill="1" applyBorder="1" applyAlignment="1">
      <alignment horizontal="right" vertical="top" wrapText="1"/>
    </xf>
    <xf numFmtId="164" fontId="36" fillId="2" borderId="2" xfId="1" applyFont="1" applyFill="1" applyBorder="1"/>
    <xf numFmtId="4" fontId="36" fillId="2" borderId="2" xfId="0" applyNumberFormat="1" applyFont="1" applyFill="1" applyBorder="1"/>
    <xf numFmtId="4" fontId="36" fillId="2" borderId="2" xfId="0" applyNumberFormat="1" applyFont="1" applyFill="1" applyBorder="1" applyAlignment="1">
      <alignment horizontal="right"/>
    </xf>
    <xf numFmtId="166" fontId="37" fillId="2" borderId="2" xfId="0" applyNumberFormat="1" applyFont="1" applyFill="1" applyBorder="1"/>
    <xf numFmtId="49" fontId="27" fillId="2" borderId="2" xfId="0" applyNumberFormat="1" applyFont="1" applyFill="1" applyBorder="1" applyAlignment="1">
      <alignment horizontal="right"/>
    </xf>
    <xf numFmtId="49" fontId="13" fillId="5" borderId="2" xfId="0" applyNumberFormat="1" applyFont="1" applyFill="1" applyBorder="1" applyAlignment="1">
      <alignment horizontal="right"/>
    </xf>
    <xf numFmtId="167" fontId="26" fillId="2" borderId="2" xfId="0" applyNumberFormat="1" applyFont="1" applyFill="1" applyBorder="1" applyAlignment="1">
      <alignment horizontal="center" wrapText="1"/>
    </xf>
    <xf numFmtId="49" fontId="13" fillId="2" borderId="2" xfId="0" applyNumberFormat="1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center" wrapText="1"/>
    </xf>
    <xf numFmtId="49" fontId="26" fillId="2" borderId="2" xfId="0" applyNumberFormat="1" applyFont="1" applyFill="1" applyBorder="1" applyAlignment="1">
      <alignment horizontal="right"/>
    </xf>
    <xf numFmtId="49" fontId="26" fillId="2" borderId="2" xfId="0" applyNumberFormat="1" applyFont="1" applyFill="1" applyBorder="1" applyAlignment="1">
      <alignment horizontal="center" wrapText="1"/>
    </xf>
    <xf numFmtId="166" fontId="33" fillId="2" borderId="2" xfId="0" applyNumberFormat="1" applyFont="1" applyFill="1" applyBorder="1" applyAlignment="1">
      <alignment horizontal="center" wrapText="1"/>
    </xf>
    <xf numFmtId="49" fontId="31" fillId="4" borderId="3" xfId="0" applyNumberFormat="1" applyFont="1" applyFill="1" applyBorder="1" applyAlignment="1">
      <alignment horizontal="center"/>
    </xf>
    <xf numFmtId="49" fontId="31" fillId="4" borderId="4" xfId="0" applyNumberFormat="1" applyFont="1" applyFill="1" applyBorder="1" applyAlignment="1">
      <alignment horizontal="center"/>
    </xf>
    <xf numFmtId="49" fontId="31" fillId="4" borderId="5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 vertical="top" wrapText="1"/>
    </xf>
    <xf numFmtId="167" fontId="26" fillId="2" borderId="2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16" fontId="2" fillId="2" borderId="0" xfId="0" quotePrefix="1" applyNumberFormat="1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43" fontId="1" fillId="0" borderId="0" xfId="3" applyFont="1" applyBorder="1"/>
    <xf numFmtId="43" fontId="38" fillId="0" borderId="0" xfId="3" applyFont="1" applyBorder="1"/>
    <xf numFmtId="0" fontId="26" fillId="2" borderId="2" xfId="0" applyNumberFormat="1" applyFont="1" applyFill="1" applyBorder="1" applyAlignment="1">
      <alignment horizontal="center" wrapText="1"/>
    </xf>
    <xf numFmtId="0" fontId="26" fillId="2" borderId="2" xfId="0" applyNumberFormat="1" applyFont="1" applyFill="1" applyBorder="1" applyAlignment="1">
      <alignment horizontal="center" vertical="top" wrapText="1"/>
    </xf>
    <xf numFmtId="164" fontId="26" fillId="0" borderId="2" xfId="1" applyFont="1" applyBorder="1" applyAlignment="1">
      <alignment vertical="center" wrapText="1"/>
    </xf>
  </cellXfs>
  <cellStyles count="8">
    <cellStyle name="Comma" xfId="1" builtinId="3"/>
    <cellStyle name="Comma 10 13" xfId="2" xr:uid="{00000000-0005-0000-0000-000001000000}"/>
    <cellStyle name="Comma 2" xfId="3" xr:uid="{00000000-0005-0000-0000-000002000000}"/>
    <cellStyle name="Comma 3 2" xfId="4" xr:uid="{00000000-0005-0000-0000-000003000000}"/>
    <cellStyle name="Normal" xfId="0" builtinId="0"/>
    <cellStyle name="Normal 2" xfId="5" xr:uid="{00000000-0005-0000-0000-000006000000}"/>
    <cellStyle name="Normal 27 2" xfId="6" xr:uid="{00000000-0005-0000-0000-000007000000}"/>
    <cellStyle name="Percent 2 2" xfId="7" xr:uid="{00000000-0005-0000-0000-000008000000}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September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22.305170580120002</c:v>
                </c:pt>
                <c:pt idx="1">
                  <c:v>895.47002369608992</c:v>
                </c:pt>
                <c:pt idx="2">
                  <c:v>300.77220794251002</c:v>
                </c:pt>
                <c:pt idx="3">
                  <c:v>590.41468159443093</c:v>
                </c:pt>
                <c:pt idx="4">
                  <c:v>92.422244214649993</c:v>
                </c:pt>
                <c:pt idx="5">
                  <c:v>39.942138650640004</c:v>
                </c:pt>
                <c:pt idx="6">
                  <c:v>3.8688455016300001</c:v>
                </c:pt>
                <c:pt idx="7">
                  <c:v>45.423108829429999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2-4F59-9799-3FC2A9311C0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October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22.54790675089</c:v>
                </c:pt>
                <c:pt idx="1">
                  <c:v>864.77026955073995</c:v>
                </c:pt>
                <c:pt idx="2">
                  <c:v>297.86882694543999</c:v>
                </c:pt>
                <c:pt idx="3">
                  <c:v>648.61294131015234</c:v>
                </c:pt>
                <c:pt idx="4">
                  <c:v>92.89143036821001</c:v>
                </c:pt>
                <c:pt idx="5">
                  <c:v>39.71452184284999</c:v>
                </c:pt>
                <c:pt idx="6">
                  <c:v>3.89449754942</c:v>
                </c:pt>
                <c:pt idx="7">
                  <c:v>46.293023793199723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2-4F59-9799-3FC2A9311C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October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90-4ADD-998C-1C758D9C9E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90-4ADD-998C-1C758D9C9EF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90-4ADD-998C-1C758D9C9EF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490-4ADD-998C-1C758D9C9EF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490-4ADD-998C-1C758D9C9EF5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490-4ADD-998C-1C758D9C9E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490-4ADD-998C-1C758D9C9EF5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490-4ADD-998C-1C758D9C9EF5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90-4ADD-998C-1C758D9C9EF5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90-4ADD-998C-1C758D9C9EF5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90-4ADD-998C-1C758D9C9EF5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90-4ADD-998C-1C758D9C9EF5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0-4ADD-998C-1C758D9C9EF5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90-4ADD-998C-1C758D9C9EF5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90-4ADD-998C-1C758D9C9EF5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90-4ADD-998C-1C758D9C9EF5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3894497549.4200001</c:v>
                </c:pt>
                <c:pt idx="1">
                  <c:v>22547906750.889999</c:v>
                </c:pt>
                <c:pt idx="2" formatCode="#,##0.00">
                  <c:v>39714521842.849991</c:v>
                </c:pt>
                <c:pt idx="3" formatCode="#,##0.00">
                  <c:v>46293023793.199722</c:v>
                </c:pt>
                <c:pt idx="4" formatCode="#,##0.00">
                  <c:v>92891430368.210007</c:v>
                </c:pt>
                <c:pt idx="5" formatCode="#,##0.00">
                  <c:v>297868826945.44</c:v>
                </c:pt>
                <c:pt idx="6" formatCode="#,##0.00">
                  <c:v>648612941310.15234</c:v>
                </c:pt>
                <c:pt idx="7" formatCode="&quot; &quot;* #,##0.00&quot; &quot;;&quot;-&quot;* #,##0.00&quot; &quot;;&quot; &quot;* &quot;-&quot;??&quot; &quot;">
                  <c:v>864770269550.73999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490-4ADD-998C-1C758D9C9EF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41367</c:v>
                </c:pt>
                <c:pt idx="1">
                  <c:v>242946</c:v>
                </c:pt>
                <c:pt idx="2">
                  <c:v>43990</c:v>
                </c:pt>
                <c:pt idx="3">
                  <c:v>12475</c:v>
                </c:pt>
                <c:pt idx="4">
                  <c:v>216982</c:v>
                </c:pt>
                <c:pt idx="5">
                  <c:v>48158</c:v>
                </c:pt>
                <c:pt idx="6">
                  <c:v>10144</c:v>
                </c:pt>
                <c:pt idx="7">
                  <c:v>25278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F-4107-98BC-F4E846125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120015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2.75"/>
  <cols>
    <col min="1" max="1" width="6.7109375" style="23" customWidth="1"/>
    <col min="2" max="2" width="44" style="23" customWidth="1"/>
    <col min="3" max="3" width="49.140625" style="23" customWidth="1"/>
    <col min="4" max="4" width="25.5703125" style="23" customWidth="1"/>
    <col min="5" max="5" width="24.28515625" style="23" customWidth="1"/>
    <col min="6" max="6" width="19.7109375" style="23" customWidth="1"/>
    <col min="7" max="7" width="20" style="23" customWidth="1"/>
    <col min="8" max="8" width="22" style="23" customWidth="1"/>
    <col min="9" max="9" width="9" style="23"/>
    <col min="10" max="10" width="23" style="23" customWidth="1"/>
    <col min="11" max="11" width="9" style="23"/>
    <col min="12" max="12" width="11.5703125" style="23" customWidth="1"/>
    <col min="13" max="13" width="12.140625" style="23" customWidth="1"/>
    <col min="14" max="14" width="12.5703125" style="23" customWidth="1"/>
    <col min="15" max="15" width="12.28515625" style="23" customWidth="1"/>
    <col min="16" max="16" width="12.7109375" style="23" customWidth="1"/>
    <col min="17" max="18" width="14.42578125" style="23" customWidth="1"/>
    <col min="19" max="19" width="13.7109375" style="23" customWidth="1"/>
    <col min="20" max="21" width="20.140625" style="23" customWidth="1"/>
    <col min="22" max="16384" width="9" style="23"/>
  </cols>
  <sheetData>
    <row r="1" spans="1:22" ht="40.5" customHeight="1">
      <c r="A1" s="126" t="s">
        <v>225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</row>
    <row r="2" spans="1:22" ht="48" customHeight="1">
      <c r="A2" s="68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9" t="s">
        <v>6</v>
      </c>
      <c r="H2" s="68" t="s">
        <v>235</v>
      </c>
      <c r="I2" s="68" t="s">
        <v>7</v>
      </c>
      <c r="J2" s="68" t="s">
        <v>8</v>
      </c>
      <c r="K2" s="68" t="s">
        <v>240</v>
      </c>
      <c r="L2" s="68" t="s">
        <v>9</v>
      </c>
      <c r="M2" s="68" t="s">
        <v>10</v>
      </c>
      <c r="N2" s="68" t="s">
        <v>11</v>
      </c>
      <c r="O2" s="68" t="s">
        <v>12</v>
      </c>
      <c r="P2" s="68" t="s">
        <v>13</v>
      </c>
      <c r="Q2" s="68" t="s">
        <v>14</v>
      </c>
      <c r="R2" s="68" t="s">
        <v>15</v>
      </c>
      <c r="S2" s="68" t="s">
        <v>16</v>
      </c>
      <c r="T2" s="68" t="s">
        <v>17</v>
      </c>
      <c r="U2" s="68" t="s">
        <v>18</v>
      </c>
    </row>
    <row r="3" spans="1:22" ht="6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2" ht="17.25" customHeight="1">
      <c r="A4" s="129" t="s">
        <v>19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2" ht="15" customHeight="1">
      <c r="A5" s="136">
        <v>1</v>
      </c>
      <c r="B5" s="36" t="s">
        <v>20</v>
      </c>
      <c r="C5" s="36" t="s">
        <v>21</v>
      </c>
      <c r="D5" s="47">
        <v>710035840.22000003</v>
      </c>
      <c r="E5" s="47">
        <v>2930500.07</v>
      </c>
      <c r="F5" s="47">
        <v>1335555.6599999999</v>
      </c>
      <c r="G5" s="48">
        <v>1594944.41</v>
      </c>
      <c r="H5" s="49">
        <v>679533340.46000004</v>
      </c>
      <c r="I5" s="44">
        <f t="shared" ref="I5:I20" si="0">(H5/$H$21)</f>
        <v>3.0465283285735091E-2</v>
      </c>
      <c r="J5" s="49">
        <v>705761438.03999996</v>
      </c>
      <c r="K5" s="44">
        <f t="shared" ref="K5:K20" si="1">(J5/$J$21)</f>
        <v>3.130053028147025E-2</v>
      </c>
      <c r="L5" s="44">
        <f t="shared" ref="L5:L21" si="2">((J5-H5)/H5)</f>
        <v>3.8597219618753661E-2</v>
      </c>
      <c r="M5" s="45">
        <f>(F5/J5)</f>
        <v>1.8923613391361085E-3</v>
      </c>
      <c r="N5" s="45">
        <f>G5/J5</f>
        <v>2.2598916914891068E-3</v>
      </c>
      <c r="O5" s="46">
        <f>J5/U5</f>
        <v>281.03920071142403</v>
      </c>
      <c r="P5" s="46">
        <f>G5/U5</f>
        <v>0.6351181546704866</v>
      </c>
      <c r="Q5" s="40">
        <v>281.03919999999999</v>
      </c>
      <c r="R5" s="40">
        <v>284.60390000000001</v>
      </c>
      <c r="S5" s="40">
        <v>1725</v>
      </c>
      <c r="T5" s="40">
        <v>2509392.83</v>
      </c>
      <c r="U5" s="40">
        <v>2511256.21</v>
      </c>
    </row>
    <row r="6" spans="1:22" ht="14.25">
      <c r="A6" s="136">
        <v>2</v>
      </c>
      <c r="B6" s="36" t="s">
        <v>22</v>
      </c>
      <c r="C6" s="36" t="s">
        <v>23</v>
      </c>
      <c r="D6" s="47">
        <v>489768650.87</v>
      </c>
      <c r="E6" s="47">
        <v>1462458.72</v>
      </c>
      <c r="F6" s="47">
        <v>5952373.2699999996</v>
      </c>
      <c r="G6" s="48">
        <v>-4489914.55</v>
      </c>
      <c r="H6" s="49">
        <v>493784775.63</v>
      </c>
      <c r="I6" s="44">
        <f t="shared" si="0"/>
        <v>2.2137682106322786E-2</v>
      </c>
      <c r="J6" s="49">
        <v>487335131.87</v>
      </c>
      <c r="K6" s="44">
        <f t="shared" si="1"/>
        <v>2.1613320351822202E-2</v>
      </c>
      <c r="L6" s="44">
        <f t="shared" si="2"/>
        <v>-1.3061649686892739E-2</v>
      </c>
      <c r="M6" s="45">
        <f t="shared" ref="M6:M20" si="3">(F6/J6)</f>
        <v>1.2214127159598739E-2</v>
      </c>
      <c r="N6" s="45">
        <f t="shared" ref="N6:N20" si="4">G6/J6</f>
        <v>-9.213196948825178E-3</v>
      </c>
      <c r="O6" s="46">
        <f t="shared" ref="O6:O20" si="5">J6/U6</f>
        <v>179.80766596061179</v>
      </c>
      <c r="P6" s="46">
        <f t="shared" ref="P6:P20" si="6">G6/U6</f>
        <v>-1.6566034394036853</v>
      </c>
      <c r="Q6" s="40">
        <v>182.3</v>
      </c>
      <c r="R6" s="40">
        <v>184.75</v>
      </c>
      <c r="S6" s="40">
        <v>281</v>
      </c>
      <c r="T6" s="40">
        <v>2710909.87</v>
      </c>
      <c r="U6" s="40">
        <v>2710313.43</v>
      </c>
    </row>
    <row r="7" spans="1:22" ht="14.25">
      <c r="A7" s="136">
        <v>3</v>
      </c>
      <c r="B7" s="36" t="s">
        <v>24</v>
      </c>
      <c r="C7" s="37" t="s">
        <v>25</v>
      </c>
      <c r="D7" s="90">
        <v>2590733215.3400002</v>
      </c>
      <c r="E7" s="90">
        <v>7004735.7699999996</v>
      </c>
      <c r="F7" s="90">
        <v>5748402.2000000002</v>
      </c>
      <c r="G7" s="90">
        <v>37907043.840000004</v>
      </c>
      <c r="H7" s="49">
        <v>3224715385</v>
      </c>
      <c r="I7" s="44">
        <f t="shared" si="0"/>
        <v>0.14457254982277973</v>
      </c>
      <c r="J7" s="91">
        <v>3185685313</v>
      </c>
      <c r="K7" s="44">
        <f t="shared" si="1"/>
        <v>0.14128519104658158</v>
      </c>
      <c r="L7" s="44">
        <f t="shared" si="2"/>
        <v>-1.210341606628332E-2</v>
      </c>
      <c r="M7" s="45">
        <f t="shared" si="3"/>
        <v>1.8044475945386638E-3</v>
      </c>
      <c r="N7" s="45">
        <f t="shared" si="4"/>
        <v>1.1899180275374552E-2</v>
      </c>
      <c r="O7" s="46">
        <f t="shared" si="5"/>
        <v>29.463815581801267</v>
      </c>
      <c r="P7" s="46">
        <f t="shared" si="6"/>
        <v>0.35059525320824303</v>
      </c>
      <c r="Q7" s="74">
        <v>29.315999999999999</v>
      </c>
      <c r="R7" s="74">
        <v>30.200399999999998</v>
      </c>
      <c r="S7" s="74">
        <v>819</v>
      </c>
      <c r="T7" s="74">
        <v>110815194</v>
      </c>
      <c r="U7" s="74">
        <v>108121954</v>
      </c>
    </row>
    <row r="8" spans="1:22" ht="14.25">
      <c r="A8" s="136">
        <v>4</v>
      </c>
      <c r="B8" s="56" t="s">
        <v>26</v>
      </c>
      <c r="C8" s="56" t="s">
        <v>27</v>
      </c>
      <c r="D8" s="47">
        <v>364981465.55000001</v>
      </c>
      <c r="E8" s="47">
        <v>-2024214.53</v>
      </c>
      <c r="F8" s="47">
        <v>1779800.72</v>
      </c>
      <c r="G8" s="48">
        <v>-3804015.25</v>
      </c>
      <c r="H8" s="49">
        <v>405644735.98000002</v>
      </c>
      <c r="I8" s="44">
        <f t="shared" si="0"/>
        <v>1.8186130185506865E-2</v>
      </c>
      <c r="J8" s="49">
        <v>413897606.10000002</v>
      </c>
      <c r="K8" s="44">
        <f t="shared" si="1"/>
        <v>1.8356364990894904E-2</v>
      </c>
      <c r="L8" s="44">
        <f t="shared" si="2"/>
        <v>2.0345068943300439E-2</v>
      </c>
      <c r="M8" s="45">
        <f t="shared" si="3"/>
        <v>4.300099091585444E-3</v>
      </c>
      <c r="N8" s="45">
        <f t="shared" si="4"/>
        <v>-9.1907157565944662E-3</v>
      </c>
      <c r="O8" s="46">
        <f t="shared" si="5"/>
        <v>186.31659936955305</v>
      </c>
      <c r="P8" s="46">
        <f t="shared" si="6"/>
        <v>-1.7123829055408497</v>
      </c>
      <c r="Q8" s="40">
        <v>186.31659999999999</v>
      </c>
      <c r="R8" s="74">
        <v>186.32</v>
      </c>
      <c r="S8" s="40">
        <v>1280</v>
      </c>
      <c r="T8" s="40">
        <v>2247685.1</v>
      </c>
      <c r="U8" s="40">
        <v>2221474.67</v>
      </c>
    </row>
    <row r="9" spans="1:22" ht="14.25">
      <c r="A9" s="136">
        <v>5</v>
      </c>
      <c r="B9" s="57" t="s">
        <v>230</v>
      </c>
      <c r="C9" s="58" t="s">
        <v>47</v>
      </c>
      <c r="D9" s="39">
        <f>85835782.55+19258411.43+9294932.13+8937448.48</f>
        <v>123326574.58999999</v>
      </c>
      <c r="E9" s="38">
        <v>598895.55000000005</v>
      </c>
      <c r="F9" s="38">
        <v>183584.33</v>
      </c>
      <c r="G9" s="38">
        <v>415311.22</v>
      </c>
      <c r="H9" s="39">
        <v>122627085.97</v>
      </c>
      <c r="I9" s="44">
        <f t="shared" si="0"/>
        <v>5.4976977436475742E-3</v>
      </c>
      <c r="J9" s="38">
        <v>123644681.22</v>
      </c>
      <c r="K9" s="44">
        <f t="shared" si="1"/>
        <v>5.4836434524069321E-3</v>
      </c>
      <c r="L9" s="44">
        <f>((J9-H9)/H9)</f>
        <v>8.2982910500617197E-3</v>
      </c>
      <c r="M9" s="45">
        <f t="shared" si="3"/>
        <v>1.4847733698576961E-3</v>
      </c>
      <c r="N9" s="45">
        <f t="shared" si="4"/>
        <v>3.3589088984833891E-3</v>
      </c>
      <c r="O9" s="46">
        <f t="shared" si="5"/>
        <v>129.00207818611332</v>
      </c>
      <c r="P9" s="46">
        <f t="shared" si="6"/>
        <v>0.43330622834218591</v>
      </c>
      <c r="Q9" s="40">
        <v>128.78739999999999</v>
      </c>
      <c r="R9" s="40">
        <v>129.52170000000001</v>
      </c>
      <c r="S9" s="40">
        <v>54</v>
      </c>
      <c r="T9" s="41">
        <v>957305.21</v>
      </c>
      <c r="U9" s="73">
        <v>958470.46</v>
      </c>
    </row>
    <row r="10" spans="1:22" ht="14.25">
      <c r="A10" s="136">
        <v>6</v>
      </c>
      <c r="B10" s="36" t="s">
        <v>28</v>
      </c>
      <c r="C10" s="36" t="s">
        <v>29</v>
      </c>
      <c r="D10" s="92">
        <v>718038024.95000005</v>
      </c>
      <c r="E10" s="92">
        <v>1840908.61</v>
      </c>
      <c r="F10" s="92">
        <v>4701371.8099999996</v>
      </c>
      <c r="G10" s="41">
        <v>-357010.5</v>
      </c>
      <c r="H10" s="49">
        <v>674845093.59000003</v>
      </c>
      <c r="I10" s="44">
        <f t="shared" si="0"/>
        <v>3.0255096734901066E-2</v>
      </c>
      <c r="J10" s="38">
        <v>718038024.95000005</v>
      </c>
      <c r="K10" s="44">
        <f t="shared" si="1"/>
        <v>3.1844997093650747E-2</v>
      </c>
      <c r="L10" s="44">
        <f t="shared" si="2"/>
        <v>6.400421633092844E-2</v>
      </c>
      <c r="M10" s="45">
        <f t="shared" si="3"/>
        <v>6.5475248477646786E-3</v>
      </c>
      <c r="N10" s="45">
        <f t="shared" si="4"/>
        <v>-4.9720277700454672E-4</v>
      </c>
      <c r="O10" s="46">
        <f t="shared" si="5"/>
        <v>228.80300239602693</v>
      </c>
      <c r="P10" s="46">
        <f t="shared" si="6"/>
        <v>-0.11376148817828254</v>
      </c>
      <c r="Q10" s="74">
        <v>228.8</v>
      </c>
      <c r="R10" s="74">
        <v>231.72</v>
      </c>
      <c r="S10" s="74">
        <v>1569</v>
      </c>
      <c r="T10" s="73">
        <v>2721514.57</v>
      </c>
      <c r="U10" s="73">
        <v>3138236.9</v>
      </c>
    </row>
    <row r="11" spans="1:22" ht="14.25">
      <c r="A11" s="136">
        <v>7</v>
      </c>
      <c r="B11" s="36" t="s">
        <v>30</v>
      </c>
      <c r="C11" s="37" t="s">
        <v>31</v>
      </c>
      <c r="D11" s="47">
        <v>307051630.12</v>
      </c>
      <c r="E11" s="47">
        <v>2463641.89</v>
      </c>
      <c r="F11" s="47">
        <v>1108071.77</v>
      </c>
      <c r="G11" s="48">
        <v>1355570.12</v>
      </c>
      <c r="H11" s="49">
        <v>311981154.79000002</v>
      </c>
      <c r="I11" s="44">
        <f t="shared" si="0"/>
        <v>1.3986943236742624E-2</v>
      </c>
      <c r="J11" s="49">
        <v>300677488.77999997</v>
      </c>
      <c r="K11" s="44">
        <f t="shared" si="1"/>
        <v>1.3335051102609859E-2</v>
      </c>
      <c r="L11" s="44">
        <f t="shared" si="2"/>
        <v>-3.6231887203599669E-2</v>
      </c>
      <c r="M11" s="45">
        <f t="shared" si="3"/>
        <v>3.6852501811692165E-3</v>
      </c>
      <c r="N11" s="45">
        <f t="shared" si="4"/>
        <v>4.5083857973546035E-3</v>
      </c>
      <c r="O11" s="46">
        <f t="shared" si="5"/>
        <v>151.24340682794133</v>
      </c>
      <c r="P11" s="46">
        <f t="shared" si="6"/>
        <v>0.68186362728661498</v>
      </c>
      <c r="Q11" s="40">
        <v>151.24</v>
      </c>
      <c r="R11" s="40">
        <v>155.87</v>
      </c>
      <c r="S11" s="40">
        <v>2470</v>
      </c>
      <c r="T11" s="40">
        <v>1988037</v>
      </c>
      <c r="U11" s="40">
        <v>1988037</v>
      </c>
    </row>
    <row r="12" spans="1:22" ht="14.25">
      <c r="A12" s="136">
        <v>8</v>
      </c>
      <c r="B12" s="36" t="s">
        <v>32</v>
      </c>
      <c r="C12" s="36" t="s">
        <v>33</v>
      </c>
      <c r="D12" s="47">
        <v>39880971.280000001</v>
      </c>
      <c r="E12" s="47"/>
      <c r="F12" s="47">
        <v>58668.83</v>
      </c>
      <c r="G12" s="48">
        <v>-58668.83</v>
      </c>
      <c r="H12" s="49">
        <v>33049333.91</v>
      </c>
      <c r="I12" s="44">
        <f t="shared" si="0"/>
        <v>1.481689359482235E-3</v>
      </c>
      <c r="J12" s="49">
        <v>43888325.469999999</v>
      </c>
      <c r="K12" s="44">
        <f t="shared" si="1"/>
        <v>1.9464478878185737E-3</v>
      </c>
      <c r="L12" s="44">
        <f t="shared" si="2"/>
        <v>0.32796399435815432</v>
      </c>
      <c r="M12" s="45">
        <f t="shared" si="3"/>
        <v>1.3367753126079795E-3</v>
      </c>
      <c r="N12" s="45">
        <f t="shared" si="4"/>
        <v>-1.3367753126079795E-3</v>
      </c>
      <c r="O12" s="46">
        <f t="shared" si="5"/>
        <v>173.47164217391304</v>
      </c>
      <c r="P12" s="46">
        <f t="shared" si="6"/>
        <v>-0.23189260869565217</v>
      </c>
      <c r="Q12" s="40">
        <v>170.6</v>
      </c>
      <c r="R12" s="40">
        <v>175.92</v>
      </c>
      <c r="S12" s="40">
        <v>4</v>
      </c>
      <c r="T12" s="40">
        <v>253000</v>
      </c>
      <c r="U12" s="40">
        <v>253000</v>
      </c>
    </row>
    <row r="13" spans="1:22" ht="14.25">
      <c r="A13" s="136">
        <v>9</v>
      </c>
      <c r="B13" s="37" t="s">
        <v>34</v>
      </c>
      <c r="C13" s="37" t="s">
        <v>35</v>
      </c>
      <c r="D13" s="90">
        <v>527330799.27999997</v>
      </c>
      <c r="E13" s="90">
        <v>2483004.35</v>
      </c>
      <c r="F13" s="90">
        <v>1037976.6</v>
      </c>
      <c r="G13" s="90">
        <v>-7159796.8499999996</v>
      </c>
      <c r="H13" s="49">
        <v>521941763.44999999</v>
      </c>
      <c r="I13" s="44">
        <f t="shared" si="0"/>
        <v>2.3400034605213584E-2</v>
      </c>
      <c r="J13" s="90">
        <v>528828023.98000002</v>
      </c>
      <c r="K13" s="44">
        <f t="shared" si="1"/>
        <v>2.3453530734471678E-2</v>
      </c>
      <c r="L13" s="44">
        <f t="shared" si="2"/>
        <v>1.3193541908741526E-2</v>
      </c>
      <c r="M13" s="45">
        <f t="shared" si="3"/>
        <v>1.9627866772038839E-3</v>
      </c>
      <c r="N13" s="45">
        <f t="shared" si="4"/>
        <v>-1.353898909538648E-2</v>
      </c>
      <c r="O13" s="46">
        <f t="shared" si="5"/>
        <v>1.6652973607629875</v>
      </c>
      <c r="P13" s="46">
        <f t="shared" si="6"/>
        <v>-2.254644280794597E-2</v>
      </c>
      <c r="Q13" s="40">
        <v>1.64</v>
      </c>
      <c r="R13" s="40">
        <v>1.69</v>
      </c>
      <c r="S13" s="40">
        <v>341</v>
      </c>
      <c r="T13" s="74">
        <v>309354919.14999998</v>
      </c>
      <c r="U13" s="74">
        <v>317557714.57999998</v>
      </c>
    </row>
    <row r="14" spans="1:22" ht="14.25">
      <c r="A14" s="136">
        <v>10</v>
      </c>
      <c r="B14" s="36" t="s">
        <v>36</v>
      </c>
      <c r="C14" s="37" t="s">
        <v>37</v>
      </c>
      <c r="D14" s="47">
        <v>1309404136.4200001</v>
      </c>
      <c r="E14" s="48">
        <v>6982800.8200000003</v>
      </c>
      <c r="F14" s="47">
        <v>2029356.76</v>
      </c>
      <c r="G14" s="48">
        <v>4953444.0599999996</v>
      </c>
      <c r="H14" s="49">
        <v>1261941637.1199999</v>
      </c>
      <c r="I14" s="44">
        <f t="shared" si="0"/>
        <v>5.6576193066406516E-2</v>
      </c>
      <c r="J14" s="49">
        <v>1305381093.1600001</v>
      </c>
      <c r="K14" s="44">
        <f t="shared" si="1"/>
        <v>5.7893670910647822E-2</v>
      </c>
      <c r="L14" s="44">
        <f t="shared" si="2"/>
        <v>3.4422713984727231E-2</v>
      </c>
      <c r="M14" s="45">
        <f t="shared" si="3"/>
        <v>1.554608666107946E-3</v>
      </c>
      <c r="N14" s="45">
        <f t="shared" si="4"/>
        <v>3.7946344450331777E-3</v>
      </c>
      <c r="O14" s="46">
        <f t="shared" si="5"/>
        <v>2.6582134928517491</v>
      </c>
      <c r="P14" s="46">
        <f t="shared" si="6"/>
        <v>1.0086948482227201E-2</v>
      </c>
      <c r="Q14" s="40">
        <v>2.63</v>
      </c>
      <c r="R14" s="40">
        <v>2.68</v>
      </c>
      <c r="S14" s="40">
        <v>3672</v>
      </c>
      <c r="T14" s="40">
        <v>491276779</v>
      </c>
      <c r="U14" s="40">
        <v>491074587</v>
      </c>
    </row>
    <row r="15" spans="1:22" ht="14.25">
      <c r="A15" s="136">
        <v>11</v>
      </c>
      <c r="B15" s="36" t="s">
        <v>38</v>
      </c>
      <c r="C15" s="36" t="s">
        <v>39</v>
      </c>
      <c r="D15" s="90">
        <v>419126621.14999998</v>
      </c>
      <c r="E15" s="90">
        <v>4567758.0599999996</v>
      </c>
      <c r="F15" s="90">
        <v>749508.71</v>
      </c>
      <c r="G15" s="93">
        <v>10239204.27</v>
      </c>
      <c r="H15" s="49">
        <v>425576238.39999998</v>
      </c>
      <c r="I15" s="44">
        <f t="shared" si="0"/>
        <v>1.9079712341644434E-2</v>
      </c>
      <c r="J15" s="94">
        <v>437894210.43000001</v>
      </c>
      <c r="K15" s="44">
        <f t="shared" si="1"/>
        <v>1.9420614750090524E-2</v>
      </c>
      <c r="L15" s="44">
        <f t="shared" si="2"/>
        <v>2.8944219433657253E-2</v>
      </c>
      <c r="M15" s="45">
        <f t="shared" si="3"/>
        <v>1.7116205059299668E-3</v>
      </c>
      <c r="N15" s="45">
        <f t="shared" si="4"/>
        <v>2.3382826322242041E-2</v>
      </c>
      <c r="O15" s="46">
        <f t="shared" si="5"/>
        <v>16.539203230267017</v>
      </c>
      <c r="P15" s="46">
        <f t="shared" si="6"/>
        <v>0.38673331664159816</v>
      </c>
      <c r="Q15" s="74">
        <v>16.55</v>
      </c>
      <c r="R15" s="74">
        <v>16.690000000000001</v>
      </c>
      <c r="S15" s="74">
        <v>249</v>
      </c>
      <c r="T15" s="74">
        <v>26411943.600000001</v>
      </c>
      <c r="U15" s="74">
        <v>26476136.989999998</v>
      </c>
      <c r="V15" s="32"/>
    </row>
    <row r="16" spans="1:22" ht="14.25">
      <c r="A16" s="136">
        <v>12</v>
      </c>
      <c r="B16" s="56" t="s">
        <v>234</v>
      </c>
      <c r="C16" s="56" t="s">
        <v>40</v>
      </c>
      <c r="D16" s="47">
        <v>298052844.86000001</v>
      </c>
      <c r="E16" s="47">
        <v>880965.39</v>
      </c>
      <c r="F16" s="47">
        <v>496049.24</v>
      </c>
      <c r="G16" s="48">
        <v>384916.15</v>
      </c>
      <c r="H16" s="49">
        <v>349450779.36000001</v>
      </c>
      <c r="I16" s="44">
        <f t="shared" si="0"/>
        <v>1.5666805958949093E-2</v>
      </c>
      <c r="J16" s="49">
        <v>349548332.99000001</v>
      </c>
      <c r="K16" s="44">
        <f t="shared" si="1"/>
        <v>1.5502473770706135E-2</v>
      </c>
      <c r="L16" s="44">
        <f t="shared" si="2"/>
        <v>2.7916271979321197E-4</v>
      </c>
      <c r="M16" s="45">
        <f t="shared" si="3"/>
        <v>1.4191148782111088E-3</v>
      </c>
      <c r="N16" s="45">
        <f t="shared" si="4"/>
        <v>1.1011814781305561E-3</v>
      </c>
      <c r="O16" s="46">
        <f t="shared" si="5"/>
        <v>2.5184992671825301</v>
      </c>
      <c r="P16" s="46">
        <f t="shared" si="6"/>
        <v>2.7733247457067808E-3</v>
      </c>
      <c r="Q16" s="40">
        <v>2.5</v>
      </c>
      <c r="R16" s="40">
        <v>2.52</v>
      </c>
      <c r="S16" s="40">
        <v>16</v>
      </c>
      <c r="T16" s="40">
        <v>180324165.78</v>
      </c>
      <c r="U16" s="40">
        <v>138792310.78</v>
      </c>
    </row>
    <row r="17" spans="1:21" ht="14.25">
      <c r="A17" s="136">
        <v>13</v>
      </c>
      <c r="B17" s="36" t="s">
        <v>41</v>
      </c>
      <c r="C17" s="36" t="s">
        <v>42</v>
      </c>
      <c r="D17" s="47">
        <v>1014508117.52</v>
      </c>
      <c r="E17" s="47">
        <v>5168666.38</v>
      </c>
      <c r="F17" s="47">
        <v>1757599.52</v>
      </c>
      <c r="G17" s="48">
        <v>3411066.86</v>
      </c>
      <c r="H17" s="49">
        <v>998918693.29999995</v>
      </c>
      <c r="I17" s="44">
        <f t="shared" si="0"/>
        <v>4.4784176373450793E-2</v>
      </c>
      <c r="J17" s="49">
        <v>1011139679.92</v>
      </c>
      <c r="K17" s="44">
        <f t="shared" si="1"/>
        <v>4.4844059854030074E-2</v>
      </c>
      <c r="L17" s="44">
        <f t="shared" si="2"/>
        <v>1.223421555925347E-2</v>
      </c>
      <c r="M17" s="45">
        <f t="shared" si="3"/>
        <v>1.7382361259317396E-3</v>
      </c>
      <c r="N17" s="45">
        <f t="shared" si="4"/>
        <v>3.3734872913600612E-3</v>
      </c>
      <c r="O17" s="46">
        <f t="shared" si="5"/>
        <v>24.631165869788411</v>
      </c>
      <c r="P17" s="46">
        <f t="shared" si="6"/>
        <v>8.3092925033112885E-2</v>
      </c>
      <c r="Q17" s="40">
        <v>24.32</v>
      </c>
      <c r="R17" s="40">
        <v>24.81</v>
      </c>
      <c r="S17" s="40">
        <v>8866</v>
      </c>
      <c r="T17" s="40">
        <v>41048375</v>
      </c>
      <c r="U17" s="40">
        <v>41051231</v>
      </c>
    </row>
    <row r="18" spans="1:21" ht="14.25">
      <c r="A18" s="136">
        <v>14</v>
      </c>
      <c r="B18" s="37" t="s">
        <v>43</v>
      </c>
      <c r="C18" s="36" t="s">
        <v>44</v>
      </c>
      <c r="D18" s="92" t="s">
        <v>45</v>
      </c>
      <c r="E18" s="90">
        <v>4444013.07</v>
      </c>
      <c r="F18" s="92">
        <v>767621.51</v>
      </c>
      <c r="G18" s="90">
        <v>6530651.5499999998</v>
      </c>
      <c r="H18" s="39">
        <v>496730926.04000002</v>
      </c>
      <c r="I18" s="44">
        <f t="shared" si="0"/>
        <v>2.2269765848942795E-2</v>
      </c>
      <c r="J18" s="90">
        <v>503891990.31</v>
      </c>
      <c r="K18" s="44">
        <f t="shared" si="1"/>
        <v>2.2347617270064797E-2</v>
      </c>
      <c r="L18" s="44">
        <f t="shared" si="2"/>
        <v>1.4416384997585846E-2</v>
      </c>
      <c r="M18" s="45">
        <f t="shared" si="3"/>
        <v>1.5233850205234472E-3</v>
      </c>
      <c r="N18" s="45">
        <f t="shared" si="4"/>
        <v>1.2960419446203679E-2</v>
      </c>
      <c r="O18" s="46">
        <f t="shared" si="5"/>
        <v>4953.9765442834441</v>
      </c>
      <c r="P18" s="46">
        <f t="shared" si="6"/>
        <v>64.205613940568057</v>
      </c>
      <c r="Q18" s="74">
        <v>4918.03</v>
      </c>
      <c r="R18" s="74">
        <v>4978.6099999999997</v>
      </c>
      <c r="S18" s="40">
        <v>20</v>
      </c>
      <c r="T18" s="74">
        <v>101714.65</v>
      </c>
      <c r="U18" s="74">
        <v>101714.65</v>
      </c>
    </row>
    <row r="19" spans="1:21" ht="14.25">
      <c r="A19" s="136">
        <v>15</v>
      </c>
      <c r="B19" s="36" t="s">
        <v>46</v>
      </c>
      <c r="C19" s="36" t="s">
        <v>44</v>
      </c>
      <c r="D19" s="90">
        <v>9902155140.6000004</v>
      </c>
      <c r="E19" s="90">
        <v>78781906.060000002</v>
      </c>
      <c r="F19" s="90">
        <v>25797205.079999998</v>
      </c>
      <c r="G19" s="90">
        <v>60962944.729999997</v>
      </c>
      <c r="H19" s="39">
        <v>9869848772.1200008</v>
      </c>
      <c r="I19" s="44">
        <f t="shared" si="0"/>
        <v>0.44249151723218522</v>
      </c>
      <c r="J19" s="90">
        <v>9889686490.6700001</v>
      </c>
      <c r="K19" s="44">
        <f t="shared" si="1"/>
        <v>0.43860774305710837</v>
      </c>
      <c r="L19" s="44">
        <f t="shared" si="2"/>
        <v>2.0099313584252803E-3</v>
      </c>
      <c r="M19" s="45">
        <f t="shared" si="3"/>
        <v>2.608495739914229E-3</v>
      </c>
      <c r="N19" s="45">
        <f t="shared" si="4"/>
        <v>6.1642949741139794E-3</v>
      </c>
      <c r="O19" s="46">
        <f t="shared" si="5"/>
        <v>17096.168635228714</v>
      </c>
      <c r="P19" s="46">
        <f t="shared" si="6"/>
        <v>105.38582639474541</v>
      </c>
      <c r="Q19" s="74">
        <v>16972.37</v>
      </c>
      <c r="R19" s="74">
        <v>17181.02</v>
      </c>
      <c r="S19" s="74">
        <v>17125</v>
      </c>
      <c r="T19" s="74">
        <v>581673.87</v>
      </c>
      <c r="U19" s="74">
        <v>578473.85</v>
      </c>
    </row>
    <row r="20" spans="1:21" ht="14.25">
      <c r="A20" s="136">
        <v>16</v>
      </c>
      <c r="B20" s="36" t="s">
        <v>48</v>
      </c>
      <c r="C20" s="36" t="s">
        <v>49</v>
      </c>
      <c r="D20" s="91">
        <v>1786589140</v>
      </c>
      <c r="E20" s="91">
        <v>13160217</v>
      </c>
      <c r="F20" s="91">
        <v>4810408</v>
      </c>
      <c r="G20" s="39">
        <v>8349809</v>
      </c>
      <c r="H20" s="49">
        <v>2434580865</v>
      </c>
      <c r="I20" s="44">
        <f t="shared" si="0"/>
        <v>0.1091487220980895</v>
      </c>
      <c r="J20" s="91">
        <v>2542608920</v>
      </c>
      <c r="K20" s="44">
        <f t="shared" si="1"/>
        <v>0.11276474344562559</v>
      </c>
      <c r="L20" s="44">
        <f t="shared" si="2"/>
        <v>4.4372342095114592E-2</v>
      </c>
      <c r="M20" s="45">
        <f t="shared" si="3"/>
        <v>1.8919181641193958E-3</v>
      </c>
      <c r="N20" s="45">
        <f t="shared" si="4"/>
        <v>3.2839533183105485E-3</v>
      </c>
      <c r="O20" s="46">
        <f t="shared" si="5"/>
        <v>1.2547984583651353</v>
      </c>
      <c r="P20" s="46">
        <f t="shared" si="6"/>
        <v>4.1206995611591463E-3</v>
      </c>
      <c r="Q20" s="74">
        <v>1.25</v>
      </c>
      <c r="R20" s="74">
        <v>1.22</v>
      </c>
      <c r="S20" s="74">
        <v>2876</v>
      </c>
      <c r="T20" s="95">
        <v>2020963364</v>
      </c>
      <c r="U20" s="95">
        <v>2026308610</v>
      </c>
    </row>
    <row r="21" spans="1:21" ht="14.25">
      <c r="A21" s="123" t="s">
        <v>50</v>
      </c>
      <c r="B21" s="123"/>
      <c r="C21" s="123"/>
      <c r="D21" s="123"/>
      <c r="E21" s="123"/>
      <c r="F21" s="123"/>
      <c r="G21" s="123"/>
      <c r="H21" s="85">
        <f>SUM(H5:H20)</f>
        <v>22305170580.120003</v>
      </c>
      <c r="I21" s="86">
        <f>(H21/$H$170)</f>
        <v>1.1205146272487724E-2</v>
      </c>
      <c r="J21" s="85">
        <f>SUM(J5:J20)</f>
        <v>22547906750.889999</v>
      </c>
      <c r="K21" s="86">
        <f>(J21/$J$170)</f>
        <v>1.1181186325606654E-2</v>
      </c>
      <c r="L21" s="44">
        <f t="shared" si="2"/>
        <v>1.0882506811507681E-2</v>
      </c>
      <c r="M21" s="45"/>
      <c r="N21" s="45"/>
      <c r="O21" s="46"/>
      <c r="P21" s="46"/>
      <c r="Q21" s="40"/>
      <c r="R21" s="40"/>
      <c r="S21" s="35">
        <f>SUM(S5:S20)</f>
        <v>41367</v>
      </c>
      <c r="T21" s="40"/>
      <c r="U21" s="40"/>
    </row>
    <row r="22" spans="1:21" ht="6.75" customHeight="1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</row>
    <row r="23" spans="1:21">
      <c r="A23" s="121" t="s">
        <v>51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</row>
    <row r="24" spans="1:21" ht="13.5" customHeight="1">
      <c r="A24" s="136">
        <v>17</v>
      </c>
      <c r="B24" s="36" t="s">
        <v>52</v>
      </c>
      <c r="C24" s="36" t="s">
        <v>21</v>
      </c>
      <c r="D24" s="96">
        <v>857490951.88999999</v>
      </c>
      <c r="E24" s="96">
        <v>7600431.7000000002</v>
      </c>
      <c r="F24" s="96">
        <v>-1791002.21</v>
      </c>
      <c r="G24" s="48">
        <v>5809429.4900000002</v>
      </c>
      <c r="H24" s="39">
        <v>825270814.30999994</v>
      </c>
      <c r="I24" s="44">
        <f t="shared" ref="I24:I52" si="7">(H24/$H$53)</f>
        <v>9.2160629889503182E-4</v>
      </c>
      <c r="J24" s="97">
        <v>809250351.65999997</v>
      </c>
      <c r="K24" s="44">
        <f t="shared" ref="K24:K52" si="8">(J24/$J$53)</f>
        <v>9.3579807279963107E-4</v>
      </c>
      <c r="L24" s="44">
        <f>((J24-H24)/H24)</f>
        <v>-1.9412370305854708E-2</v>
      </c>
      <c r="M24" s="45">
        <f>(F24/J24)</f>
        <v>-2.2131621028352363E-3</v>
      </c>
      <c r="N24" s="45">
        <f>G24/J24</f>
        <v>7.1787790738468355E-3</v>
      </c>
      <c r="O24" s="50">
        <f>J24/U24</f>
        <v>95.358834420370542</v>
      </c>
      <c r="P24" s="50">
        <f>G24/U24</f>
        <v>0.68456000504338133</v>
      </c>
      <c r="Q24" s="41">
        <v>100</v>
      </c>
      <c r="R24" s="41">
        <v>100</v>
      </c>
      <c r="S24" s="41">
        <v>741</v>
      </c>
      <c r="T24" s="98">
        <v>8138320</v>
      </c>
      <c r="U24" s="73">
        <v>8486370</v>
      </c>
    </row>
    <row r="25" spans="1:21" ht="15" customHeight="1">
      <c r="A25" s="136">
        <v>18</v>
      </c>
      <c r="B25" s="36" t="s">
        <v>53</v>
      </c>
      <c r="C25" s="36" t="s">
        <v>54</v>
      </c>
      <c r="D25" s="39">
        <v>3966294518.5999999</v>
      </c>
      <c r="E25" s="39">
        <v>49039605.960000001</v>
      </c>
      <c r="F25" s="39">
        <v>6521473.5999999996</v>
      </c>
      <c r="G25" s="48">
        <v>43804957.799999997</v>
      </c>
      <c r="H25" s="39">
        <v>3694234651.1700001</v>
      </c>
      <c r="I25" s="44">
        <f t="shared" si="7"/>
        <v>4.1254699246345422E-3</v>
      </c>
      <c r="J25" s="39">
        <v>4034410602.7600002</v>
      </c>
      <c r="K25" s="44">
        <f t="shared" si="8"/>
        <v>4.6652975302399462E-3</v>
      </c>
      <c r="L25" s="44">
        <f t="shared" ref="L25:L52" si="9">((J25-H25)/H25)</f>
        <v>9.2082930217294967E-2</v>
      </c>
      <c r="M25" s="45">
        <f t="shared" ref="M25:M52" si="10">(F25/J25)</f>
        <v>1.6164625374369586E-3</v>
      </c>
      <c r="N25" s="45">
        <f t="shared" ref="N25:N52" si="11">G25/J25</f>
        <v>1.0857833302845371E-2</v>
      </c>
      <c r="O25" s="50">
        <f t="shared" ref="O25:O52" si="12">J25/U25</f>
        <v>102.845997749772</v>
      </c>
      <c r="P25" s="50">
        <f t="shared" ref="P25:P52" si="13">G25/U25</f>
        <v>1.1166846994318345</v>
      </c>
      <c r="Q25" s="41">
        <v>100</v>
      </c>
      <c r="R25" s="41">
        <v>100</v>
      </c>
      <c r="S25" s="41">
        <v>1243</v>
      </c>
      <c r="T25" s="41">
        <v>35888666.729999997</v>
      </c>
      <c r="U25" s="41">
        <v>39227686.939999998</v>
      </c>
    </row>
    <row r="26" spans="1:21" ht="14.25">
      <c r="A26" s="136">
        <v>19</v>
      </c>
      <c r="B26" s="36" t="s">
        <v>55</v>
      </c>
      <c r="C26" s="36" t="s">
        <v>23</v>
      </c>
      <c r="D26" s="39">
        <v>456141049.60000002</v>
      </c>
      <c r="E26" s="39">
        <v>3142817.35</v>
      </c>
      <c r="F26" s="39">
        <v>670210.84</v>
      </c>
      <c r="G26" s="48">
        <v>2472606.5099999998</v>
      </c>
      <c r="H26" s="39">
        <v>364156687.63</v>
      </c>
      <c r="I26" s="44">
        <f t="shared" si="7"/>
        <v>4.0666541368624272E-4</v>
      </c>
      <c r="J26" s="39">
        <v>464925332.55000001</v>
      </c>
      <c r="K26" s="44">
        <f t="shared" si="8"/>
        <v>5.3762871934940031E-4</v>
      </c>
      <c r="L26" s="44">
        <f t="shared" si="9"/>
        <v>0.27671782049595534</v>
      </c>
      <c r="M26" s="45">
        <f t="shared" si="10"/>
        <v>1.4415451107472675E-3</v>
      </c>
      <c r="N26" s="45">
        <f t="shared" si="11"/>
        <v>5.3182873396860671E-3</v>
      </c>
      <c r="O26" s="50">
        <f t="shared" si="12"/>
        <v>100.3232205132264</v>
      </c>
      <c r="P26" s="50">
        <f t="shared" si="13"/>
        <v>0.53354771353202557</v>
      </c>
      <c r="Q26" s="41">
        <v>100</v>
      </c>
      <c r="R26" s="41">
        <v>100</v>
      </c>
      <c r="S26" s="41">
        <v>1191</v>
      </c>
      <c r="T26" s="41">
        <v>4358088.96</v>
      </c>
      <c r="U26" s="41">
        <v>4634274.4000000004</v>
      </c>
    </row>
    <row r="27" spans="1:21" ht="14.25">
      <c r="A27" s="136">
        <v>20</v>
      </c>
      <c r="B27" s="36" t="s">
        <v>56</v>
      </c>
      <c r="C27" s="37" t="s">
        <v>25</v>
      </c>
      <c r="D27" s="90">
        <v>30161242440.57</v>
      </c>
      <c r="E27" s="90">
        <v>770185027.36000001</v>
      </c>
      <c r="F27" s="90">
        <v>177916541.12</v>
      </c>
      <c r="G27" s="90">
        <v>592268486.24000001</v>
      </c>
      <c r="H27" s="39">
        <v>80071215065</v>
      </c>
      <c r="I27" s="44">
        <f t="shared" si="7"/>
        <v>8.941808541452087E-2</v>
      </c>
      <c r="J27" s="91">
        <v>80509538443</v>
      </c>
      <c r="K27" s="44">
        <f t="shared" si="8"/>
        <v>9.3099336642118613E-2</v>
      </c>
      <c r="L27" s="44">
        <f t="shared" si="9"/>
        <v>5.4741691835721367E-3</v>
      </c>
      <c r="M27" s="45">
        <f t="shared" si="10"/>
        <v>2.2098815191440111E-3</v>
      </c>
      <c r="N27" s="45">
        <f t="shared" si="11"/>
        <v>7.3565008282754042E-3</v>
      </c>
      <c r="O27" s="50">
        <f t="shared" si="12"/>
        <v>1</v>
      </c>
      <c r="P27" s="50">
        <f t="shared" si="13"/>
        <v>7.3565008282754042E-3</v>
      </c>
      <c r="Q27" s="41">
        <v>1</v>
      </c>
      <c r="R27" s="41">
        <v>1</v>
      </c>
      <c r="S27" s="73">
        <v>35525</v>
      </c>
      <c r="T27" s="73">
        <v>80071215065</v>
      </c>
      <c r="U27" s="73">
        <v>80509538443</v>
      </c>
    </row>
    <row r="28" spans="1:21" ht="14.25">
      <c r="A28" s="136">
        <v>21</v>
      </c>
      <c r="B28" s="36" t="s">
        <v>57</v>
      </c>
      <c r="C28" s="36" t="s">
        <v>58</v>
      </c>
      <c r="D28" s="90">
        <v>11793728012.360001</v>
      </c>
      <c r="E28" s="90">
        <v>392673829.89999998</v>
      </c>
      <c r="F28" s="90">
        <v>57878427.700000003</v>
      </c>
      <c r="G28" s="90">
        <v>334795402.19999999</v>
      </c>
      <c r="H28" s="39">
        <v>41417218702.470001</v>
      </c>
      <c r="I28" s="44">
        <f t="shared" si="7"/>
        <v>4.6251932065261882E-2</v>
      </c>
      <c r="J28" s="90">
        <v>41405229107.660004</v>
      </c>
      <c r="K28" s="44">
        <f t="shared" si="8"/>
        <v>4.7880033074183488E-2</v>
      </c>
      <c r="L28" s="44">
        <f t="shared" si="9"/>
        <v>-2.8948334015684485E-4</v>
      </c>
      <c r="M28" s="45">
        <f t="shared" si="10"/>
        <v>1.3978530960306278E-3</v>
      </c>
      <c r="N28" s="45">
        <f t="shared" si="11"/>
        <v>8.0858241679928906E-3</v>
      </c>
      <c r="O28" s="50">
        <f t="shared" si="12"/>
        <v>1.0078179405826204</v>
      </c>
      <c r="P28" s="50">
        <f t="shared" si="13"/>
        <v>8.149038660899775E-3</v>
      </c>
      <c r="Q28" s="41">
        <v>1</v>
      </c>
      <c r="R28" s="41">
        <v>1</v>
      </c>
      <c r="S28" s="73">
        <v>26026</v>
      </c>
      <c r="T28" s="73">
        <v>40534301648.910004</v>
      </c>
      <c r="U28" s="73">
        <v>41084036551.010002</v>
      </c>
    </row>
    <row r="29" spans="1:21" ht="14.25">
      <c r="A29" s="136">
        <v>22</v>
      </c>
      <c r="B29" s="37" t="s">
        <v>59</v>
      </c>
      <c r="C29" s="37" t="s">
        <v>42</v>
      </c>
      <c r="D29" s="39">
        <v>7473583736.7799997</v>
      </c>
      <c r="E29" s="39">
        <v>66900667.579999998</v>
      </c>
      <c r="F29" s="39">
        <v>11584861.949999999</v>
      </c>
      <c r="G29" s="48">
        <v>55315805.630000003</v>
      </c>
      <c r="H29" s="39">
        <v>6560071713.1499996</v>
      </c>
      <c r="I29" s="44">
        <f t="shared" si="7"/>
        <v>7.3258417809152661E-3</v>
      </c>
      <c r="J29" s="39">
        <v>7406984421</v>
      </c>
      <c r="K29" s="44">
        <f t="shared" si="8"/>
        <v>8.565262569500718E-3</v>
      </c>
      <c r="L29" s="44">
        <f t="shared" si="9"/>
        <v>0.12910113560989286</v>
      </c>
      <c r="M29" s="45">
        <f t="shared" si="10"/>
        <v>1.5640456752082589E-3</v>
      </c>
      <c r="N29" s="45">
        <f t="shared" si="11"/>
        <v>7.4680602099243976E-3</v>
      </c>
      <c r="O29" s="50">
        <f t="shared" si="12"/>
        <v>99.999999554474556</v>
      </c>
      <c r="P29" s="50">
        <f t="shared" si="13"/>
        <v>0.74680601766522892</v>
      </c>
      <c r="Q29" s="41">
        <v>100</v>
      </c>
      <c r="R29" s="41">
        <v>100</v>
      </c>
      <c r="S29" s="41">
        <v>2795</v>
      </c>
      <c r="T29" s="41">
        <v>65600717.130000003</v>
      </c>
      <c r="U29" s="41">
        <v>74069844.540000007</v>
      </c>
    </row>
    <row r="30" spans="1:21" ht="14.25">
      <c r="A30" s="136">
        <v>23</v>
      </c>
      <c r="B30" s="36" t="s">
        <v>60</v>
      </c>
      <c r="C30" s="36" t="s">
        <v>61</v>
      </c>
      <c r="D30" s="38">
        <v>12651847418.43</v>
      </c>
      <c r="E30" s="39">
        <v>138352510.31999999</v>
      </c>
      <c r="F30" s="39">
        <v>21994024.670000002</v>
      </c>
      <c r="G30" s="48">
        <v>118544482.75</v>
      </c>
      <c r="H30" s="39">
        <v>12648199330.35</v>
      </c>
      <c r="I30" s="44">
        <f t="shared" si="7"/>
        <v>1.4124648503747818E-2</v>
      </c>
      <c r="J30" s="39">
        <v>12410795746.16</v>
      </c>
      <c r="K30" s="44">
        <f t="shared" si="8"/>
        <v>1.4351552294469581E-2</v>
      </c>
      <c r="L30" s="44">
        <f t="shared" si="9"/>
        <v>-1.8769753542730663E-2</v>
      </c>
      <c r="M30" s="45">
        <f t="shared" si="10"/>
        <v>1.7721687730462513E-3</v>
      </c>
      <c r="N30" s="45">
        <f t="shared" si="11"/>
        <v>9.5517229656026381E-3</v>
      </c>
      <c r="O30" s="50">
        <f t="shared" si="12"/>
        <v>99.999999993231697</v>
      </c>
      <c r="P30" s="50">
        <f t="shared" si="13"/>
        <v>0.95517229649561486</v>
      </c>
      <c r="Q30" s="41">
        <v>100</v>
      </c>
      <c r="R30" s="41">
        <v>100</v>
      </c>
      <c r="S30" s="41">
        <v>1749</v>
      </c>
      <c r="T30" s="41">
        <v>126481993.31</v>
      </c>
      <c r="U30" s="41">
        <v>124107957.47</v>
      </c>
    </row>
    <row r="31" spans="1:21" ht="14.25">
      <c r="A31" s="136">
        <v>24</v>
      </c>
      <c r="B31" s="36" t="s">
        <v>62</v>
      </c>
      <c r="C31" s="36" t="s">
        <v>63</v>
      </c>
      <c r="D31" s="39">
        <v>2937480072.5999999</v>
      </c>
      <c r="E31" s="39">
        <v>59207127.909999996</v>
      </c>
      <c r="F31" s="39">
        <v>7744604.7800000003</v>
      </c>
      <c r="G31" s="48">
        <v>51462523.130000003</v>
      </c>
      <c r="H31" s="39">
        <v>6764227400</v>
      </c>
      <c r="I31" s="44">
        <f t="shared" si="7"/>
        <v>7.5538289624485343E-3</v>
      </c>
      <c r="J31" s="90">
        <v>6610900507.0799999</v>
      </c>
      <c r="K31" s="44">
        <f t="shared" si="8"/>
        <v>7.6446898556242612E-3</v>
      </c>
      <c r="L31" s="44">
        <f t="shared" si="9"/>
        <v>-2.266731791423808E-2</v>
      </c>
      <c r="M31" s="45">
        <f t="shared" si="10"/>
        <v>1.1714901429398083E-3</v>
      </c>
      <c r="N31" s="45">
        <f t="shared" si="11"/>
        <v>7.7844951795728555E-3</v>
      </c>
      <c r="O31" s="50">
        <f t="shared" si="12"/>
        <v>100.00000010709584</v>
      </c>
      <c r="P31" s="50">
        <f t="shared" si="13"/>
        <v>0.77844951879097257</v>
      </c>
      <c r="Q31" s="41">
        <v>100</v>
      </c>
      <c r="R31" s="41">
        <v>100</v>
      </c>
      <c r="S31" s="41">
        <v>5644</v>
      </c>
      <c r="T31" s="41">
        <v>67642274</v>
      </c>
      <c r="U31" s="41">
        <v>66109005</v>
      </c>
    </row>
    <row r="32" spans="1:21" ht="14.25">
      <c r="A32" s="136">
        <v>25</v>
      </c>
      <c r="B32" s="36" t="s">
        <v>64</v>
      </c>
      <c r="C32" s="37" t="s">
        <v>65</v>
      </c>
      <c r="D32" s="39">
        <v>39263942.280000001</v>
      </c>
      <c r="E32" s="47">
        <v>275433.01</v>
      </c>
      <c r="F32" s="47">
        <v>41437.480000000003</v>
      </c>
      <c r="G32" s="48">
        <v>233995.53</v>
      </c>
      <c r="H32" s="70">
        <v>39203248.560000002</v>
      </c>
      <c r="I32" s="44">
        <f t="shared" si="7"/>
        <v>4.3779520835535015E-5</v>
      </c>
      <c r="J32" s="39">
        <v>39203248.560000002</v>
      </c>
      <c r="K32" s="44">
        <f t="shared" si="8"/>
        <v>4.5333714560245726E-5</v>
      </c>
      <c r="L32" s="44">
        <f t="shared" si="9"/>
        <v>0</v>
      </c>
      <c r="M32" s="71">
        <f t="shared" si="10"/>
        <v>1.056990977076314E-3</v>
      </c>
      <c r="N32" s="71">
        <f t="shared" si="11"/>
        <v>5.9687790832403404E-3</v>
      </c>
      <c r="O32" s="72">
        <f t="shared" si="12"/>
        <v>101.87107246798604</v>
      </c>
      <c r="P32" s="72">
        <f t="shared" si="13"/>
        <v>0.608045926534176</v>
      </c>
      <c r="Q32" s="41">
        <v>10</v>
      </c>
      <c r="R32" s="41">
        <v>10</v>
      </c>
      <c r="S32" s="41">
        <v>86</v>
      </c>
      <c r="T32" s="41">
        <v>333972.73</v>
      </c>
      <c r="U32" s="41">
        <v>384832</v>
      </c>
    </row>
    <row r="33" spans="1:21" ht="14.25">
      <c r="A33" s="136">
        <v>26</v>
      </c>
      <c r="B33" s="36" t="s">
        <v>66</v>
      </c>
      <c r="C33" s="36" t="s">
        <v>67</v>
      </c>
      <c r="D33" s="99">
        <v>4870517492.9300003</v>
      </c>
      <c r="E33" s="99">
        <v>50034030.829999998</v>
      </c>
      <c r="F33" s="96">
        <v>6294329.0700000003</v>
      </c>
      <c r="G33" s="41">
        <v>43739701.759999998</v>
      </c>
      <c r="H33" s="39">
        <v>5036643663.7200003</v>
      </c>
      <c r="I33" s="44">
        <f t="shared" si="7"/>
        <v>5.6245809803113708E-3</v>
      </c>
      <c r="J33" s="38">
        <v>4938206618.4700003</v>
      </c>
      <c r="K33" s="44">
        <f t="shared" si="8"/>
        <v>5.7104259851988972E-3</v>
      </c>
      <c r="L33" s="44">
        <f t="shared" si="9"/>
        <v>-1.9544175014615917E-2</v>
      </c>
      <c r="M33" s="45">
        <f t="shared" si="10"/>
        <v>1.2746184103471488E-3</v>
      </c>
      <c r="N33" s="45">
        <f t="shared" si="11"/>
        <v>8.8574061677378392E-3</v>
      </c>
      <c r="O33" s="50">
        <f t="shared" si="12"/>
        <v>1.0037219813584348</v>
      </c>
      <c r="P33" s="50">
        <f t="shared" si="13"/>
        <v>8.890373268378245E-3</v>
      </c>
      <c r="Q33" s="41">
        <v>1</v>
      </c>
      <c r="R33" s="41">
        <v>1</v>
      </c>
      <c r="S33" s="73">
        <v>2032</v>
      </c>
      <c r="T33" s="73">
        <v>4950876851.1000004</v>
      </c>
      <c r="U33" s="73">
        <v>4919894861.5100002</v>
      </c>
    </row>
    <row r="34" spans="1:21" ht="14.25">
      <c r="A34" s="136">
        <v>27</v>
      </c>
      <c r="B34" s="36" t="s">
        <v>68</v>
      </c>
      <c r="C34" s="36" t="s">
        <v>69</v>
      </c>
      <c r="D34" s="39">
        <v>6520603018.1099997</v>
      </c>
      <c r="E34" s="39">
        <v>145210400.41999999</v>
      </c>
      <c r="F34" s="39">
        <v>22104119.359999999</v>
      </c>
      <c r="G34" s="48">
        <v>123106281.06</v>
      </c>
      <c r="H34" s="39">
        <v>13861941739.1</v>
      </c>
      <c r="I34" s="44">
        <f t="shared" si="7"/>
        <v>1.5480073450012604E-2</v>
      </c>
      <c r="J34" s="39">
        <v>13963273162.1</v>
      </c>
      <c r="K34" s="44">
        <f t="shared" si="8"/>
        <v>1.614680066343413E-2</v>
      </c>
      <c r="L34" s="44">
        <f t="shared" si="9"/>
        <v>7.3100453678994499E-3</v>
      </c>
      <c r="M34" s="45">
        <f t="shared" si="10"/>
        <v>1.5830184730609151E-3</v>
      </c>
      <c r="N34" s="45">
        <f t="shared" si="11"/>
        <v>8.8164343439289614E-3</v>
      </c>
      <c r="O34" s="50">
        <f t="shared" si="12"/>
        <v>99.99999972857367</v>
      </c>
      <c r="P34" s="50">
        <f t="shared" si="13"/>
        <v>0.88164343199988382</v>
      </c>
      <c r="Q34" s="41">
        <v>100</v>
      </c>
      <c r="R34" s="41">
        <v>100</v>
      </c>
      <c r="S34" s="41">
        <v>5222</v>
      </c>
      <c r="T34" s="41">
        <v>138619417</v>
      </c>
      <c r="U34" s="41">
        <v>139632732</v>
      </c>
    </row>
    <row r="35" spans="1:21" ht="14.25">
      <c r="A35" s="136">
        <v>28</v>
      </c>
      <c r="B35" s="36" t="s">
        <v>70</v>
      </c>
      <c r="C35" s="36" t="s">
        <v>69</v>
      </c>
      <c r="D35" s="39">
        <v>489917993.35000002</v>
      </c>
      <c r="E35" s="39">
        <v>12301815.109999999</v>
      </c>
      <c r="F35" s="39">
        <v>1360498.68</v>
      </c>
      <c r="G35" s="48">
        <v>10941316.43</v>
      </c>
      <c r="H35" s="39">
        <v>1126234479.25</v>
      </c>
      <c r="I35" s="44">
        <f t="shared" si="7"/>
        <v>1.2577020441191544E-3</v>
      </c>
      <c r="J35" s="39">
        <v>1375711550.6099999</v>
      </c>
      <c r="K35" s="44">
        <f t="shared" si="8"/>
        <v>1.5908404798938114E-3</v>
      </c>
      <c r="L35" s="44">
        <f t="shared" si="9"/>
        <v>0.22151432579664551</v>
      </c>
      <c r="M35" s="45">
        <f t="shared" si="10"/>
        <v>9.8894181661609627E-4</v>
      </c>
      <c r="N35" s="45">
        <f t="shared" si="11"/>
        <v>7.9532053250178387E-3</v>
      </c>
      <c r="O35" s="50">
        <f t="shared" si="12"/>
        <v>999790.37108284875</v>
      </c>
      <c r="P35" s="50">
        <f t="shared" si="13"/>
        <v>7951.538103197674</v>
      </c>
      <c r="Q35" s="41">
        <v>1000000</v>
      </c>
      <c r="R35" s="41">
        <v>1000000</v>
      </c>
      <c r="S35" s="41">
        <v>19</v>
      </c>
      <c r="T35" s="41">
        <v>1126</v>
      </c>
      <c r="U35" s="41">
        <v>1376</v>
      </c>
    </row>
    <row r="36" spans="1:21" ht="14.25">
      <c r="A36" s="136">
        <v>29</v>
      </c>
      <c r="B36" s="37" t="s">
        <v>71</v>
      </c>
      <c r="C36" s="37" t="s">
        <v>72</v>
      </c>
      <c r="D36" s="90">
        <v>2723634043.8400002</v>
      </c>
      <c r="E36" s="100">
        <v>34619552.740000002</v>
      </c>
      <c r="F36" s="92">
        <v>4902831.4000000004</v>
      </c>
      <c r="G36" s="41">
        <v>16891418.850000001</v>
      </c>
      <c r="H36" s="39">
        <v>2819650732.1700001</v>
      </c>
      <c r="I36" s="44">
        <f t="shared" si="7"/>
        <v>3.1487941053925778E-3</v>
      </c>
      <c r="J36" s="92">
        <v>2813192529.98</v>
      </c>
      <c r="K36" s="44">
        <f t="shared" si="8"/>
        <v>3.253109674366456E-3</v>
      </c>
      <c r="L36" s="44">
        <f t="shared" si="9"/>
        <v>-2.2904262986606968E-3</v>
      </c>
      <c r="M36" s="45">
        <f t="shared" si="10"/>
        <v>1.7427998076032345E-3</v>
      </c>
      <c r="N36" s="45">
        <f t="shared" si="11"/>
        <v>6.0043593426291689E-3</v>
      </c>
      <c r="O36" s="50">
        <f t="shared" si="12"/>
        <v>1.0067077224630707</v>
      </c>
      <c r="P36" s="50">
        <f t="shared" si="13"/>
        <v>6.0446349186680714E-3</v>
      </c>
      <c r="Q36" s="41">
        <v>1</v>
      </c>
      <c r="R36" s="41">
        <v>1</v>
      </c>
      <c r="S36" s="73">
        <v>422</v>
      </c>
      <c r="T36" s="75">
        <v>2681604040.3400002</v>
      </c>
      <c r="U36" s="75">
        <v>2794448147.3699999</v>
      </c>
    </row>
    <row r="37" spans="1:21" ht="14.25">
      <c r="A37" s="136">
        <v>30</v>
      </c>
      <c r="B37" s="36" t="s">
        <v>73</v>
      </c>
      <c r="C37" s="36" t="s">
        <v>74</v>
      </c>
      <c r="D37" s="99">
        <v>185934032.03999999</v>
      </c>
      <c r="E37" s="99">
        <v>2235238.36</v>
      </c>
      <c r="F37" s="99">
        <v>672918.27</v>
      </c>
      <c r="G37" s="41">
        <v>1562320.09</v>
      </c>
      <c r="H37" s="39">
        <v>293443935.37</v>
      </c>
      <c r="I37" s="44">
        <f t="shared" si="7"/>
        <v>3.2769822283810004E-4</v>
      </c>
      <c r="J37" s="38">
        <v>283695093.93000001</v>
      </c>
      <c r="K37" s="44">
        <f t="shared" si="8"/>
        <v>3.2805833400977524E-4</v>
      </c>
      <c r="L37" s="44">
        <f t="shared" si="9"/>
        <v>-3.3222160232099528E-2</v>
      </c>
      <c r="M37" s="45">
        <f t="shared" si="10"/>
        <v>2.3719771134499716E-3</v>
      </c>
      <c r="N37" s="45">
        <f t="shared" si="11"/>
        <v>5.5070395062436044E-3</v>
      </c>
      <c r="O37" s="50">
        <f t="shared" si="12"/>
        <v>0.9982450180686353</v>
      </c>
      <c r="P37" s="50">
        <f t="shared" si="13"/>
        <v>5.4973747514148351E-3</v>
      </c>
      <c r="Q37" s="41">
        <v>1</v>
      </c>
      <c r="R37" s="41">
        <v>1</v>
      </c>
      <c r="S37" s="73">
        <v>433</v>
      </c>
      <c r="T37" s="73">
        <v>285225471</v>
      </c>
      <c r="U37" s="73">
        <v>284193849</v>
      </c>
    </row>
    <row r="38" spans="1:21" ht="14.25">
      <c r="A38" s="136">
        <v>31</v>
      </c>
      <c r="B38" s="36" t="s">
        <v>75</v>
      </c>
      <c r="C38" s="36" t="s">
        <v>76</v>
      </c>
      <c r="D38" s="99">
        <v>190786698565.03</v>
      </c>
      <c r="E38" s="92">
        <v>1886915807.25</v>
      </c>
      <c r="F38" s="90">
        <v>272096705.95999998</v>
      </c>
      <c r="G38" s="41">
        <v>1614819101.3</v>
      </c>
      <c r="H38" s="39">
        <v>236012541377.07001</v>
      </c>
      <c r="I38" s="44">
        <f t="shared" si="7"/>
        <v>0.26356274931785922</v>
      </c>
      <c r="J38" s="38">
        <v>190786698565.03</v>
      </c>
      <c r="K38" s="44">
        <f t="shared" si="8"/>
        <v>0.22062125084867487</v>
      </c>
      <c r="L38" s="44">
        <f t="shared" si="9"/>
        <v>-0.19162474395707668</v>
      </c>
      <c r="M38" s="45">
        <f t="shared" si="10"/>
        <v>1.4261827895053979E-3</v>
      </c>
      <c r="N38" s="45">
        <f t="shared" si="11"/>
        <v>8.4640025402482957E-3</v>
      </c>
      <c r="O38" s="50">
        <f t="shared" si="12"/>
        <v>100.02686819291061</v>
      </c>
      <c r="P38" s="50">
        <f t="shared" si="13"/>
        <v>0.84662766647787691</v>
      </c>
      <c r="Q38" s="41">
        <v>100</v>
      </c>
      <c r="R38" s="41">
        <v>100</v>
      </c>
      <c r="S38" s="73">
        <v>25486</v>
      </c>
      <c r="T38" s="73">
        <v>1941625077.3599999</v>
      </c>
      <c r="U38" s="73">
        <v>1907354513.96</v>
      </c>
    </row>
    <row r="39" spans="1:21" ht="14.25">
      <c r="A39" s="136">
        <v>32</v>
      </c>
      <c r="B39" s="36" t="s">
        <v>77</v>
      </c>
      <c r="C39" s="36" t="s">
        <v>78</v>
      </c>
      <c r="D39" s="39">
        <v>626297972.42999995</v>
      </c>
      <c r="E39" s="39">
        <v>5885505.1200000001</v>
      </c>
      <c r="F39" s="39">
        <v>1654969.3</v>
      </c>
      <c r="G39" s="48">
        <v>4230535.82</v>
      </c>
      <c r="H39" s="39">
        <v>634146169.98000002</v>
      </c>
      <c r="I39" s="44">
        <f t="shared" si="7"/>
        <v>7.0817129909333555E-4</v>
      </c>
      <c r="J39" s="39">
        <v>632939291.84000003</v>
      </c>
      <c r="K39" s="44">
        <f t="shared" si="8"/>
        <v>7.3191611012346741E-4</v>
      </c>
      <c r="L39" s="44">
        <f t="shared" si="9"/>
        <v>-1.9031545046436988E-3</v>
      </c>
      <c r="M39" s="45">
        <f t="shared" si="10"/>
        <v>2.6147362335317897E-3</v>
      </c>
      <c r="N39" s="45">
        <f t="shared" si="11"/>
        <v>6.6839519595971496E-3</v>
      </c>
      <c r="O39" s="50">
        <f t="shared" si="12"/>
        <v>9.3870691389545708</v>
      </c>
      <c r="P39" s="50">
        <f t="shared" si="13"/>
        <v>6.2742719166189329E-2</v>
      </c>
      <c r="Q39" s="41">
        <v>10</v>
      </c>
      <c r="R39" s="41">
        <v>10</v>
      </c>
      <c r="S39" s="41">
        <v>287</v>
      </c>
      <c r="T39" s="41">
        <v>61500772</v>
      </c>
      <c r="U39" s="41">
        <v>67426721</v>
      </c>
    </row>
    <row r="40" spans="1:21" ht="14.25">
      <c r="A40" s="136">
        <v>33</v>
      </c>
      <c r="B40" s="36" t="s">
        <v>79</v>
      </c>
      <c r="C40" s="36" t="s">
        <v>80</v>
      </c>
      <c r="D40" s="90">
        <v>1839347859.6700001</v>
      </c>
      <c r="E40" s="39">
        <v>25327493.57</v>
      </c>
      <c r="F40" s="39">
        <v>6697795.5099999998</v>
      </c>
      <c r="G40" s="48">
        <v>18629698.059999999</v>
      </c>
      <c r="H40" s="39">
        <v>3629171862.02</v>
      </c>
      <c r="I40" s="44">
        <f t="shared" si="7"/>
        <v>4.0528122281977023E-3</v>
      </c>
      <c r="J40" s="39">
        <v>2887472681.5700002</v>
      </c>
      <c r="K40" s="44">
        <f t="shared" si="8"/>
        <v>3.3390054945691898E-3</v>
      </c>
      <c r="L40" s="44">
        <f t="shared" si="9"/>
        <v>-0.2043714678304514</v>
      </c>
      <c r="M40" s="45">
        <f t="shared" si="10"/>
        <v>2.3196048062204418E-3</v>
      </c>
      <c r="N40" s="45">
        <f t="shared" si="11"/>
        <v>6.4519045249877508E-3</v>
      </c>
      <c r="O40" s="50">
        <f t="shared" si="12"/>
        <v>103.19120181416675</v>
      </c>
      <c r="P40" s="50">
        <f t="shared" si="13"/>
        <v>0.66577978192374665</v>
      </c>
      <c r="Q40" s="41">
        <v>100</v>
      </c>
      <c r="R40" s="41">
        <v>100</v>
      </c>
      <c r="S40" s="41">
        <v>621</v>
      </c>
      <c r="T40" s="41">
        <v>35252100</v>
      </c>
      <c r="U40" s="41">
        <v>27981772</v>
      </c>
    </row>
    <row r="41" spans="1:21" ht="14.25">
      <c r="A41" s="136">
        <v>34</v>
      </c>
      <c r="B41" s="37" t="s">
        <v>81</v>
      </c>
      <c r="C41" s="37" t="s">
        <v>35</v>
      </c>
      <c r="D41" s="90">
        <v>22303431635.439999</v>
      </c>
      <c r="E41" s="90">
        <v>195427819.63999999</v>
      </c>
      <c r="F41" s="90">
        <v>26378780.920000002</v>
      </c>
      <c r="G41" s="90">
        <v>169049038.72</v>
      </c>
      <c r="H41" s="39">
        <v>20965367699.580002</v>
      </c>
      <c r="I41" s="44">
        <f t="shared" si="7"/>
        <v>2.3412696287749054E-2</v>
      </c>
      <c r="J41" s="90">
        <v>21690705371.669998</v>
      </c>
      <c r="K41" s="44">
        <f t="shared" si="8"/>
        <v>2.5082621518589691E-2</v>
      </c>
      <c r="L41" s="44">
        <f t="shared" si="9"/>
        <v>3.4596944946714531E-2</v>
      </c>
      <c r="M41" s="45">
        <f t="shared" si="10"/>
        <v>1.2161329227427084E-3</v>
      </c>
      <c r="N41" s="45">
        <f t="shared" si="11"/>
        <v>7.7936164741232048E-3</v>
      </c>
      <c r="O41" s="50">
        <f t="shared" si="12"/>
        <v>99.9999999984786</v>
      </c>
      <c r="P41" s="50">
        <f t="shared" si="13"/>
        <v>0.77936164740046332</v>
      </c>
      <c r="Q41" s="41">
        <v>100</v>
      </c>
      <c r="R41" s="41">
        <v>100</v>
      </c>
      <c r="S41" s="41">
        <v>10776</v>
      </c>
      <c r="T41" s="73">
        <v>209653677</v>
      </c>
      <c r="U41" s="73">
        <v>216907053.72</v>
      </c>
    </row>
    <row r="42" spans="1:21" ht="14.25">
      <c r="A42" s="136">
        <v>35</v>
      </c>
      <c r="B42" s="36" t="s">
        <v>82</v>
      </c>
      <c r="C42" s="36" t="s">
        <v>37</v>
      </c>
      <c r="D42" s="39">
        <v>2988625652.5500002</v>
      </c>
      <c r="E42" s="39">
        <v>25394361.579999998</v>
      </c>
      <c r="F42" s="39">
        <v>3590806.16</v>
      </c>
      <c r="G42" s="48">
        <v>21803555.420000002</v>
      </c>
      <c r="H42" s="39">
        <v>3008949322.21</v>
      </c>
      <c r="I42" s="44">
        <f t="shared" si="7"/>
        <v>3.3601898919970942E-3</v>
      </c>
      <c r="J42" s="39">
        <v>2977173855.21</v>
      </c>
      <c r="K42" s="44">
        <f t="shared" si="8"/>
        <v>3.4427338219625457E-3</v>
      </c>
      <c r="L42" s="44">
        <f t="shared" si="9"/>
        <v>-1.0560319765260019E-2</v>
      </c>
      <c r="M42" s="45">
        <f t="shared" si="10"/>
        <v>1.2061123517244903E-3</v>
      </c>
      <c r="N42" s="45">
        <f t="shared" si="11"/>
        <v>7.3235747995852429E-3</v>
      </c>
      <c r="O42" s="50">
        <f t="shared" si="12"/>
        <v>0.9929065019370733</v>
      </c>
      <c r="P42" s="50">
        <f t="shared" si="13"/>
        <v>7.2716250359306867E-3</v>
      </c>
      <c r="Q42" s="41">
        <v>1</v>
      </c>
      <c r="R42" s="41">
        <v>1</v>
      </c>
      <c r="S42" s="41">
        <v>825</v>
      </c>
      <c r="T42" s="41">
        <v>3028060538</v>
      </c>
      <c r="U42" s="41">
        <v>2998443307</v>
      </c>
    </row>
    <row r="43" spans="1:21" ht="14.25">
      <c r="A43" s="136">
        <v>36</v>
      </c>
      <c r="B43" s="36" t="s">
        <v>83</v>
      </c>
      <c r="C43" s="36" t="s">
        <v>39</v>
      </c>
      <c r="D43" s="39">
        <v>3263760247.98</v>
      </c>
      <c r="E43" s="39">
        <v>29218381.199999999</v>
      </c>
      <c r="F43" s="39">
        <v>4885408.63</v>
      </c>
      <c r="G43" s="48">
        <v>24332972.57</v>
      </c>
      <c r="H43" s="39">
        <v>3209845967.3899999</v>
      </c>
      <c r="I43" s="44">
        <f t="shared" si="7"/>
        <v>3.5845375975191514E-3</v>
      </c>
      <c r="J43" s="39">
        <v>3271851114.8600001</v>
      </c>
      <c r="K43" s="44">
        <f t="shared" si="8"/>
        <v>3.7834916741064325E-3</v>
      </c>
      <c r="L43" s="44">
        <f t="shared" si="9"/>
        <v>1.9317172256841375E-2</v>
      </c>
      <c r="M43" s="45">
        <f t="shared" si="10"/>
        <v>1.4931634901758184E-3</v>
      </c>
      <c r="N43" s="45">
        <f t="shared" si="11"/>
        <v>7.4370659653445722E-3</v>
      </c>
      <c r="O43" s="50">
        <f t="shared" si="12"/>
        <v>10.057722932220427</v>
      </c>
      <c r="P43" s="50">
        <f t="shared" si="13"/>
        <v>7.4799948908082142E-2</v>
      </c>
      <c r="Q43" s="41">
        <v>10</v>
      </c>
      <c r="R43" s="41">
        <v>10</v>
      </c>
      <c r="S43" s="41">
        <v>1876</v>
      </c>
      <c r="T43" s="41">
        <v>321009254.02999997</v>
      </c>
      <c r="U43" s="41">
        <v>325307342.12</v>
      </c>
    </row>
    <row r="44" spans="1:21" ht="14.25" customHeight="1">
      <c r="A44" s="136">
        <v>37</v>
      </c>
      <c r="B44" s="36" t="s">
        <v>84</v>
      </c>
      <c r="C44" s="36" t="s">
        <v>85</v>
      </c>
      <c r="D44" s="39">
        <v>3504810436</v>
      </c>
      <c r="E44" s="39">
        <v>59285772</v>
      </c>
      <c r="F44" s="39">
        <v>8390891</v>
      </c>
      <c r="G44" s="91">
        <v>50894881</v>
      </c>
      <c r="H44" s="39">
        <v>5417927605</v>
      </c>
      <c r="I44" s="44">
        <f t="shared" si="7"/>
        <v>6.0503729456372838E-3</v>
      </c>
      <c r="J44" s="39">
        <v>5712146173</v>
      </c>
      <c r="K44" s="44">
        <f t="shared" si="8"/>
        <v>6.6053914827200735E-3</v>
      </c>
      <c r="L44" s="44">
        <f t="shared" si="9"/>
        <v>5.4304632592077615E-2</v>
      </c>
      <c r="M44" s="45">
        <f t="shared" si="10"/>
        <v>1.4689559310757504E-3</v>
      </c>
      <c r="N44" s="45">
        <f t="shared" si="11"/>
        <v>8.9099402323715715E-3</v>
      </c>
      <c r="O44" s="50">
        <f t="shared" si="12"/>
        <v>99.999999527323027</v>
      </c>
      <c r="P44" s="50">
        <f t="shared" si="13"/>
        <v>0.89099401902563347</v>
      </c>
      <c r="Q44" s="41">
        <v>100</v>
      </c>
      <c r="R44" s="41">
        <v>100</v>
      </c>
      <c r="S44" s="41">
        <v>1814</v>
      </c>
      <c r="T44" s="41">
        <v>54179276</v>
      </c>
      <c r="U44" s="41">
        <v>57121462</v>
      </c>
    </row>
    <row r="45" spans="1:21" ht="14.25">
      <c r="A45" s="136">
        <v>38</v>
      </c>
      <c r="B45" s="36" t="s">
        <v>86</v>
      </c>
      <c r="C45" s="37" t="s">
        <v>87</v>
      </c>
      <c r="D45" s="39">
        <v>169629786.58000001</v>
      </c>
      <c r="E45" s="39">
        <v>587357.75</v>
      </c>
      <c r="F45" s="39">
        <v>65264.85</v>
      </c>
      <c r="G45" s="48">
        <v>522092.9</v>
      </c>
      <c r="H45" s="39">
        <v>158434146.56</v>
      </c>
      <c r="I45" s="44">
        <f t="shared" si="7"/>
        <v>1.7692847595953735E-4</v>
      </c>
      <c r="J45" s="39">
        <v>161425517.55000001</v>
      </c>
      <c r="K45" s="44">
        <f t="shared" si="8"/>
        <v>1.8666867170845592E-4</v>
      </c>
      <c r="L45" s="44">
        <f t="shared" si="9"/>
        <v>1.8880847689403613E-2</v>
      </c>
      <c r="M45" s="45">
        <f t="shared" si="10"/>
        <v>4.0430317951302116E-4</v>
      </c>
      <c r="N45" s="45">
        <f t="shared" si="11"/>
        <v>3.2342649905910121E-3</v>
      </c>
      <c r="O45" s="50">
        <f t="shared" si="12"/>
        <v>0.9892959201824455</v>
      </c>
      <c r="P45" s="50">
        <f t="shared" si="13"/>
        <v>3.1996451599806035E-3</v>
      </c>
      <c r="Q45" s="41">
        <v>1</v>
      </c>
      <c r="R45" s="41">
        <v>1</v>
      </c>
      <c r="S45" s="41">
        <v>61</v>
      </c>
      <c r="T45" s="41">
        <v>160477452</v>
      </c>
      <c r="U45" s="41">
        <v>163172125</v>
      </c>
    </row>
    <row r="46" spans="1:21" ht="15.75" customHeight="1">
      <c r="A46" s="136">
        <v>39</v>
      </c>
      <c r="B46" s="37" t="s">
        <v>88</v>
      </c>
      <c r="C46" s="37" t="s">
        <v>40</v>
      </c>
      <c r="D46" s="39">
        <v>668410689.83000004</v>
      </c>
      <c r="E46" s="39">
        <v>13726397.33</v>
      </c>
      <c r="F46" s="39">
        <v>957883.56</v>
      </c>
      <c r="G46" s="48">
        <v>12768513.77</v>
      </c>
      <c r="H46" s="39">
        <v>597009409.24000001</v>
      </c>
      <c r="I46" s="44">
        <f t="shared" si="7"/>
        <v>6.6669949126361451E-4</v>
      </c>
      <c r="J46" s="39">
        <v>673147621.21000004</v>
      </c>
      <c r="K46" s="44">
        <f t="shared" si="8"/>
        <v>7.7841207649253423E-4</v>
      </c>
      <c r="L46" s="44">
        <f t="shared" si="9"/>
        <v>0.12753268339091148</v>
      </c>
      <c r="M46" s="45">
        <f t="shared" si="10"/>
        <v>1.4229918220288441E-3</v>
      </c>
      <c r="N46" s="45">
        <f t="shared" si="11"/>
        <v>1.8968370930358885E-2</v>
      </c>
      <c r="O46" s="50">
        <f t="shared" si="12"/>
        <v>9.0957205026319272</v>
      </c>
      <c r="P46" s="50">
        <f t="shared" si="13"/>
        <v>0.17253100037279276</v>
      </c>
      <c r="Q46" s="41">
        <v>10</v>
      </c>
      <c r="R46" s="41">
        <v>10</v>
      </c>
      <c r="S46" s="41">
        <v>627</v>
      </c>
      <c r="T46" s="41">
        <v>77620304.799999997</v>
      </c>
      <c r="U46" s="41">
        <v>74007069.700000003</v>
      </c>
    </row>
    <row r="47" spans="1:21" ht="14.25">
      <c r="A47" s="136">
        <v>40</v>
      </c>
      <c r="B47" s="36" t="s">
        <v>89</v>
      </c>
      <c r="C47" s="36" t="s">
        <v>44</v>
      </c>
      <c r="D47" s="90">
        <v>384237818556.59003</v>
      </c>
      <c r="E47" s="90">
        <v>3716420451.9899998</v>
      </c>
      <c r="F47" s="90">
        <v>623859921.84000003</v>
      </c>
      <c r="G47" s="48">
        <v>3092560530.1500001</v>
      </c>
      <c r="H47" s="39">
        <v>369951382704.98999</v>
      </c>
      <c r="I47" s="44">
        <f t="shared" si="7"/>
        <v>0.4131365349093431</v>
      </c>
      <c r="J47" s="39">
        <v>385317560417.59998</v>
      </c>
      <c r="K47" s="44">
        <f t="shared" si="8"/>
        <v>0.44557216405899075</v>
      </c>
      <c r="L47" s="44">
        <f t="shared" si="9"/>
        <v>4.1535667741681138E-2</v>
      </c>
      <c r="M47" s="45">
        <f t="shared" si="10"/>
        <v>1.6190799120701176E-3</v>
      </c>
      <c r="N47" s="45">
        <f t="shared" si="11"/>
        <v>8.0260046461374367E-3</v>
      </c>
      <c r="O47" s="50">
        <f t="shared" si="12"/>
        <v>0.9999999999954583</v>
      </c>
      <c r="P47" s="50">
        <f t="shared" si="13"/>
        <v>8.026004646100985E-3</v>
      </c>
      <c r="Q47" s="41">
        <v>100</v>
      </c>
      <c r="R47" s="41">
        <v>100</v>
      </c>
      <c r="S47" s="41">
        <v>108823</v>
      </c>
      <c r="T47" s="41">
        <v>369951382704.98999</v>
      </c>
      <c r="U47" s="41">
        <v>385317560419.34998</v>
      </c>
    </row>
    <row r="48" spans="1:21" ht="14.25">
      <c r="A48" s="136">
        <v>41</v>
      </c>
      <c r="B48" s="36" t="s">
        <v>90</v>
      </c>
      <c r="C48" s="36" t="s">
        <v>91</v>
      </c>
      <c r="D48" s="96">
        <v>2516089583.1799998</v>
      </c>
      <c r="E48" s="96">
        <v>32842050.809999999</v>
      </c>
      <c r="F48" s="96">
        <v>-3885686.64</v>
      </c>
      <c r="G48" s="48">
        <v>28956364.170000002</v>
      </c>
      <c r="H48" s="39">
        <v>2550614704.6900001</v>
      </c>
      <c r="I48" s="44">
        <f t="shared" si="7"/>
        <v>2.8483529735168927E-3</v>
      </c>
      <c r="J48" s="39">
        <v>2490471214.4400001</v>
      </c>
      <c r="K48" s="44">
        <f t="shared" si="8"/>
        <v>2.8799223355976773E-3</v>
      </c>
      <c r="L48" s="44">
        <f t="shared" si="9"/>
        <v>-2.3579998240976893E-2</v>
      </c>
      <c r="M48" s="45">
        <f t="shared" si="10"/>
        <v>-1.5602214622961318E-3</v>
      </c>
      <c r="N48" s="45">
        <f t="shared" si="11"/>
        <v>1.1626861616431509E-2</v>
      </c>
      <c r="O48" s="50">
        <f t="shared" si="12"/>
        <v>1.0170008370348729</v>
      </c>
      <c r="P48" s="50">
        <f t="shared" si="13"/>
        <v>1.1824527995999479E-2</v>
      </c>
      <c r="Q48" s="41">
        <v>1</v>
      </c>
      <c r="R48" s="41">
        <v>1</v>
      </c>
      <c r="S48" s="73">
        <v>309</v>
      </c>
      <c r="T48" s="73" t="s">
        <v>226</v>
      </c>
      <c r="U48" s="73">
        <v>2448838903.3200002</v>
      </c>
    </row>
    <row r="49" spans="1:21" ht="14.25">
      <c r="A49" s="136">
        <v>42</v>
      </c>
      <c r="B49" s="36" t="s">
        <v>92</v>
      </c>
      <c r="C49" s="36" t="s">
        <v>49</v>
      </c>
      <c r="D49" s="91">
        <v>16136111152</v>
      </c>
      <c r="E49" s="91">
        <v>397971657</v>
      </c>
      <c r="F49" s="91">
        <v>52622919</v>
      </c>
      <c r="G49" s="101">
        <v>345348738</v>
      </c>
      <c r="H49" s="39">
        <v>43920968213</v>
      </c>
      <c r="I49" s="44">
        <f t="shared" si="7"/>
        <v>4.9047949178370444E-2</v>
      </c>
      <c r="J49" s="95">
        <v>42337877188</v>
      </c>
      <c r="K49" s="44">
        <f t="shared" si="8"/>
        <v>4.8958525378069606E-2</v>
      </c>
      <c r="L49" s="44">
        <f t="shared" si="9"/>
        <v>-3.6044083029376998E-2</v>
      </c>
      <c r="M49" s="45">
        <f t="shared" si="10"/>
        <v>1.242927668912865E-3</v>
      </c>
      <c r="N49" s="45">
        <f t="shared" si="11"/>
        <v>8.1569686752713151E-3</v>
      </c>
      <c r="O49" s="50">
        <f t="shared" si="12"/>
        <v>1.0047686424397089</v>
      </c>
      <c r="P49" s="50">
        <f t="shared" si="13"/>
        <v>8.1958663422755894E-3</v>
      </c>
      <c r="Q49" s="41">
        <v>1</v>
      </c>
      <c r="R49" s="41">
        <v>1</v>
      </c>
      <c r="S49" s="73">
        <v>5002</v>
      </c>
      <c r="T49" s="75">
        <v>41387568994.07</v>
      </c>
      <c r="U49" s="75">
        <v>42136941182</v>
      </c>
    </row>
    <row r="50" spans="1:21" ht="14.25">
      <c r="A50" s="136">
        <v>43</v>
      </c>
      <c r="B50" s="42" t="s">
        <v>93</v>
      </c>
      <c r="C50" s="36" t="s">
        <v>94</v>
      </c>
      <c r="D50" s="90">
        <v>1167553661.1099999</v>
      </c>
      <c r="E50" s="90">
        <v>14025539.369999999</v>
      </c>
      <c r="F50" s="102">
        <v>2136162.9300000002</v>
      </c>
      <c r="G50" s="103">
        <v>11889376.439999999</v>
      </c>
      <c r="H50" s="39">
        <v>2000628713.1199999</v>
      </c>
      <c r="I50" s="44">
        <f t="shared" si="7"/>
        <v>2.2341660359129849E-3</v>
      </c>
      <c r="J50" s="90">
        <v>1999723820.5699999</v>
      </c>
      <c r="K50" s="44">
        <f t="shared" si="8"/>
        <v>2.3124335918820195E-3</v>
      </c>
      <c r="L50" s="44">
        <f t="shared" si="9"/>
        <v>-4.5230409024209374E-4</v>
      </c>
      <c r="M50" s="45">
        <f t="shared" si="10"/>
        <v>1.0682289764349109E-3</v>
      </c>
      <c r="N50" s="45">
        <f t="shared" si="11"/>
        <v>5.9455092336756082E-3</v>
      </c>
      <c r="O50" s="50">
        <f t="shared" si="12"/>
        <v>1.0053521311300744</v>
      </c>
      <c r="P50" s="50">
        <f t="shared" si="13"/>
        <v>5.9773303787293078E-3</v>
      </c>
      <c r="Q50" s="41">
        <v>1</v>
      </c>
      <c r="R50" s="41">
        <v>1.01</v>
      </c>
      <c r="S50" s="73">
        <v>58</v>
      </c>
      <c r="T50" s="73">
        <v>1970134889.71</v>
      </c>
      <c r="U50" s="73">
        <v>1989078014.21</v>
      </c>
    </row>
    <row r="51" spans="1:21" ht="14.25">
      <c r="A51" s="136">
        <v>44</v>
      </c>
      <c r="B51" s="36" t="s">
        <v>95</v>
      </c>
      <c r="C51" s="36" t="s">
        <v>96</v>
      </c>
      <c r="D51" s="90">
        <v>945225067.80999994</v>
      </c>
      <c r="E51" s="90">
        <v>9554362.3100000005</v>
      </c>
      <c r="F51" s="90">
        <v>1630962.73</v>
      </c>
      <c r="G51" s="90">
        <v>7923399.5800000001</v>
      </c>
      <c r="H51" s="39">
        <v>1027751014.51</v>
      </c>
      <c r="I51" s="44">
        <f t="shared" si="7"/>
        <v>1.1477224109277435E-3</v>
      </c>
      <c r="J51" s="90">
        <v>960377134.75999999</v>
      </c>
      <c r="K51" s="44">
        <f t="shared" si="8"/>
        <v>1.1105575302200537E-3</v>
      </c>
      <c r="L51" s="44">
        <f t="shared" si="9"/>
        <v>-6.5554671120535729E-2</v>
      </c>
      <c r="M51" s="45">
        <f t="shared" si="10"/>
        <v>1.6982523541729058E-3</v>
      </c>
      <c r="N51" s="45">
        <f t="shared" si="11"/>
        <v>8.2503001094253164E-3</v>
      </c>
      <c r="O51" s="50">
        <f t="shared" si="12"/>
        <v>1.0082505793782661</v>
      </c>
      <c r="P51" s="50">
        <f t="shared" si="13"/>
        <v>8.3183698653726476E-3</v>
      </c>
      <c r="Q51" s="41">
        <v>1</v>
      </c>
      <c r="R51" s="41">
        <v>1</v>
      </c>
      <c r="S51" s="41">
        <v>206</v>
      </c>
      <c r="T51" s="73">
        <v>1004967297</v>
      </c>
      <c r="U51" s="73">
        <v>952518306.86000001</v>
      </c>
    </row>
    <row r="52" spans="1:21" ht="14.25">
      <c r="A52" s="136">
        <v>45</v>
      </c>
      <c r="B52" s="36" t="s">
        <v>97</v>
      </c>
      <c r="C52" s="36" t="s">
        <v>98</v>
      </c>
      <c r="D52" s="90">
        <v>25656762621.549999</v>
      </c>
      <c r="E52" s="90">
        <v>231569790.72</v>
      </c>
      <c r="F52" s="90">
        <v>31235661.59</v>
      </c>
      <c r="G52" s="90">
        <v>200334129.13</v>
      </c>
      <c r="H52" s="39">
        <v>26863572624.48</v>
      </c>
      <c r="I52" s="44">
        <f t="shared" si="7"/>
        <v>2.9999410269033328E-2</v>
      </c>
      <c r="J52" s="90">
        <v>25805382867.91</v>
      </c>
      <c r="K52" s="44">
        <f t="shared" si="8"/>
        <v>2.9840737796543643E-2</v>
      </c>
      <c r="L52" s="44">
        <f t="shared" si="9"/>
        <v>-3.9391251914337774E-2</v>
      </c>
      <c r="M52" s="45">
        <f t="shared" si="10"/>
        <v>1.210432015284794E-3</v>
      </c>
      <c r="N52" s="45">
        <f t="shared" si="11"/>
        <v>7.7632690107893457E-3</v>
      </c>
      <c r="O52" s="50">
        <f t="shared" si="12"/>
        <v>1.0081652939387946</v>
      </c>
      <c r="P52" s="50">
        <f t="shared" si="13"/>
        <v>7.8266583841883758E-3</v>
      </c>
      <c r="Q52" s="41">
        <v>1</v>
      </c>
      <c r="R52" s="41">
        <v>1</v>
      </c>
      <c r="S52" s="41">
        <v>3047</v>
      </c>
      <c r="T52" s="73">
        <v>26317322102.459999</v>
      </c>
      <c r="U52" s="73">
        <v>25596380894.139999</v>
      </c>
    </row>
    <row r="53" spans="1:21" ht="15.75" customHeight="1">
      <c r="A53" s="123" t="s">
        <v>50</v>
      </c>
      <c r="B53" s="123"/>
      <c r="C53" s="123"/>
      <c r="D53" s="123"/>
      <c r="E53" s="123"/>
      <c r="F53" s="123"/>
      <c r="G53" s="123"/>
      <c r="H53" s="34">
        <f>SUM(H24:H52)</f>
        <v>895470023696.08997</v>
      </c>
      <c r="I53" s="86">
        <f>(H53/$H$170)</f>
        <v>0.4498451407085699</v>
      </c>
      <c r="J53" s="34">
        <f>SUM(J24:J52)</f>
        <v>864770269550.73999</v>
      </c>
      <c r="K53" s="86">
        <f>(J53/$J$170)</f>
        <v>0.42882727960147599</v>
      </c>
      <c r="L53" s="44">
        <f>((J53-H53)/H53)</f>
        <v>-3.4283396800526562E-2</v>
      </c>
      <c r="M53" s="45"/>
      <c r="N53" s="45"/>
      <c r="O53" s="50"/>
      <c r="P53" s="50"/>
      <c r="Q53" s="41"/>
      <c r="R53" s="41"/>
      <c r="S53" s="43">
        <f>SUM(S24:S52)</f>
        <v>242946</v>
      </c>
      <c r="T53" s="41"/>
      <c r="U53" s="41"/>
    </row>
    <row r="54" spans="1:21" ht="7.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</row>
    <row r="55" spans="1:21">
      <c r="A55" s="121" t="s">
        <v>99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</row>
    <row r="56" spans="1:21" ht="14.25">
      <c r="A56" s="136">
        <v>46</v>
      </c>
      <c r="B56" s="36" t="s">
        <v>100</v>
      </c>
      <c r="C56" s="36" t="s">
        <v>23</v>
      </c>
      <c r="D56" s="39">
        <v>475622541.27999997</v>
      </c>
      <c r="E56" s="39">
        <v>6666657.2300000004</v>
      </c>
      <c r="F56" s="39">
        <v>690203.23</v>
      </c>
      <c r="G56" s="48">
        <v>5976454</v>
      </c>
      <c r="H56" s="39">
        <v>463292034.08999997</v>
      </c>
      <c r="I56" s="44">
        <f t="shared" ref="I56:I83" si="14">(H56/$H$86)</f>
        <v>1.5403418994701604E-3</v>
      </c>
      <c r="J56" s="39">
        <v>476485180.19999999</v>
      </c>
      <c r="K56" s="44">
        <f t="shared" ref="K56:K85" si="15">(J56/$J$86)</f>
        <v>1.5996476874945923E-3</v>
      </c>
      <c r="L56" s="44">
        <f>((J56-H56)/H56)</f>
        <v>2.8476954359714049E-2</v>
      </c>
      <c r="M56" s="45">
        <f>(F56/J56)</f>
        <v>1.448530318844951E-3</v>
      </c>
      <c r="N56" s="45">
        <f>G56/J56</f>
        <v>1.2542790937362295E-2</v>
      </c>
      <c r="O56" s="50">
        <f>J56/U56</f>
        <v>1.2386641903638063</v>
      </c>
      <c r="P56" s="50">
        <f>G56/U56</f>
        <v>1.5536305981330354E-2</v>
      </c>
      <c r="Q56" s="41">
        <v>1.23</v>
      </c>
      <c r="R56" s="41">
        <v>1.23</v>
      </c>
      <c r="S56" s="41">
        <v>301</v>
      </c>
      <c r="T56" s="41">
        <v>358194016.99000001</v>
      </c>
      <c r="U56" s="41">
        <v>384676641.10000002</v>
      </c>
    </row>
    <row r="57" spans="1:21" ht="13.5" customHeight="1">
      <c r="A57" s="136">
        <v>47</v>
      </c>
      <c r="B57" s="36" t="s">
        <v>101</v>
      </c>
      <c r="C57" s="37" t="s">
        <v>25</v>
      </c>
      <c r="D57" s="90">
        <v>1042548888.09</v>
      </c>
      <c r="E57" s="90">
        <v>5855061.1100000003</v>
      </c>
      <c r="F57" s="90">
        <v>1704901.62</v>
      </c>
      <c r="G57" s="90">
        <v>7786159.4900000002</v>
      </c>
      <c r="H57" s="39">
        <v>862726432</v>
      </c>
      <c r="I57" s="44">
        <f t="shared" si="14"/>
        <v>2.8683715091286049E-3</v>
      </c>
      <c r="J57" s="91">
        <v>1123831828</v>
      </c>
      <c r="K57" s="44">
        <f t="shared" si="15"/>
        <v>3.7729084964162763E-3</v>
      </c>
      <c r="L57" s="44">
        <f t="shared" ref="L57:L86" si="16">((J57-H57)/H57)</f>
        <v>0.30265143887465823</v>
      </c>
      <c r="M57" s="45">
        <f t="shared" ref="M57:M85" si="17">(F57/J57)</f>
        <v>1.517043366741167E-3</v>
      </c>
      <c r="N57" s="45">
        <f t="shared" ref="N57:N85" si="18">G57/J57</f>
        <v>6.9282247539264388E-3</v>
      </c>
      <c r="O57" s="50">
        <f t="shared" ref="O57:O85" si="19">J57/U57</f>
        <v>1.1480877464722519</v>
      </c>
      <c r="P57" s="50">
        <f t="shared" ref="P57:P85" si="20">G57/U57</f>
        <v>7.9542099447886781E-3</v>
      </c>
      <c r="Q57" s="73">
        <v>1.1480999999999999</v>
      </c>
      <c r="R57" s="73">
        <v>1.1480999999999999</v>
      </c>
      <c r="S57" s="73">
        <v>452</v>
      </c>
      <c r="T57" s="73">
        <v>756186717</v>
      </c>
      <c r="U57" s="73">
        <v>978872766</v>
      </c>
    </row>
    <row r="58" spans="1:21" ht="15" customHeight="1">
      <c r="A58" s="136">
        <v>48</v>
      </c>
      <c r="B58" s="36" t="s">
        <v>102</v>
      </c>
      <c r="C58" s="36" t="s">
        <v>103</v>
      </c>
      <c r="D58" s="90">
        <v>858565691.13999999</v>
      </c>
      <c r="E58" s="90">
        <v>7694450.5700000003</v>
      </c>
      <c r="F58" s="90">
        <v>1777509.08</v>
      </c>
      <c r="G58" s="90">
        <v>5916941.4900000002</v>
      </c>
      <c r="H58" s="39">
        <v>1007608954</v>
      </c>
      <c r="I58" s="44">
        <f t="shared" si="14"/>
        <v>3.3500733358734916E-3</v>
      </c>
      <c r="J58" s="91">
        <v>987255624</v>
      </c>
      <c r="K58" s="44">
        <f t="shared" si="15"/>
        <v>3.3143972604452276E-3</v>
      </c>
      <c r="L58" s="44">
        <f t="shared" si="16"/>
        <v>-2.0199631929829001E-2</v>
      </c>
      <c r="M58" s="45">
        <f t="shared" si="17"/>
        <v>1.8004547523347409E-3</v>
      </c>
      <c r="N58" s="45">
        <f t="shared" si="18"/>
        <v>5.9933226473065909E-3</v>
      </c>
      <c r="O58" s="50">
        <f t="shared" si="19"/>
        <v>1.0537020139952262</v>
      </c>
      <c r="P58" s="50">
        <f t="shared" si="20"/>
        <v>6.3151761439901553E-3</v>
      </c>
      <c r="Q58" s="73">
        <v>1.0537000000000001</v>
      </c>
      <c r="R58" s="73">
        <v>1.0537000000000001</v>
      </c>
      <c r="S58" s="41">
        <v>77</v>
      </c>
      <c r="T58" s="73">
        <v>962359085</v>
      </c>
      <c r="U58" s="73">
        <v>936940056</v>
      </c>
    </row>
    <row r="59" spans="1:21" ht="14.25">
      <c r="A59" s="136">
        <v>49</v>
      </c>
      <c r="B59" s="36" t="s">
        <v>104</v>
      </c>
      <c r="C59" s="37" t="s">
        <v>105</v>
      </c>
      <c r="D59" s="38">
        <v>212304932.40000001</v>
      </c>
      <c r="E59" s="38">
        <v>2981616.46</v>
      </c>
      <c r="F59" s="38">
        <v>417122.81</v>
      </c>
      <c r="G59" s="90">
        <v>2564493.65</v>
      </c>
      <c r="H59" s="39">
        <v>254984993.5</v>
      </c>
      <c r="I59" s="44">
        <f t="shared" si="14"/>
        <v>8.4776780156741794E-4</v>
      </c>
      <c r="J59" s="38">
        <v>249210822.93000001</v>
      </c>
      <c r="K59" s="44">
        <f t="shared" si="15"/>
        <v>8.3664620257710757E-4</v>
      </c>
      <c r="L59" s="44">
        <f t="shared" si="16"/>
        <v>-2.2645138801080045E-2</v>
      </c>
      <c r="M59" s="45">
        <f t="shared" si="17"/>
        <v>1.6737748589561226E-3</v>
      </c>
      <c r="N59" s="45">
        <f t="shared" si="18"/>
        <v>1.0290458575791197E-2</v>
      </c>
      <c r="O59" s="50">
        <f t="shared" si="19"/>
        <v>1093.8455116973182</v>
      </c>
      <c r="P59" s="50">
        <f t="shared" si="20"/>
        <v>11.256171926436378</v>
      </c>
      <c r="Q59" s="73">
        <v>1115.75</v>
      </c>
      <c r="R59" s="41">
        <v>1115.75</v>
      </c>
      <c r="S59" s="41">
        <v>106</v>
      </c>
      <c r="T59" s="41">
        <v>228350</v>
      </c>
      <c r="U59" s="41">
        <v>227830</v>
      </c>
    </row>
    <row r="60" spans="1:21" ht="14.25">
      <c r="A60" s="136">
        <v>50</v>
      </c>
      <c r="B60" s="36" t="s">
        <v>106</v>
      </c>
      <c r="C60" s="37" t="s">
        <v>107</v>
      </c>
      <c r="D60" s="39">
        <v>1440532791.6500001</v>
      </c>
      <c r="E60" s="39">
        <v>13059624.77</v>
      </c>
      <c r="F60" s="39">
        <v>2069403.69</v>
      </c>
      <c r="G60" s="48">
        <v>10990221.08</v>
      </c>
      <c r="H60" s="39">
        <v>1454845476.8</v>
      </c>
      <c r="I60" s="44">
        <f t="shared" si="14"/>
        <v>4.8370342683991636E-3</v>
      </c>
      <c r="J60" s="39">
        <v>1455273416.4400001</v>
      </c>
      <c r="K60" s="44">
        <f t="shared" si="15"/>
        <v>4.8856183823040985E-3</v>
      </c>
      <c r="L60" s="44">
        <f t="shared" si="16"/>
        <v>2.9414783000967083E-4</v>
      </c>
      <c r="M60" s="45">
        <f t="shared" si="17"/>
        <v>1.4220033614455296E-3</v>
      </c>
      <c r="N60" s="45">
        <f t="shared" si="18"/>
        <v>7.5519974156369254E-3</v>
      </c>
      <c r="O60" s="50">
        <f t="shared" si="19"/>
        <v>1.0367218173690966</v>
      </c>
      <c r="P60" s="50">
        <f t="shared" si="20"/>
        <v>7.8293204855058359E-3</v>
      </c>
      <c r="Q60" s="41">
        <v>1.0367</v>
      </c>
      <c r="R60" s="41">
        <v>1.0367</v>
      </c>
      <c r="S60" s="41">
        <v>777</v>
      </c>
      <c r="T60" s="41">
        <v>1413617114.8399999</v>
      </c>
      <c r="U60" s="41">
        <v>1403726044.98</v>
      </c>
    </row>
    <row r="61" spans="1:21" ht="14.25">
      <c r="A61" s="136">
        <v>51</v>
      </c>
      <c r="B61" s="36" t="s">
        <v>108</v>
      </c>
      <c r="C61" s="36" t="s">
        <v>109</v>
      </c>
      <c r="D61" s="39">
        <v>440937982.11000001</v>
      </c>
      <c r="E61" s="39">
        <v>3998823.09</v>
      </c>
      <c r="F61" s="39">
        <v>1504209.94</v>
      </c>
      <c r="G61" s="48">
        <v>2494613.15</v>
      </c>
      <c r="H61" s="39">
        <v>434558911.99000001</v>
      </c>
      <c r="I61" s="44">
        <f t="shared" si="14"/>
        <v>1.4448107255742931E-3</v>
      </c>
      <c r="J61" s="39">
        <v>434558911.99000001</v>
      </c>
      <c r="K61" s="44">
        <f t="shared" si="15"/>
        <v>1.4588935554159122E-3</v>
      </c>
      <c r="L61" s="44">
        <f t="shared" si="16"/>
        <v>0</v>
      </c>
      <c r="M61" s="45">
        <f t="shared" si="17"/>
        <v>3.4614637935088868E-3</v>
      </c>
      <c r="N61" s="45">
        <f t="shared" si="18"/>
        <v>5.7405637789736674E-3</v>
      </c>
      <c r="O61" s="50">
        <f t="shared" si="19"/>
        <v>2.2634096062862237</v>
      </c>
      <c r="P61" s="50">
        <f t="shared" si="20"/>
        <v>1.2993247202827747E-2</v>
      </c>
      <c r="Q61" s="41">
        <v>2.2503000000000002</v>
      </c>
      <c r="R61" s="41">
        <v>2.2503000000000002</v>
      </c>
      <c r="S61" s="41">
        <v>1402</v>
      </c>
      <c r="T61" s="41">
        <v>192599634.93000001</v>
      </c>
      <c r="U61" s="41">
        <v>191993049.24000001</v>
      </c>
    </row>
    <row r="62" spans="1:21" ht="14.25">
      <c r="A62" s="136">
        <v>52</v>
      </c>
      <c r="B62" s="36" t="s">
        <v>110</v>
      </c>
      <c r="C62" s="36" t="s">
        <v>42</v>
      </c>
      <c r="D62" s="39">
        <v>2036717146.74</v>
      </c>
      <c r="E62" s="39">
        <v>20466490</v>
      </c>
      <c r="F62" s="39">
        <v>7087231</v>
      </c>
      <c r="G62" s="48">
        <v>13379259</v>
      </c>
      <c r="H62" s="39">
        <v>1910626928</v>
      </c>
      <c r="I62" s="44">
        <f t="shared" si="14"/>
        <v>6.3524051675851638E-3</v>
      </c>
      <c r="J62" s="39">
        <v>2107463383</v>
      </c>
      <c r="K62" s="44">
        <f t="shared" si="15"/>
        <v>7.0751390959954983E-3</v>
      </c>
      <c r="L62" s="44">
        <f t="shared" si="16"/>
        <v>0.10302192024794911</v>
      </c>
      <c r="M62" s="45">
        <f t="shared" si="17"/>
        <v>3.3629201139007405E-3</v>
      </c>
      <c r="N62" s="45">
        <f t="shared" si="18"/>
        <v>6.3485131499435403E-3</v>
      </c>
      <c r="O62" s="50">
        <f t="shared" si="19"/>
        <v>101.32190400795551</v>
      </c>
      <c r="P62" s="50">
        <f t="shared" si="20"/>
        <v>0.64324343997182265</v>
      </c>
      <c r="Q62" s="41">
        <v>101.32</v>
      </c>
      <c r="R62" s="41">
        <v>101.32</v>
      </c>
      <c r="S62" s="41">
        <v>117</v>
      </c>
      <c r="T62" s="41">
        <v>18969240</v>
      </c>
      <c r="U62" s="41">
        <v>20799682</v>
      </c>
    </row>
    <row r="63" spans="1:21" ht="14.25">
      <c r="A63" s="136">
        <v>53</v>
      </c>
      <c r="B63" s="37" t="s">
        <v>111</v>
      </c>
      <c r="C63" s="36" t="s">
        <v>61</v>
      </c>
      <c r="D63" s="39">
        <v>2340575707.2399998</v>
      </c>
      <c r="E63" s="39">
        <v>17392264.109999999</v>
      </c>
      <c r="F63" s="39">
        <v>4239097.32</v>
      </c>
      <c r="G63" s="48">
        <v>13153166.789999999</v>
      </c>
      <c r="H63" s="39">
        <v>2354491492.6599998</v>
      </c>
      <c r="I63" s="44">
        <f t="shared" si="14"/>
        <v>7.8281550970628264E-3</v>
      </c>
      <c r="J63" s="39">
        <v>2361571805.02</v>
      </c>
      <c r="K63" s="44">
        <f t="shared" si="15"/>
        <v>7.9282274323139029E-3</v>
      </c>
      <c r="L63" s="44">
        <f t="shared" si="16"/>
        <v>3.0071513879207572E-3</v>
      </c>
      <c r="M63" s="45">
        <f t="shared" si="17"/>
        <v>1.7950321523101432E-3</v>
      </c>
      <c r="N63" s="45">
        <f t="shared" si="18"/>
        <v>5.5696662545006151E-3</v>
      </c>
      <c r="O63" s="50">
        <f t="shared" si="19"/>
        <v>3944.6259917910506</v>
      </c>
      <c r="P63" s="50">
        <f t="shared" si="20"/>
        <v>21.970250273104636</v>
      </c>
      <c r="Q63" s="41">
        <v>3944.63</v>
      </c>
      <c r="R63" s="41">
        <v>3944.63</v>
      </c>
      <c r="S63" s="41">
        <v>1026</v>
      </c>
      <c r="T63" s="41">
        <v>600208.68999999994</v>
      </c>
      <c r="U63" s="41">
        <v>598680.79</v>
      </c>
    </row>
    <row r="64" spans="1:21" ht="14.25">
      <c r="A64" s="136">
        <v>54</v>
      </c>
      <c r="B64" s="36" t="s">
        <v>112</v>
      </c>
      <c r="C64" s="36" t="s">
        <v>63</v>
      </c>
      <c r="D64" s="39">
        <v>303350692.14999998</v>
      </c>
      <c r="E64" s="39">
        <v>3168185.32</v>
      </c>
      <c r="F64" s="39">
        <v>656903.04</v>
      </c>
      <c r="G64" s="48">
        <v>2511282.2799999998</v>
      </c>
      <c r="H64" s="39">
        <v>329355321.43000001</v>
      </c>
      <c r="I64" s="44">
        <f t="shared" si="14"/>
        <v>1.095032428970144E-3</v>
      </c>
      <c r="J64" s="39">
        <v>334563380.54000002</v>
      </c>
      <c r="K64" s="44">
        <f t="shared" si="15"/>
        <v>1.1231903115571113E-3</v>
      </c>
      <c r="L64" s="44">
        <f t="shared" si="16"/>
        <v>1.5812888910941483E-2</v>
      </c>
      <c r="M64" s="45">
        <f t="shared" si="17"/>
        <v>1.9634636610250935E-3</v>
      </c>
      <c r="N64" s="45">
        <f t="shared" si="18"/>
        <v>7.5061480905252677E-3</v>
      </c>
      <c r="O64" s="50">
        <f t="shared" si="19"/>
        <v>106.74213896246516</v>
      </c>
      <c r="P64" s="50">
        <f t="shared" si="20"/>
        <v>0.80122230255169069</v>
      </c>
      <c r="Q64" s="41">
        <v>106.84</v>
      </c>
      <c r="R64" s="41">
        <v>106.84</v>
      </c>
      <c r="S64" s="41">
        <v>122</v>
      </c>
      <c r="T64" s="41">
        <v>3115318</v>
      </c>
      <c r="U64" s="41">
        <v>3134314</v>
      </c>
    </row>
    <row r="65" spans="1:21" ht="14.25">
      <c r="A65" s="136">
        <v>55</v>
      </c>
      <c r="B65" s="37" t="s">
        <v>113</v>
      </c>
      <c r="C65" s="37" t="s">
        <v>67</v>
      </c>
      <c r="D65" s="38">
        <v>338202102.66000003</v>
      </c>
      <c r="E65" s="38">
        <v>3009724.1</v>
      </c>
      <c r="F65" s="39">
        <v>734862.3</v>
      </c>
      <c r="G65" s="41">
        <v>-4691705.87</v>
      </c>
      <c r="H65" s="39">
        <v>348936448.31999999</v>
      </c>
      <c r="I65" s="44">
        <f t="shared" si="14"/>
        <v>1.1601352754862782E-3</v>
      </c>
      <c r="J65" s="38" t="s">
        <v>114</v>
      </c>
      <c r="K65" s="44">
        <f t="shared" si="15"/>
        <v>1.208481751418502E-3</v>
      </c>
      <c r="L65" s="44">
        <f t="shared" si="16"/>
        <v>3.1617772844074826E-2</v>
      </c>
      <c r="M65" s="45">
        <f t="shared" si="17"/>
        <v>2.0414597226760048E-3</v>
      </c>
      <c r="N65" s="45">
        <f t="shared" si="18"/>
        <v>-1.3033637137525743E-2</v>
      </c>
      <c r="O65" s="50">
        <f t="shared" si="19"/>
        <v>1.4311209998400927</v>
      </c>
      <c r="P65" s="50">
        <f t="shared" si="20"/>
        <v>-1.8652711811808803E-2</v>
      </c>
      <c r="Q65" s="73">
        <v>1.3702000000000001</v>
      </c>
      <c r="R65" s="73">
        <v>1.3702000000000001</v>
      </c>
      <c r="S65" s="73">
        <v>304</v>
      </c>
      <c r="T65" s="73">
        <v>251229096.75999999</v>
      </c>
      <c r="U65" s="73">
        <v>251529424.63999999</v>
      </c>
    </row>
    <row r="66" spans="1:21" ht="14.25">
      <c r="A66" s="136">
        <v>56</v>
      </c>
      <c r="B66" s="36" t="s">
        <v>229</v>
      </c>
      <c r="C66" s="36" t="s">
        <v>47</v>
      </c>
      <c r="D66" s="39">
        <f>56284935.26+6566233.9</f>
        <v>62851169.159999996</v>
      </c>
      <c r="E66" s="38">
        <v>746830.41</v>
      </c>
      <c r="F66" s="38">
        <v>102186.84</v>
      </c>
      <c r="G66" s="41">
        <v>746830.41</v>
      </c>
      <c r="H66" s="39">
        <v>72450607.120000005</v>
      </c>
      <c r="I66" s="44">
        <f t="shared" si="14"/>
        <v>2.4088198712112494E-4</v>
      </c>
      <c r="J66" s="38">
        <v>65509859.710000001</v>
      </c>
      <c r="K66" s="44">
        <f t="shared" si="15"/>
        <v>2.1992855171111713E-4</v>
      </c>
      <c r="L66" s="44">
        <f>((J66-H66)/H66)</f>
        <v>-9.579971356905316E-2</v>
      </c>
      <c r="M66" s="45">
        <f t="shared" si="17"/>
        <v>1.5598696204260271E-3</v>
      </c>
      <c r="N66" s="45">
        <f t="shared" si="18"/>
        <v>1.1400274909854482E-2</v>
      </c>
      <c r="O66" s="50">
        <f t="shared" si="19"/>
        <v>110.22325246850725</v>
      </c>
      <c r="P66" s="50">
        <f t="shared" si="20"/>
        <v>1.2565753795992793</v>
      </c>
      <c r="Q66" s="41">
        <v>110.22329999999999</v>
      </c>
      <c r="R66" s="41">
        <v>110.22329999999999</v>
      </c>
      <c r="S66" s="41">
        <v>75</v>
      </c>
      <c r="T66" s="41">
        <v>663655.9</v>
      </c>
      <c r="U66" s="41">
        <v>594337.93000000005</v>
      </c>
    </row>
    <row r="67" spans="1:21" ht="14.25">
      <c r="A67" s="136">
        <v>57</v>
      </c>
      <c r="B67" s="36" t="s">
        <v>115</v>
      </c>
      <c r="C67" s="36" t="s">
        <v>116</v>
      </c>
      <c r="D67" s="39">
        <v>678908537.65999997</v>
      </c>
      <c r="E67" s="39">
        <v>15055609.109999999</v>
      </c>
      <c r="F67" s="39">
        <v>11749700.25</v>
      </c>
      <c r="G67" s="48">
        <v>3305908.86</v>
      </c>
      <c r="H67" s="39">
        <v>889644177.76999998</v>
      </c>
      <c r="I67" s="44">
        <f t="shared" si="14"/>
        <v>2.9578669646899282E-3</v>
      </c>
      <c r="J67" s="39">
        <v>927537388.94000006</v>
      </c>
      <c r="K67" s="44">
        <f t="shared" si="15"/>
        <v>3.1139122494006233E-3</v>
      </c>
      <c r="L67" s="44">
        <f t="shared" si="16"/>
        <v>4.2593670724608082E-2</v>
      </c>
      <c r="M67" s="45">
        <f t="shared" si="17"/>
        <v>1.2667629779784605E-2</v>
      </c>
      <c r="N67" s="45">
        <f t="shared" si="18"/>
        <v>3.564178543549634E-3</v>
      </c>
      <c r="O67" s="50">
        <f t="shared" si="19"/>
        <v>1107.8209723829991</v>
      </c>
      <c r="P67" s="50">
        <f t="shared" si="20"/>
        <v>3.9484717398617772</v>
      </c>
      <c r="Q67" s="41">
        <v>1000</v>
      </c>
      <c r="R67" s="41">
        <v>1000</v>
      </c>
      <c r="S67" s="41">
        <v>258</v>
      </c>
      <c r="T67" s="41">
        <v>798626.09</v>
      </c>
      <c r="U67" s="75">
        <v>837262.89</v>
      </c>
    </row>
    <row r="68" spans="1:21" ht="14.25">
      <c r="A68" s="136">
        <v>58</v>
      </c>
      <c r="B68" s="36" t="s">
        <v>117</v>
      </c>
      <c r="C68" s="36" t="s">
        <v>69</v>
      </c>
      <c r="D68" s="39">
        <v>233418766.66999999</v>
      </c>
      <c r="E68" s="39">
        <v>2471657.1800000002</v>
      </c>
      <c r="F68" s="38">
        <v>594280.43999999994</v>
      </c>
      <c r="G68" s="48">
        <v>1877376.74</v>
      </c>
      <c r="H68" s="39">
        <v>239242758.90000001</v>
      </c>
      <c r="I68" s="44">
        <f t="shared" si="14"/>
        <v>7.9542840921568514E-4</v>
      </c>
      <c r="J68" s="39">
        <v>239631806.47999999</v>
      </c>
      <c r="K68" s="44">
        <f t="shared" si="15"/>
        <v>8.0448769660577079E-4</v>
      </c>
      <c r="L68" s="44">
        <f t="shared" si="16"/>
        <v>1.6261624041988229E-3</v>
      </c>
      <c r="M68" s="45">
        <f t="shared" si="17"/>
        <v>2.4799731251435499E-3</v>
      </c>
      <c r="N68" s="45">
        <f t="shared" si="18"/>
        <v>7.8344221811668755E-3</v>
      </c>
      <c r="O68" s="50">
        <f t="shared" si="19"/>
        <v>1114.1416133381686</v>
      </c>
      <c r="P68" s="50">
        <f t="shared" si="20"/>
        <v>8.7286557684975961</v>
      </c>
      <c r="Q68" s="73">
        <v>1103.06</v>
      </c>
      <c r="R68" s="41">
        <v>1114.1400000000001</v>
      </c>
      <c r="S68" s="41">
        <v>281</v>
      </c>
      <c r="T68" s="73">
        <v>215281</v>
      </c>
      <c r="U68" s="73">
        <v>215082</v>
      </c>
    </row>
    <row r="69" spans="1:21" ht="14.25">
      <c r="A69" s="136">
        <v>59</v>
      </c>
      <c r="B69" s="36" t="s">
        <v>118</v>
      </c>
      <c r="C69" s="37" t="s">
        <v>72</v>
      </c>
      <c r="D69" s="38">
        <v>756476063.73000002</v>
      </c>
      <c r="E69" s="38">
        <v>12839389.76</v>
      </c>
      <c r="F69" s="38">
        <v>1349535.3</v>
      </c>
      <c r="G69" s="41">
        <v>11489854.460000001</v>
      </c>
      <c r="H69" s="39">
        <v>736175749.63</v>
      </c>
      <c r="I69" s="44">
        <f t="shared" si="14"/>
        <v>2.447618929507987E-3</v>
      </c>
      <c r="J69" s="38">
        <v>747401164.46000004</v>
      </c>
      <c r="K69" s="44">
        <f t="shared" si="15"/>
        <v>2.5091620768926582E-3</v>
      </c>
      <c r="L69" s="44">
        <f t="shared" si="16"/>
        <v>1.5248281182369709E-2</v>
      </c>
      <c r="M69" s="45">
        <f t="shared" si="17"/>
        <v>1.8056371386242676E-3</v>
      </c>
      <c r="N69" s="45">
        <f t="shared" si="18"/>
        <v>1.537307540629999E-2</v>
      </c>
      <c r="O69" s="50">
        <f t="shared" si="19"/>
        <v>1.1014965898562663</v>
      </c>
      <c r="P69" s="50">
        <f t="shared" si="20"/>
        <v>1.6933390135642677E-2</v>
      </c>
      <c r="Q69" s="41">
        <v>1.0900000000000001</v>
      </c>
      <c r="R69" s="41">
        <v>1.0900000000000001</v>
      </c>
      <c r="S69" s="41">
        <v>38</v>
      </c>
      <c r="T69" s="41">
        <v>678866332.48000002</v>
      </c>
      <c r="U69" s="41">
        <v>678532436.09000003</v>
      </c>
    </row>
    <row r="70" spans="1:21" ht="14.25">
      <c r="A70" s="136">
        <v>60</v>
      </c>
      <c r="B70" s="36" t="s">
        <v>236</v>
      </c>
      <c r="C70" s="36" t="s">
        <v>29</v>
      </c>
      <c r="D70" s="90">
        <v>66365119455.800003</v>
      </c>
      <c r="E70" s="38">
        <v>884177270.71000004</v>
      </c>
      <c r="F70" s="38">
        <v>78356911.780000001</v>
      </c>
      <c r="G70" s="48">
        <v>805820358.92999995</v>
      </c>
      <c r="H70" s="39">
        <v>68361486560.720001</v>
      </c>
      <c r="I70" s="44">
        <f t="shared" si="14"/>
        <v>0.22728658019422693</v>
      </c>
      <c r="J70" s="90">
        <v>66365119455.800003</v>
      </c>
      <c r="K70" s="44">
        <f t="shared" si="15"/>
        <v>0.22279981472500968</v>
      </c>
      <c r="L70" s="44">
        <f t="shared" si="16"/>
        <v>-2.9203096734106069E-2</v>
      </c>
      <c r="M70" s="45">
        <f t="shared" si="17"/>
        <v>1.1806942023540948E-3</v>
      </c>
      <c r="N70" s="45">
        <f t="shared" si="18"/>
        <v>1.2142227205161385E-2</v>
      </c>
      <c r="O70" s="50">
        <f t="shared" si="19"/>
        <v>1517.585766750042</v>
      </c>
      <c r="P70" s="50">
        <f t="shared" si="20"/>
        <v>18.42687118319806</v>
      </c>
      <c r="Q70" s="98">
        <v>1517.58</v>
      </c>
      <c r="R70" s="98">
        <v>1517.58</v>
      </c>
      <c r="S70" s="73">
        <v>2446</v>
      </c>
      <c r="T70" s="73">
        <v>42682585.810000002</v>
      </c>
      <c r="U70" s="73">
        <v>43730720.799999997</v>
      </c>
    </row>
    <row r="71" spans="1:21" ht="14.25">
      <c r="A71" s="136">
        <v>61</v>
      </c>
      <c r="B71" s="36" t="s">
        <v>119</v>
      </c>
      <c r="C71" s="36" t="s">
        <v>78</v>
      </c>
      <c r="D71" s="39">
        <v>22926730.91</v>
      </c>
      <c r="E71" s="39">
        <v>275640.34999999998</v>
      </c>
      <c r="F71" s="39">
        <v>257715.62</v>
      </c>
      <c r="G71" s="48">
        <v>17924.73</v>
      </c>
      <c r="H71" s="39">
        <v>24737968.940000001</v>
      </c>
      <c r="I71" s="44">
        <f t="shared" si="14"/>
        <v>8.2248187454634933E-5</v>
      </c>
      <c r="J71" s="39">
        <v>24685557.829999998</v>
      </c>
      <c r="K71" s="44">
        <f t="shared" si="15"/>
        <v>8.2873921662576653E-5</v>
      </c>
      <c r="L71" s="44">
        <f t="shared" si="16"/>
        <v>-2.1186504893397737E-3</v>
      </c>
      <c r="M71" s="45">
        <f t="shared" si="17"/>
        <v>1.0439935033058154E-2</v>
      </c>
      <c r="N71" s="45">
        <f t="shared" si="18"/>
        <v>7.2612213681541105E-4</v>
      </c>
      <c r="O71" s="50">
        <f t="shared" si="19"/>
        <v>0.75190971820405372</v>
      </c>
      <c r="P71" s="50">
        <f t="shared" si="20"/>
        <v>5.4597829127460103E-4</v>
      </c>
      <c r="Q71" s="41">
        <v>0.75190000000000001</v>
      </c>
      <c r="R71" s="41">
        <v>0.75190000000000001</v>
      </c>
      <c r="S71" s="41">
        <v>748</v>
      </c>
      <c r="T71" s="41">
        <v>32830481.149999999</v>
      </c>
      <c r="U71" s="41">
        <v>32830481.149999999</v>
      </c>
    </row>
    <row r="72" spans="1:21" ht="14.25">
      <c r="A72" s="136">
        <v>62</v>
      </c>
      <c r="B72" s="37" t="s">
        <v>120</v>
      </c>
      <c r="C72" s="37" t="s">
        <v>121</v>
      </c>
      <c r="D72" s="104">
        <v>1078012047.1400001</v>
      </c>
      <c r="E72" s="92">
        <v>49788559.159999996</v>
      </c>
      <c r="F72" s="39">
        <v>16310379.699999999</v>
      </c>
      <c r="G72" s="48">
        <v>33478179.460000001</v>
      </c>
      <c r="H72" s="39">
        <v>1074869107.5799999</v>
      </c>
      <c r="I72" s="44">
        <f t="shared" si="14"/>
        <v>3.5736982314052493E-3</v>
      </c>
      <c r="J72" s="39">
        <v>1078012047.1400001</v>
      </c>
      <c r="K72" s="44">
        <f t="shared" si="15"/>
        <v>3.6190831319769397E-3</v>
      </c>
      <c r="L72" s="44">
        <f t="shared" si="16"/>
        <v>2.924020736884244E-3</v>
      </c>
      <c r="M72" s="45">
        <f t="shared" si="17"/>
        <v>1.5130053270992611E-2</v>
      </c>
      <c r="N72" s="45">
        <f t="shared" si="18"/>
        <v>3.1055478042957559E-2</v>
      </c>
      <c r="O72" s="50">
        <f t="shared" si="19"/>
        <v>210.0006684764756</v>
      </c>
      <c r="P72" s="50">
        <f t="shared" si="20"/>
        <v>6.5216711488775969</v>
      </c>
      <c r="Q72" s="41">
        <v>210.00069999999999</v>
      </c>
      <c r="R72" s="41">
        <v>211.6961</v>
      </c>
      <c r="S72" s="41">
        <v>486</v>
      </c>
      <c r="T72" s="41">
        <v>5188360.01</v>
      </c>
      <c r="U72" s="75">
        <v>5133374.3600000003</v>
      </c>
    </row>
    <row r="73" spans="1:21" ht="14.25">
      <c r="A73" s="136">
        <v>63</v>
      </c>
      <c r="B73" s="36" t="s">
        <v>122</v>
      </c>
      <c r="C73" s="37" t="s">
        <v>37</v>
      </c>
      <c r="D73" s="39">
        <v>1255852740.8</v>
      </c>
      <c r="E73" s="39">
        <v>10519836.67</v>
      </c>
      <c r="F73" s="39">
        <v>1582295.52</v>
      </c>
      <c r="G73" s="48">
        <v>8937541.1500000004</v>
      </c>
      <c r="H73" s="39">
        <v>1242268314.51</v>
      </c>
      <c r="I73" s="44">
        <f t="shared" si="14"/>
        <v>4.1302629754523352E-3</v>
      </c>
      <c r="J73" s="39">
        <v>1242799890.6500001</v>
      </c>
      <c r="K73" s="44">
        <f t="shared" si="15"/>
        <v>4.1723059891649594E-3</v>
      </c>
      <c r="L73" s="44">
        <f t="shared" si="16"/>
        <v>4.2790767001875895E-4</v>
      </c>
      <c r="M73" s="45">
        <f t="shared" si="17"/>
        <v>1.2731699864991454E-3</v>
      </c>
      <c r="N73" s="45">
        <f t="shared" si="18"/>
        <v>7.1914563376132522E-3</v>
      </c>
      <c r="O73" s="50">
        <f t="shared" si="19"/>
        <v>3.1288629222475532</v>
      </c>
      <c r="P73" s="50">
        <f t="shared" si="20"/>
        <v>2.250108109172029E-2</v>
      </c>
      <c r="Q73" s="41">
        <v>3.55</v>
      </c>
      <c r="R73" s="41">
        <v>3.55</v>
      </c>
      <c r="S73" s="41">
        <v>783</v>
      </c>
      <c r="T73" s="41">
        <v>398117279</v>
      </c>
      <c r="U73" s="41">
        <v>397204966</v>
      </c>
    </row>
    <row r="74" spans="1:21" ht="14.25">
      <c r="A74" s="136">
        <v>64</v>
      </c>
      <c r="B74" s="36" t="s">
        <v>125</v>
      </c>
      <c r="C74" s="36" t="s">
        <v>21</v>
      </c>
      <c r="D74" s="39">
        <v>1670859487.04</v>
      </c>
      <c r="E74" s="39">
        <v>16685840.369999999</v>
      </c>
      <c r="F74" s="39">
        <v>2148737.5299999998</v>
      </c>
      <c r="G74" s="48">
        <v>13755862.09</v>
      </c>
      <c r="H74" s="39">
        <v>1634212524.79</v>
      </c>
      <c r="I74" s="44">
        <f t="shared" si="14"/>
        <v>5.4333893944827688E-3</v>
      </c>
      <c r="J74" s="39">
        <v>1647413313.29</v>
      </c>
      <c r="K74" s="44">
        <f t="shared" si="15"/>
        <v>5.5306670730997749E-3</v>
      </c>
      <c r="L74" s="44">
        <f t="shared" si="16"/>
        <v>8.0777673036720437E-3</v>
      </c>
      <c r="M74" s="45">
        <f t="shared" si="17"/>
        <v>1.3043099219034598E-3</v>
      </c>
      <c r="N74" s="45">
        <f t="shared" si="18"/>
        <v>8.3499762804080894E-3</v>
      </c>
      <c r="O74" s="50">
        <f t="shared" si="19"/>
        <v>340.97869949937018</v>
      </c>
      <c r="P74" s="50">
        <f t="shared" si="20"/>
        <v>2.8471640529441382</v>
      </c>
      <c r="Q74" s="73">
        <v>340.48169999999999</v>
      </c>
      <c r="R74" s="73">
        <v>340.48169999999999</v>
      </c>
      <c r="S74" s="73">
        <v>102</v>
      </c>
      <c r="T74" s="73">
        <v>4835881.45</v>
      </c>
      <c r="U74" s="73">
        <v>4831425.88</v>
      </c>
    </row>
    <row r="75" spans="1:21" ht="14.25">
      <c r="A75" s="136">
        <v>65</v>
      </c>
      <c r="B75" s="37" t="s">
        <v>126</v>
      </c>
      <c r="C75" s="37" t="s">
        <v>40</v>
      </c>
      <c r="D75" s="39">
        <v>53368819.780000001</v>
      </c>
      <c r="E75" s="39">
        <v>947005.81</v>
      </c>
      <c r="F75" s="39">
        <v>154790.29999999999</v>
      </c>
      <c r="G75" s="48">
        <v>792215.51</v>
      </c>
      <c r="H75" s="39">
        <v>55777840.960000001</v>
      </c>
      <c r="I75" s="44">
        <f t="shared" si="14"/>
        <v>1.854487864472553E-4</v>
      </c>
      <c r="J75" s="39">
        <v>55325409.229999997</v>
      </c>
      <c r="K75" s="44">
        <f t="shared" si="15"/>
        <v>1.8573749323602041E-4</v>
      </c>
      <c r="L75" s="44">
        <f t="shared" si="16"/>
        <v>-8.1113166485676062E-3</v>
      </c>
      <c r="M75" s="45">
        <f t="shared" si="17"/>
        <v>2.7978157261612361E-3</v>
      </c>
      <c r="N75" s="45">
        <f t="shared" si="18"/>
        <v>1.4319198376040645E-2</v>
      </c>
      <c r="O75" s="50">
        <f t="shared" si="19"/>
        <v>12.040232431240959</v>
      </c>
      <c r="P75" s="50">
        <f t="shared" si="20"/>
        <v>0.17240647667657744</v>
      </c>
      <c r="Q75" s="41">
        <v>11.9</v>
      </c>
      <c r="R75" s="41">
        <v>12.34</v>
      </c>
      <c r="S75" s="41">
        <v>55</v>
      </c>
      <c r="T75" s="41">
        <v>4515142.95</v>
      </c>
      <c r="U75" s="41">
        <v>4595044.95</v>
      </c>
    </row>
    <row r="76" spans="1:21" ht="14.25">
      <c r="A76" s="136">
        <v>66</v>
      </c>
      <c r="B76" s="36" t="s">
        <v>127</v>
      </c>
      <c r="C76" s="36" t="s">
        <v>128</v>
      </c>
      <c r="D76" s="39">
        <v>6700816567.3599997</v>
      </c>
      <c r="E76" s="39">
        <v>69663324.640000001</v>
      </c>
      <c r="F76" s="39">
        <v>10964797.92</v>
      </c>
      <c r="G76" s="48">
        <v>58698526.719999999</v>
      </c>
      <c r="H76" s="39">
        <v>6889434792</v>
      </c>
      <c r="I76" s="44">
        <f t="shared" si="14"/>
        <v>2.2905822446590063E-2</v>
      </c>
      <c r="J76" s="39">
        <v>6797647047</v>
      </c>
      <c r="K76" s="44">
        <f t="shared" si="15"/>
        <v>2.2820941408028275E-2</v>
      </c>
      <c r="L76" s="44">
        <f t="shared" si="16"/>
        <v>-1.3322971734427877E-2</v>
      </c>
      <c r="M76" s="45">
        <f t="shared" si="17"/>
        <v>1.6130284264816435E-3</v>
      </c>
      <c r="N76" s="45">
        <f t="shared" si="18"/>
        <v>8.6351242296266867E-3</v>
      </c>
      <c r="O76" s="50">
        <f t="shared" si="19"/>
        <v>1.0899363833376112</v>
      </c>
      <c r="P76" s="50">
        <f t="shared" si="20"/>
        <v>9.4117360725102881E-3</v>
      </c>
      <c r="Q76" s="41">
        <v>1.0900000000000001</v>
      </c>
      <c r="R76" s="41">
        <v>1.0900000000000001</v>
      </c>
      <c r="S76" s="41">
        <v>3569</v>
      </c>
      <c r="T76" s="41">
        <v>6379106289</v>
      </c>
      <c r="U76" s="41">
        <v>6236737438</v>
      </c>
    </row>
    <row r="77" spans="1:21" ht="14.25">
      <c r="A77" s="136">
        <v>67</v>
      </c>
      <c r="B77" s="37" t="s">
        <v>129</v>
      </c>
      <c r="C77" s="36" t="s">
        <v>44</v>
      </c>
      <c r="D77" s="92" t="s">
        <v>130</v>
      </c>
      <c r="E77" s="92" t="s">
        <v>131</v>
      </c>
      <c r="F77" s="90">
        <v>25844466.289999999</v>
      </c>
      <c r="G77" s="92" t="s">
        <v>132</v>
      </c>
      <c r="H77" s="39">
        <v>23134172112.360001</v>
      </c>
      <c r="I77" s="44">
        <f t="shared" si="14"/>
        <v>7.6915923417970503E-2</v>
      </c>
      <c r="J77" s="90">
        <v>22327364852.099998</v>
      </c>
      <c r="K77" s="44">
        <f t="shared" si="15"/>
        <v>7.495703756939176E-2</v>
      </c>
      <c r="L77" s="44">
        <f t="shared" si="16"/>
        <v>-3.4875130017250344E-2</v>
      </c>
      <c r="M77" s="45">
        <f t="shared" si="17"/>
        <v>1.157524251571909E-3</v>
      </c>
      <c r="N77" s="45">
        <f t="shared" si="18"/>
        <v>8.6285474997234192E-3</v>
      </c>
      <c r="O77" s="50">
        <f t="shared" si="19"/>
        <v>4927.1926338219546</v>
      </c>
      <c r="P77" s="50">
        <f t="shared" si="20"/>
        <v>42.514515681220075</v>
      </c>
      <c r="Q77" s="73">
        <v>4927.1899999999996</v>
      </c>
      <c r="R77" s="73">
        <v>4927.1899999999996</v>
      </c>
      <c r="S77" s="41">
        <v>434</v>
      </c>
      <c r="T77" s="41">
        <v>4735449.95</v>
      </c>
      <c r="U77" s="73">
        <v>4531457.67</v>
      </c>
    </row>
    <row r="78" spans="1:21" ht="14.25">
      <c r="A78" s="136">
        <v>68</v>
      </c>
      <c r="B78" s="36" t="s">
        <v>133</v>
      </c>
      <c r="C78" s="36" t="s">
        <v>44</v>
      </c>
      <c r="D78" s="90">
        <v>38615488528.919998</v>
      </c>
      <c r="E78" s="90">
        <v>282572553.13999999</v>
      </c>
      <c r="F78" s="90">
        <v>63412469.32</v>
      </c>
      <c r="G78" s="90">
        <v>219160083.81999999</v>
      </c>
      <c r="H78" s="39">
        <v>39108555672.959999</v>
      </c>
      <c r="I78" s="44">
        <f t="shared" si="14"/>
        <v>0.13002715889373415</v>
      </c>
      <c r="J78" s="90">
        <v>38481908416.360001</v>
      </c>
      <c r="K78" s="44">
        <f t="shared" si="15"/>
        <v>0.129190787807442</v>
      </c>
      <c r="L78" s="44">
        <f t="shared" si="16"/>
        <v>-1.6023277920060544E-2</v>
      </c>
      <c r="M78" s="45">
        <f t="shared" si="17"/>
        <v>1.6478514691605354E-3</v>
      </c>
      <c r="N78" s="45">
        <f t="shared" si="18"/>
        <v>5.6951459228260989E-3</v>
      </c>
      <c r="O78" s="50">
        <f t="shared" si="19"/>
        <v>254.92672781567299</v>
      </c>
      <c r="P78" s="50">
        <f t="shared" si="20"/>
        <v>1.4518449145388286</v>
      </c>
      <c r="Q78" s="73">
        <v>254.93</v>
      </c>
      <c r="R78" s="73">
        <v>254.93</v>
      </c>
      <c r="S78" s="41">
        <v>6702</v>
      </c>
      <c r="T78" s="73">
        <v>153959180.59999999</v>
      </c>
      <c r="U78" s="73">
        <v>150952819.84</v>
      </c>
    </row>
    <row r="79" spans="1:21" ht="14.25">
      <c r="A79" s="136">
        <v>69</v>
      </c>
      <c r="B79" s="37" t="s">
        <v>134</v>
      </c>
      <c r="C79" s="36" t="s">
        <v>44</v>
      </c>
      <c r="D79" s="90">
        <v>272982423.31</v>
      </c>
      <c r="E79" s="90">
        <v>2464622.9900000002</v>
      </c>
      <c r="F79" s="90">
        <v>102664.58</v>
      </c>
      <c r="G79" s="90">
        <v>1691665.83</v>
      </c>
      <c r="H79" s="39">
        <v>266897677.49000001</v>
      </c>
      <c r="I79" s="44">
        <f t="shared" si="14"/>
        <v>8.8737479874142881E-4</v>
      </c>
      <c r="J79" s="90">
        <v>287713996.52999997</v>
      </c>
      <c r="K79" s="44">
        <f t="shared" si="15"/>
        <v>9.6590838148598855E-4</v>
      </c>
      <c r="L79" s="44">
        <f t="shared" si="16"/>
        <v>7.7993631251361856E-2</v>
      </c>
      <c r="M79" s="45">
        <f t="shared" si="17"/>
        <v>3.5682859102509861E-4</v>
      </c>
      <c r="N79" s="45">
        <f t="shared" si="18"/>
        <v>5.8796786058463784E-3</v>
      </c>
      <c r="O79" s="50">
        <f t="shared" si="19"/>
        <v>5109.9064229304813</v>
      </c>
      <c r="P79" s="50">
        <f t="shared" si="20"/>
        <v>30.044607472781351</v>
      </c>
      <c r="Q79" s="73">
        <v>5096.1099999999997</v>
      </c>
      <c r="R79" s="73">
        <v>5119.37</v>
      </c>
      <c r="S79" s="41">
        <v>15</v>
      </c>
      <c r="T79" s="73">
        <v>52400.57</v>
      </c>
      <c r="U79" s="73">
        <v>56305.14</v>
      </c>
    </row>
    <row r="80" spans="1:21" ht="13.5" customHeight="1">
      <c r="A80" s="136">
        <v>70</v>
      </c>
      <c r="B80" s="36" t="s">
        <v>135</v>
      </c>
      <c r="C80" s="36" t="s">
        <v>44</v>
      </c>
      <c r="D80" s="92">
        <v>18844746705.099998</v>
      </c>
      <c r="E80" s="90">
        <v>180392960.28</v>
      </c>
      <c r="F80" s="90">
        <v>27320291.399999999</v>
      </c>
      <c r="G80" s="90">
        <v>153072668.88</v>
      </c>
      <c r="H80" s="39">
        <v>18993145008.619999</v>
      </c>
      <c r="I80" s="44">
        <f t="shared" si="14"/>
        <v>6.3147938895505837E-2</v>
      </c>
      <c r="J80" s="90">
        <v>19514662600.720001</v>
      </c>
      <c r="K80" s="44">
        <f t="shared" si="15"/>
        <v>6.5514282917206568E-2</v>
      </c>
      <c r="L80" s="44">
        <f t="shared" si="16"/>
        <v>2.7458200938460305E-2</v>
      </c>
      <c r="M80" s="45">
        <f t="shared" si="17"/>
        <v>1.3999878941792212E-3</v>
      </c>
      <c r="N80" s="45">
        <f t="shared" si="18"/>
        <v>7.8439823435303632E-3</v>
      </c>
      <c r="O80" s="50">
        <f t="shared" si="19"/>
        <v>124.06632323130812</v>
      </c>
      <c r="P80" s="50">
        <f t="shared" si="20"/>
        <v>0.97317404885311165</v>
      </c>
      <c r="Q80" s="76">
        <v>124.07</v>
      </c>
      <c r="R80" s="41">
        <v>124.07</v>
      </c>
      <c r="S80" s="41">
        <v>4192</v>
      </c>
      <c r="T80" s="73">
        <v>154299489.05000001</v>
      </c>
      <c r="U80" s="73">
        <v>157292181.25</v>
      </c>
    </row>
    <row r="81" spans="1:21" ht="14.25">
      <c r="A81" s="136">
        <v>71</v>
      </c>
      <c r="B81" s="36" t="s">
        <v>136</v>
      </c>
      <c r="C81" s="36" t="s">
        <v>44</v>
      </c>
      <c r="D81" s="90">
        <v>13547733005.93</v>
      </c>
      <c r="E81" s="90">
        <v>95745084.980000004</v>
      </c>
      <c r="F81" s="90">
        <v>22737547.579999998</v>
      </c>
      <c r="G81" s="90">
        <v>81507537.400000006</v>
      </c>
      <c r="H81" s="39">
        <v>14025714512.610001</v>
      </c>
      <c r="I81" s="44">
        <f t="shared" si="14"/>
        <v>4.6632348808274514E-2</v>
      </c>
      <c r="J81" s="90">
        <v>13606098434.74</v>
      </c>
      <c r="K81" s="44">
        <f t="shared" si="15"/>
        <v>4.567815495923714E-2</v>
      </c>
      <c r="L81" s="44">
        <f t="shared" si="16"/>
        <v>-2.99176257646439E-2</v>
      </c>
      <c r="M81" s="45">
        <f t="shared" si="17"/>
        <v>1.6711291402938091E-3</v>
      </c>
      <c r="N81" s="45">
        <f t="shared" si="18"/>
        <v>5.9905150466859416E-3</v>
      </c>
      <c r="O81" s="50">
        <f t="shared" si="19"/>
        <v>348.00048782992832</v>
      </c>
      <c r="P81" s="50">
        <f t="shared" si="20"/>
        <v>2.0847021585992334</v>
      </c>
      <c r="Q81" s="41">
        <v>347.93</v>
      </c>
      <c r="R81" s="41">
        <v>348.05</v>
      </c>
      <c r="S81" s="41">
        <v>10229</v>
      </c>
      <c r="T81" s="73">
        <v>40451274.950000003</v>
      </c>
      <c r="U81" s="73">
        <v>39097929.200000003</v>
      </c>
    </row>
    <row r="82" spans="1:21" ht="14.25">
      <c r="A82" s="136">
        <v>72</v>
      </c>
      <c r="B82" s="36" t="s">
        <v>137</v>
      </c>
      <c r="C82" s="36" t="s">
        <v>49</v>
      </c>
      <c r="D82" s="38">
        <v>88386605869</v>
      </c>
      <c r="E82" s="38">
        <v>675096315</v>
      </c>
      <c r="F82" s="38">
        <v>167983871</v>
      </c>
      <c r="G82" s="41">
        <v>507112445</v>
      </c>
      <c r="H82" s="39">
        <v>102639275310</v>
      </c>
      <c r="I82" s="44">
        <f t="shared" si="14"/>
        <v>0.34125252466683559</v>
      </c>
      <c r="J82" s="38">
        <v>103045828228</v>
      </c>
      <c r="K82" s="44">
        <f t="shared" si="15"/>
        <v>0.34594364668738797</v>
      </c>
      <c r="L82" s="44">
        <f t="shared" si="16"/>
        <v>3.9609878067834534E-3</v>
      </c>
      <c r="M82" s="45">
        <f t="shared" si="17"/>
        <v>1.6301860433235353E-3</v>
      </c>
      <c r="N82" s="45">
        <f t="shared" si="18"/>
        <v>4.9212321713593202E-3</v>
      </c>
      <c r="O82" s="50">
        <f t="shared" si="19"/>
        <v>1.953245552005858</v>
      </c>
      <c r="P82" s="50">
        <f t="shared" si="20"/>
        <v>9.6123748490957242E-3</v>
      </c>
      <c r="Q82" s="73">
        <v>1.95</v>
      </c>
      <c r="R82" s="73">
        <v>1.95</v>
      </c>
      <c r="S82" s="73">
        <v>2039</v>
      </c>
      <c r="T82" s="73">
        <v>53339418933</v>
      </c>
      <c r="U82" s="73">
        <v>52756207801</v>
      </c>
    </row>
    <row r="83" spans="1:21" ht="14.25">
      <c r="A83" s="136">
        <v>73</v>
      </c>
      <c r="B83" s="36" t="s">
        <v>138</v>
      </c>
      <c r="C83" s="105" t="s">
        <v>139</v>
      </c>
      <c r="D83" s="38">
        <v>52457043.590000004</v>
      </c>
      <c r="E83" s="90">
        <v>1212048.28</v>
      </c>
      <c r="F83" s="90">
        <v>357630.02</v>
      </c>
      <c r="G83" s="41">
        <v>854418.26</v>
      </c>
      <c r="H83" s="39">
        <v>0</v>
      </c>
      <c r="I83" s="44">
        <f t="shared" si="14"/>
        <v>0</v>
      </c>
      <c r="J83" s="38">
        <v>56559452.880000003</v>
      </c>
      <c r="K83" s="44">
        <f t="shared" si="15"/>
        <v>1.89880402927695E-4</v>
      </c>
      <c r="L83" s="44" t="e">
        <f t="shared" si="16"/>
        <v>#DIV/0!</v>
      </c>
      <c r="M83" s="45">
        <f t="shared" si="17"/>
        <v>6.3230813204429286E-3</v>
      </c>
      <c r="N83" s="45">
        <f t="shared" si="18"/>
        <v>1.5106551009479991E-2</v>
      </c>
      <c r="O83" s="50">
        <f t="shared" si="19"/>
        <v>100.40167962131869</v>
      </c>
      <c r="P83" s="50">
        <f t="shared" si="20"/>
        <v>1.5167230946369186</v>
      </c>
      <c r="Q83" s="73">
        <v>100.4016</v>
      </c>
      <c r="R83" s="73">
        <v>100.4016</v>
      </c>
      <c r="S83" s="73">
        <v>29</v>
      </c>
      <c r="T83" s="73">
        <v>463874.29</v>
      </c>
      <c r="U83" s="73">
        <v>563331.74</v>
      </c>
    </row>
    <row r="84" spans="1:21" ht="14.25">
      <c r="A84" s="136">
        <v>74</v>
      </c>
      <c r="B84" s="36" t="s">
        <v>140</v>
      </c>
      <c r="C84" s="37" t="s">
        <v>35</v>
      </c>
      <c r="D84" s="90">
        <v>11170296319.92</v>
      </c>
      <c r="E84" s="90">
        <v>52615349.840000004</v>
      </c>
      <c r="F84" s="90">
        <v>2475495.02</v>
      </c>
      <c r="G84" s="90">
        <v>50139854.82</v>
      </c>
      <c r="H84" s="39">
        <v>9386752014</v>
      </c>
      <c r="I84" s="44">
        <f>(H84/$H$86)</f>
        <v>3.1208840997018567E-2</v>
      </c>
      <c r="J84" s="90">
        <v>9211338353.3099995</v>
      </c>
      <c r="K84" s="44">
        <f t="shared" si="15"/>
        <v>3.0924143515686588E-2</v>
      </c>
      <c r="L84" s="44">
        <f t="shared" si="16"/>
        <v>-1.868736496163715E-2</v>
      </c>
      <c r="M84" s="45">
        <f t="shared" si="17"/>
        <v>2.6874433714732196E-4</v>
      </c>
      <c r="N84" s="45">
        <f t="shared" si="18"/>
        <v>5.4432757648059642E-3</v>
      </c>
      <c r="O84" s="50">
        <f t="shared" si="19"/>
        <v>1</v>
      </c>
      <c r="P84" s="50">
        <f t="shared" si="20"/>
        <v>5.4432757648059642E-3</v>
      </c>
      <c r="Q84" s="41">
        <v>1</v>
      </c>
      <c r="R84" s="41">
        <v>1</v>
      </c>
      <c r="S84" s="73">
        <v>5506</v>
      </c>
      <c r="T84" s="73">
        <v>9386752014</v>
      </c>
      <c r="U84" s="73">
        <v>9211338353.3099995</v>
      </c>
    </row>
    <row r="85" spans="1:21" ht="14.25">
      <c r="A85" s="136">
        <v>75</v>
      </c>
      <c r="B85" s="37" t="s">
        <v>141</v>
      </c>
      <c r="C85" s="37" t="s">
        <v>98</v>
      </c>
      <c r="D85" s="90">
        <v>2609308013.71</v>
      </c>
      <c r="E85" s="90">
        <v>23024317.879999999</v>
      </c>
      <c r="F85" s="90">
        <v>4517174.8</v>
      </c>
      <c r="G85" s="90">
        <v>18507143.079999998</v>
      </c>
      <c r="H85" s="39">
        <v>2575968238.7600002</v>
      </c>
      <c r="I85" s="44">
        <f>(H85/$H$86)</f>
        <v>8.5645155062078551E-3</v>
      </c>
      <c r="J85" s="90">
        <v>2616055318.1500001</v>
      </c>
      <c r="K85" s="44">
        <f t="shared" si="15"/>
        <v>8.7825750179261874E-3</v>
      </c>
      <c r="L85" s="44">
        <f t="shared" si="16"/>
        <v>1.5561946295307071E-2</v>
      </c>
      <c r="M85" s="45">
        <f t="shared" si="17"/>
        <v>1.7267122635596321E-3</v>
      </c>
      <c r="N85" s="45">
        <f t="shared" si="18"/>
        <v>7.0744463817713626E-3</v>
      </c>
      <c r="O85" s="50">
        <f t="shared" si="19"/>
        <v>25.12287482683012</v>
      </c>
      <c r="P85" s="50">
        <f t="shared" si="20"/>
        <v>0.17773043091836319</v>
      </c>
      <c r="Q85" s="73">
        <v>25.122900000000001</v>
      </c>
      <c r="R85" s="73">
        <v>25.122900000000001</v>
      </c>
      <c r="S85" s="73">
        <v>1319</v>
      </c>
      <c r="T85" s="73">
        <v>103407989.48999999</v>
      </c>
      <c r="U85" s="73">
        <v>104130412.47</v>
      </c>
    </row>
    <row r="86" spans="1:21" ht="14.25">
      <c r="A86" s="123" t="s">
        <v>50</v>
      </c>
      <c r="B86" s="123"/>
      <c r="C86" s="123"/>
      <c r="D86" s="123"/>
      <c r="E86" s="123"/>
      <c r="F86" s="123"/>
      <c r="G86" s="123"/>
      <c r="H86" s="34">
        <f>SUM(H56:H85)</f>
        <v>300772207942.51001</v>
      </c>
      <c r="I86" s="86">
        <f>(H86/$H$170)</f>
        <v>0.15109485814462606</v>
      </c>
      <c r="J86" s="34">
        <f>SUM(J56:J85)</f>
        <v>297868826945.44</v>
      </c>
      <c r="K86" s="86">
        <f>(J86/$J$170)</f>
        <v>0.14770891557529559</v>
      </c>
      <c r="L86" s="44">
        <f t="shared" si="16"/>
        <v>-9.653089349348937E-3</v>
      </c>
      <c r="M86" s="45"/>
      <c r="N86" s="45"/>
      <c r="O86" s="50"/>
      <c r="P86" s="50"/>
      <c r="Q86" s="41"/>
      <c r="R86" s="41"/>
      <c r="S86" s="43">
        <f>SUM(S56:S85)</f>
        <v>43990</v>
      </c>
      <c r="T86" s="41"/>
      <c r="U86" s="41"/>
    </row>
    <row r="87" spans="1:21" ht="7.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</row>
    <row r="88" spans="1:21">
      <c r="A88" s="121" t="s">
        <v>142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</row>
    <row r="89" spans="1:21" ht="13.5">
      <c r="A89" s="125" t="s">
        <v>143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</row>
    <row r="90" spans="1:21" ht="14.25">
      <c r="A90" s="136">
        <v>76</v>
      </c>
      <c r="B90" s="36" t="s">
        <v>144</v>
      </c>
      <c r="C90" s="36" t="s">
        <v>21</v>
      </c>
      <c r="D90" s="90">
        <v>1444392194</v>
      </c>
      <c r="E90" s="90">
        <v>9596117.8499999996</v>
      </c>
      <c r="F90" s="90">
        <v>2882025.79</v>
      </c>
      <c r="G90" s="106">
        <v>6714092.0599999996</v>
      </c>
      <c r="H90" s="49">
        <v>1330324850.3099999</v>
      </c>
      <c r="I90" s="44">
        <f t="shared" ref="I90:I99" si="21">(H90/$H$111)</f>
        <v>2.2532042169368513E-3</v>
      </c>
      <c r="J90" s="49">
        <v>1420281802.0999999</v>
      </c>
      <c r="K90" s="44">
        <f t="shared" ref="K90:K99" si="22">(J90/$J$111)</f>
        <v>2.1897216531497673E-3</v>
      </c>
      <c r="L90" s="44">
        <f>((J90-H90)/H90)</f>
        <v>6.7620289712725185E-2</v>
      </c>
      <c r="M90" s="45">
        <f t="shared" ref="M90" si="23">(F90/J90)</f>
        <v>2.0291929289938766E-3</v>
      </c>
      <c r="N90" s="45">
        <f>G90/J90</f>
        <v>4.7272957029180262E-3</v>
      </c>
      <c r="O90" s="50">
        <f>J90/U90</f>
        <v>90051.343498235365</v>
      </c>
      <c r="P90" s="50">
        <f>G90/U90</f>
        <v>425.69932916120314</v>
      </c>
      <c r="Q90" s="40">
        <v>109.15389999999999</v>
      </c>
      <c r="R90" s="40">
        <v>109.15389999999999</v>
      </c>
      <c r="S90" s="40">
        <v>227</v>
      </c>
      <c r="T90" s="40">
        <v>15928.9</v>
      </c>
      <c r="U90" s="40">
        <v>15771.9113</v>
      </c>
    </row>
    <row r="91" spans="1:21" ht="13.5" customHeight="1">
      <c r="A91" s="136">
        <v>77</v>
      </c>
      <c r="B91" s="36" t="s">
        <v>145</v>
      </c>
      <c r="C91" s="37" t="s">
        <v>25</v>
      </c>
      <c r="D91" s="39">
        <f>8709544.45*825.494</f>
        <v>7189676686.2082996</v>
      </c>
      <c r="E91" s="49">
        <f>66123.53*825.494</f>
        <v>54584577.273819998</v>
      </c>
      <c r="F91" s="49">
        <f>16966.13*825.494</f>
        <v>14005438.518220002</v>
      </c>
      <c r="G91" s="53">
        <f>49157.4*825.494</f>
        <v>40579138.755600005</v>
      </c>
      <c r="H91" s="49">
        <f>10314800*769.26</f>
        <v>7934763048</v>
      </c>
      <c r="I91" s="44">
        <f t="shared" si="21"/>
        <v>1.3439305111065255E-2</v>
      </c>
      <c r="J91" s="49">
        <f>10373804*825.494</f>
        <v>8563512959.1760006</v>
      </c>
      <c r="K91" s="44">
        <f t="shared" si="22"/>
        <v>1.3202809277715473E-2</v>
      </c>
      <c r="L91" s="44">
        <f t="shared" ref="L91:L99" si="24">((J91-H91)/H91)</f>
        <v>7.9239910174063788E-2</v>
      </c>
      <c r="M91" s="45">
        <f t="shared" ref="M91:M99" si="25">(F91/J91)</f>
        <v>1.6354781717487627E-3</v>
      </c>
      <c r="N91" s="45">
        <f t="shared" ref="N91:N99" si="26">G91/J91</f>
        <v>4.738608903734831E-3</v>
      </c>
      <c r="O91" s="50">
        <f t="shared" ref="O91:O99" si="27">J91/U91</f>
        <v>960.83854864465707</v>
      </c>
      <c r="P91" s="50">
        <f t="shared" ref="P91:P99" si="28">G91/U91</f>
        <v>4.5530381016592241</v>
      </c>
      <c r="Q91" s="40">
        <f>1.164*825.494</f>
        <v>960.87501599999996</v>
      </c>
      <c r="R91" s="40">
        <f>1.164*825.494</f>
        <v>960.87501599999996</v>
      </c>
      <c r="S91" s="40">
        <v>367</v>
      </c>
      <c r="T91" s="40">
        <v>8907579</v>
      </c>
      <c r="U91" s="40">
        <v>8912541</v>
      </c>
    </row>
    <row r="92" spans="1:21" ht="15" customHeight="1">
      <c r="A92" s="136">
        <v>78</v>
      </c>
      <c r="B92" s="36" t="s">
        <v>146</v>
      </c>
      <c r="C92" s="37" t="s">
        <v>72</v>
      </c>
      <c r="D92" s="39">
        <v>2132251274.4100001</v>
      </c>
      <c r="E92" s="49">
        <v>14582434.060000001</v>
      </c>
      <c r="F92" s="49">
        <v>3764995.58</v>
      </c>
      <c r="G92" s="53">
        <v>10817438.470000001</v>
      </c>
      <c r="H92" s="49">
        <v>1948619929.3599999</v>
      </c>
      <c r="I92" s="44">
        <f t="shared" si="21"/>
        <v>3.3004259380842271E-3</v>
      </c>
      <c r="J92" s="49">
        <v>2107388682.9000001</v>
      </c>
      <c r="K92" s="44">
        <f t="shared" si="22"/>
        <v>3.2490697435719118E-3</v>
      </c>
      <c r="L92" s="44">
        <f t="shared" si="24"/>
        <v>8.1477537588433596E-2</v>
      </c>
      <c r="M92" s="45">
        <f t="shared" si="25"/>
        <v>1.7865691367474506E-3</v>
      </c>
      <c r="N92" s="45">
        <f t="shared" si="26"/>
        <v>5.1331007695808676E-3</v>
      </c>
      <c r="O92" s="50">
        <f t="shared" si="27"/>
        <v>88117.447753942193</v>
      </c>
      <c r="P92" s="50">
        <f t="shared" si="28"/>
        <v>452.31573887926248</v>
      </c>
      <c r="Q92" s="53">
        <v>106.32</v>
      </c>
      <c r="R92" s="53">
        <v>106.32</v>
      </c>
      <c r="S92" s="40">
        <v>41</v>
      </c>
      <c r="T92" s="40">
        <v>23827.17</v>
      </c>
      <c r="U92" s="40">
        <v>23915.68</v>
      </c>
    </row>
    <row r="93" spans="1:21" ht="15" customHeight="1">
      <c r="A93" s="136">
        <v>79</v>
      </c>
      <c r="B93" s="36" t="s">
        <v>147</v>
      </c>
      <c r="C93" s="36" t="s">
        <v>148</v>
      </c>
      <c r="D93" s="107">
        <v>22549292384.689999</v>
      </c>
      <c r="E93" s="107">
        <v>142705521.16</v>
      </c>
      <c r="F93" s="107">
        <v>36247340.149999999</v>
      </c>
      <c r="G93" s="47">
        <v>106458181</v>
      </c>
      <c r="H93" s="49">
        <v>22413074636.669998</v>
      </c>
      <c r="I93" s="44">
        <f t="shared" si="21"/>
        <v>3.7961580792914701E-2</v>
      </c>
      <c r="J93" s="38">
        <v>22549292384.689999</v>
      </c>
      <c r="K93" s="44">
        <f t="shared" si="22"/>
        <v>3.4765406220760908E-2</v>
      </c>
      <c r="L93" s="44">
        <f t="shared" si="24"/>
        <v>6.0776020348914913E-3</v>
      </c>
      <c r="M93" s="45">
        <f t="shared" si="25"/>
        <v>1.6074712914100305E-3</v>
      </c>
      <c r="N93" s="45">
        <f t="shared" si="26"/>
        <v>4.7211317847064916E-3</v>
      </c>
      <c r="O93" s="50">
        <f t="shared" si="27"/>
        <v>92908.721731541649</v>
      </c>
      <c r="P93" s="50">
        <f t="shared" si="28"/>
        <v>438.63431924323203</v>
      </c>
      <c r="Q93" s="41">
        <f>122.38*825.494</f>
        <v>101023.95572</v>
      </c>
      <c r="R93" s="41">
        <f>122.38*825.494</f>
        <v>101023.95572</v>
      </c>
      <c r="S93" s="40">
        <v>1951</v>
      </c>
      <c r="T93" s="40">
        <v>229567.53</v>
      </c>
      <c r="U93" s="40">
        <v>242703.72</v>
      </c>
    </row>
    <row r="94" spans="1:21" ht="14.25">
      <c r="A94" s="136">
        <v>80</v>
      </c>
      <c r="B94" s="36" t="s">
        <v>149</v>
      </c>
      <c r="C94" s="36" t="s">
        <v>148</v>
      </c>
      <c r="D94" s="107">
        <v>19269940829.610001</v>
      </c>
      <c r="E94" s="47">
        <v>118192341.61</v>
      </c>
      <c r="F94" s="47">
        <v>30956918.920000002</v>
      </c>
      <c r="G94" s="47">
        <v>87235422.689999998</v>
      </c>
      <c r="H94" s="49">
        <v>17562141743.82</v>
      </c>
      <c r="I94" s="44">
        <f t="shared" si="21"/>
        <v>2.9745435354678103E-2</v>
      </c>
      <c r="J94" s="38">
        <v>19269940829.610001</v>
      </c>
      <c r="K94" s="44">
        <f t="shared" si="22"/>
        <v>2.9709460916222362E-2</v>
      </c>
      <c r="L94" s="44">
        <f t="shared" si="24"/>
        <v>9.7243212741462123E-2</v>
      </c>
      <c r="M94" s="45">
        <f t="shared" si="25"/>
        <v>1.6064874922932771E-3</v>
      </c>
      <c r="N94" s="45">
        <f t="shared" si="26"/>
        <v>4.5270207864860131E-3</v>
      </c>
      <c r="O94" s="50">
        <f t="shared" si="27"/>
        <v>85070.139506230567</v>
      </c>
      <c r="P94" s="50">
        <f t="shared" si="28"/>
        <v>385.11428985397072</v>
      </c>
      <c r="Q94" s="41">
        <f>110.02*825.494</f>
        <v>90820.849879999994</v>
      </c>
      <c r="R94" s="41">
        <f>110.02*825.494</f>
        <v>90820.849879999994</v>
      </c>
      <c r="S94" s="40">
        <v>163</v>
      </c>
      <c r="T94" s="41">
        <v>202774.58</v>
      </c>
      <c r="U94" s="41">
        <v>226518.27</v>
      </c>
    </row>
    <row r="95" spans="1:21" ht="14.25">
      <c r="A95" s="136">
        <v>81</v>
      </c>
      <c r="B95" s="57" t="s">
        <v>150</v>
      </c>
      <c r="C95" s="58" t="s">
        <v>151</v>
      </c>
      <c r="D95" s="47">
        <f>91418.51*825.494</f>
        <v>75465431.493939996</v>
      </c>
      <c r="E95" s="47">
        <f>2527.78*825.494</f>
        <v>2086667.2233200003</v>
      </c>
      <c r="F95" s="47">
        <f>192.19*825.494</f>
        <v>158651.69185999999</v>
      </c>
      <c r="G95" s="53">
        <f>2335.59*825.494</f>
        <v>1928015.5314600002</v>
      </c>
      <c r="H95" s="49">
        <f>85242.01*769.26</f>
        <v>65573268.612599999</v>
      </c>
      <c r="I95" s="44">
        <f t="shared" si="21"/>
        <v>1.1106307254338188E-4</v>
      </c>
      <c r="J95" s="49">
        <f>74448.95*825.494</f>
        <v>61457161.531300001</v>
      </c>
      <c r="K95" s="44">
        <f t="shared" si="22"/>
        <v>9.4751673327949442E-5</v>
      </c>
      <c r="L95" s="44">
        <f t="shared" si="24"/>
        <v>-6.2771113418449931E-2</v>
      </c>
      <c r="M95" s="45">
        <f t="shared" si="25"/>
        <v>2.5815004778442139E-3</v>
      </c>
      <c r="N95" s="45">
        <f t="shared" si="26"/>
        <v>3.1371698324825267E-2</v>
      </c>
      <c r="O95" s="50">
        <f t="shared" si="27"/>
        <v>74086.725653442321</v>
      </c>
      <c r="P95" s="50">
        <f t="shared" si="28"/>
        <v>2324.2264070738856</v>
      </c>
      <c r="Q95" s="41">
        <f>88.18*825.494</f>
        <v>72792.060920000004</v>
      </c>
      <c r="R95" s="41">
        <f>88.18*825.494</f>
        <v>72792.060920000004</v>
      </c>
      <c r="S95" s="40">
        <v>3</v>
      </c>
      <c r="T95" s="40">
        <v>829.53</v>
      </c>
      <c r="U95" s="40">
        <v>829.53</v>
      </c>
    </row>
    <row r="96" spans="1:21" ht="14.25">
      <c r="A96" s="136">
        <v>82</v>
      </c>
      <c r="B96" s="36" t="s">
        <v>152</v>
      </c>
      <c r="C96" s="36" t="s">
        <v>153</v>
      </c>
      <c r="D96" s="48">
        <f>12863907.13*825.494</f>
        <v>10619078152.372221</v>
      </c>
      <c r="E96" s="48">
        <f>151290.59*825.494</f>
        <v>124889474.30146</v>
      </c>
      <c r="F96" s="90">
        <f>21539.32*825.494</f>
        <v>17780579.424079999</v>
      </c>
      <c r="G96" s="48">
        <f>129751.27*825.494</f>
        <v>107108894.87738001</v>
      </c>
      <c r="H96" s="49">
        <f>12909053.97*769.26</f>
        <v>9930418856.9622002</v>
      </c>
      <c r="I96" s="44">
        <f t="shared" si="21"/>
        <v>1.6819396885837654E-2</v>
      </c>
      <c r="J96" s="90">
        <f>12891665.13*825.494</f>
        <v>10641992214.824221</v>
      </c>
      <c r="K96" s="44">
        <f t="shared" si="22"/>
        <v>1.6407307867351749E-2</v>
      </c>
      <c r="L96" s="44">
        <f t="shared" si="24"/>
        <v>7.1655925909221596E-2</v>
      </c>
      <c r="M96" s="45">
        <f t="shared" si="25"/>
        <v>1.6707942521619003E-3</v>
      </c>
      <c r="N96" s="45">
        <f t="shared" si="26"/>
        <v>1.0064740954064792E-2</v>
      </c>
      <c r="O96" s="50">
        <f t="shared" si="27"/>
        <v>1038.5930221004423</v>
      </c>
      <c r="P96" s="50">
        <f t="shared" si="28"/>
        <v>10.45316972414024</v>
      </c>
      <c r="Q96" s="41">
        <f>825.494*1.31</f>
        <v>1081.39714</v>
      </c>
      <c r="R96" s="41">
        <f>825.494*1.31</f>
        <v>1081.39714</v>
      </c>
      <c r="S96" s="40">
        <v>120</v>
      </c>
      <c r="T96" s="74">
        <v>10058267</v>
      </c>
      <c r="U96" s="40">
        <v>10246547</v>
      </c>
    </row>
    <row r="97" spans="1:21" ht="14.25">
      <c r="A97" s="136">
        <v>83</v>
      </c>
      <c r="B97" s="36" t="s">
        <v>154</v>
      </c>
      <c r="C97" s="36" t="s">
        <v>49</v>
      </c>
      <c r="D97" s="39">
        <f>137972531*825.494</f>
        <v>113895496505.31401</v>
      </c>
      <c r="E97" s="49">
        <f>978141*825.494</f>
        <v>807449526.65400004</v>
      </c>
      <c r="F97" s="108">
        <f>248416*825.494</f>
        <v>205065917.50400001</v>
      </c>
      <c r="G97" s="53">
        <f>729725*825.494</f>
        <v>602383609.14999998</v>
      </c>
      <c r="H97" s="49">
        <f>147718622*769.26</f>
        <v>113634027159.72</v>
      </c>
      <c r="I97" s="44">
        <f t="shared" si="21"/>
        <v>0.19246477213752242</v>
      </c>
      <c r="J97" s="49">
        <f>145816599*825.494</f>
        <v>120370727574.90601</v>
      </c>
      <c r="K97" s="44">
        <f t="shared" si="22"/>
        <v>0.18558175440003655</v>
      </c>
      <c r="L97" s="44">
        <f t="shared" si="24"/>
        <v>5.9284182595386987E-2</v>
      </c>
      <c r="M97" s="45">
        <f t="shared" si="25"/>
        <v>1.7036194898497118E-3</v>
      </c>
      <c r="N97" s="45">
        <f t="shared" si="26"/>
        <v>5.0044028252229358E-3</v>
      </c>
      <c r="O97" s="50">
        <f t="shared" si="27"/>
        <v>100302.0856699009</v>
      </c>
      <c r="P97" s="50">
        <f t="shared" si="28"/>
        <v>501.952040902205</v>
      </c>
      <c r="Q97" s="53">
        <f>122*825.494</f>
        <v>100710.268</v>
      </c>
      <c r="R97" s="53">
        <f>122*825.494</f>
        <v>100710.268</v>
      </c>
      <c r="S97" s="40">
        <v>1126</v>
      </c>
      <c r="T97" s="40">
        <v>1208110</v>
      </c>
      <c r="U97" s="40">
        <v>1200082</v>
      </c>
    </row>
    <row r="98" spans="1:21" ht="14.25">
      <c r="A98" s="136">
        <v>84</v>
      </c>
      <c r="B98" s="36" t="s">
        <v>155</v>
      </c>
      <c r="C98" s="36" t="s">
        <v>156</v>
      </c>
      <c r="D98" s="49">
        <v>4232616080.8499999</v>
      </c>
      <c r="E98" s="49">
        <v>42856522.009999998</v>
      </c>
      <c r="F98" s="49">
        <v>8814677.9399999995</v>
      </c>
      <c r="G98" s="53">
        <v>34041844.07</v>
      </c>
      <c r="H98" s="49">
        <v>3797108139.96</v>
      </c>
      <c r="I98" s="44">
        <f t="shared" si="21"/>
        <v>6.4312562988877685E-3</v>
      </c>
      <c r="J98" s="49">
        <v>4392294909.8199997</v>
      </c>
      <c r="K98" s="44">
        <f t="shared" si="22"/>
        <v>6.7718274337047208E-3</v>
      </c>
      <c r="L98" s="44">
        <f t="shared" si="24"/>
        <v>0.15674738456784365</v>
      </c>
      <c r="M98" s="45">
        <f t="shared" si="25"/>
        <v>2.0068502049561225E-3</v>
      </c>
      <c r="N98" s="45">
        <f t="shared" si="26"/>
        <v>7.7503548302031173E-3</v>
      </c>
      <c r="O98" s="50">
        <f t="shared" si="27"/>
        <v>82266.57882077503</v>
      </c>
      <c r="P98" s="50">
        <f t="shared" si="28"/>
        <v>637.59517652787929</v>
      </c>
      <c r="Q98" s="53">
        <v>82266.58</v>
      </c>
      <c r="R98" s="53">
        <v>82266.58</v>
      </c>
      <c r="S98" s="40">
        <v>183</v>
      </c>
      <c r="T98" s="40">
        <v>47159</v>
      </c>
      <c r="U98" s="40">
        <v>53391</v>
      </c>
    </row>
    <row r="99" spans="1:21" ht="14.25">
      <c r="A99" s="136">
        <v>85</v>
      </c>
      <c r="B99" s="36" t="s">
        <v>157</v>
      </c>
      <c r="C99" s="36" t="s">
        <v>40</v>
      </c>
      <c r="D99" s="39">
        <f>1779774.45*825.494</f>
        <v>1469193129.8283</v>
      </c>
      <c r="E99" s="39">
        <f>36587*825.494</f>
        <v>30202348.978</v>
      </c>
      <c r="F99" s="39">
        <f>2328.7*825.494</f>
        <v>1922327.8777999999</v>
      </c>
      <c r="G99" s="53">
        <f>34258.3*825.494</f>
        <v>28280021.100200005</v>
      </c>
      <c r="H99" s="49">
        <f>1806656.62*769.26</f>
        <v>1389788671.5012</v>
      </c>
      <c r="I99" s="44">
        <f t="shared" si="21"/>
        <v>2.3539195667493192E-3</v>
      </c>
      <c r="J99" s="49">
        <f>1830254.52*825.494</f>
        <v>1510864124.7328801</v>
      </c>
      <c r="K99" s="44">
        <f t="shared" si="22"/>
        <v>2.3293770884081364E-3</v>
      </c>
      <c r="L99" s="44">
        <f t="shared" si="24"/>
        <v>8.7117887571280014E-2</v>
      </c>
      <c r="M99" s="45">
        <f t="shared" si="25"/>
        <v>1.2723367021106986E-3</v>
      </c>
      <c r="N99" s="45">
        <f t="shared" si="26"/>
        <v>1.8717779208107081E-2</v>
      </c>
      <c r="O99" s="50">
        <f t="shared" si="27"/>
        <v>108170.4395889927</v>
      </c>
      <c r="P99" s="50">
        <f t="shared" si="28"/>
        <v>2024.7104050706503</v>
      </c>
      <c r="Q99" s="53">
        <f>128.33*825.494</f>
        <v>105935.64502000001</v>
      </c>
      <c r="R99" s="53">
        <f>131.61*825.494</f>
        <v>108643.26534000001</v>
      </c>
      <c r="S99" s="40">
        <v>40</v>
      </c>
      <c r="T99" s="40">
        <v>13549.44</v>
      </c>
      <c r="U99" s="40">
        <v>13967.44</v>
      </c>
    </row>
    <row r="100" spans="1:21" ht="8.25" customHeight="1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</row>
    <row r="101" spans="1:21" ht="13.5">
      <c r="A101" s="125" t="s">
        <v>158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</row>
    <row r="102" spans="1:21" ht="14.25">
      <c r="A102" s="136">
        <v>86</v>
      </c>
      <c r="B102" s="36" t="s">
        <v>159</v>
      </c>
      <c r="C102" s="37" t="s">
        <v>105</v>
      </c>
      <c r="D102" s="39">
        <f>746630.06*825.494</f>
        <v>616338634.74964011</v>
      </c>
      <c r="E102" s="39">
        <f>7309.03*825.494</f>
        <v>6033560.4108199999</v>
      </c>
      <c r="F102" s="39">
        <f>1437.61*825.494</f>
        <v>1186738.42934</v>
      </c>
      <c r="G102" s="48">
        <f>5871*825.494</f>
        <v>4846475.2740000002</v>
      </c>
      <c r="H102" s="39">
        <f>879895.39*769.26</f>
        <v>676868327.71140003</v>
      </c>
      <c r="I102" s="44">
        <f t="shared" ref="I102:I110" si="29">(H102/$H$111)</f>
        <v>1.1464286861625776E-3</v>
      </c>
      <c r="J102" s="39">
        <f>898697.7*825.494</f>
        <v>741869559.1638</v>
      </c>
      <c r="K102" s="44">
        <f t="shared" ref="K102:K110" si="30">(J102/$J$111)</f>
        <v>1.1437785340287475E-3</v>
      </c>
      <c r="L102" s="44">
        <f>((J102-H102)/H102)</f>
        <v>9.6032313510929848E-2</v>
      </c>
      <c r="M102" s="45">
        <f>(F102/J102)</f>
        <v>1.5996591512362833E-3</v>
      </c>
      <c r="N102" s="45">
        <f>G102/J102</f>
        <v>6.5327862750733648E-3</v>
      </c>
      <c r="O102" s="46">
        <f>J102/U102</f>
        <v>82647.589671000314</v>
      </c>
      <c r="P102" s="46">
        <f>G102/U102</f>
        <v>539.91903947060598</v>
      </c>
      <c r="Q102" s="40">
        <f>99.18*825.494</f>
        <v>81872.494920000012</v>
      </c>
      <c r="R102" s="40">
        <f>99.18*825.494</f>
        <v>81872.494920000012</v>
      </c>
      <c r="S102" s="40">
        <v>27</v>
      </c>
      <c r="T102" s="74">
        <v>9071</v>
      </c>
      <c r="U102" s="40">
        <v>8976.2999999999993</v>
      </c>
    </row>
    <row r="103" spans="1:21" ht="14.25">
      <c r="A103" s="136">
        <v>87</v>
      </c>
      <c r="B103" s="36" t="s">
        <v>160</v>
      </c>
      <c r="C103" s="37" t="s">
        <v>27</v>
      </c>
      <c r="D103" s="39">
        <f>5119396.9*825.494</f>
        <v>4226031424.5686007</v>
      </c>
      <c r="E103" s="39">
        <f>41031.27*825.494</f>
        <v>33871067.197379999</v>
      </c>
      <c r="F103" s="39">
        <f>7127.79*825.494</f>
        <v>5883947.8782600006</v>
      </c>
      <c r="G103" s="48">
        <f>33903.48*825.494</f>
        <v>27987119.319120005</v>
      </c>
      <c r="H103" s="39">
        <f>6218050.66*769.26</f>
        <v>4783297650.7116003</v>
      </c>
      <c r="I103" s="44">
        <f t="shared" si="29"/>
        <v>8.1015899499554695E-3</v>
      </c>
      <c r="J103" s="39">
        <f>6235162.18*825.494</f>
        <v>5147088968.6169195</v>
      </c>
      <c r="K103" s="44">
        <f t="shared" si="30"/>
        <v>7.9355323349240663E-3</v>
      </c>
      <c r="L103" s="44">
        <f t="shared" ref="L103:L110" si="31">((J103-H103)/H103)</f>
        <v>7.6054501406827318E-2</v>
      </c>
      <c r="M103" s="45">
        <f t="shared" ref="M103:M110" si="32">(F103/J103)</f>
        <v>1.1431603211321765E-3</v>
      </c>
      <c r="N103" s="45">
        <f t="shared" ref="N103:N110" si="33">G103/J103</f>
        <v>5.4374656217843573E-3</v>
      </c>
      <c r="O103" s="46">
        <f t="shared" ref="O103:O110" si="34">J103/U103</f>
        <v>106472.99897245959</v>
      </c>
      <c r="P103" s="46">
        <f t="shared" ref="P103:P110" si="35">G103/U103</f>
        <v>578.9432715610302</v>
      </c>
      <c r="Q103" s="40">
        <f>128.98*825.494</f>
        <v>106472.21612</v>
      </c>
      <c r="R103" s="40">
        <f>128.98*825.494</f>
        <v>106472.21612</v>
      </c>
      <c r="S103" s="40">
        <v>325</v>
      </c>
      <c r="T103" s="74">
        <v>49634.99</v>
      </c>
      <c r="U103" s="74">
        <v>48341.73</v>
      </c>
    </row>
    <row r="104" spans="1:21" ht="14.25" customHeight="1">
      <c r="A104" s="136">
        <v>88</v>
      </c>
      <c r="B104" s="36" t="s">
        <v>161</v>
      </c>
      <c r="C104" s="36" t="s">
        <v>63</v>
      </c>
      <c r="D104" s="39">
        <f>10091259.9*825.494</f>
        <v>8330274499.8906002</v>
      </c>
      <c r="E104" s="39">
        <f>70414.52*825.494</f>
        <v>58126763.772880003</v>
      </c>
      <c r="F104" s="39">
        <f>18844.72*825.494</f>
        <v>15556203.291680001</v>
      </c>
      <c r="G104" s="48">
        <f>51569.8*825.494</f>
        <v>42570560.481200002</v>
      </c>
      <c r="H104" s="39">
        <f>10914202.09*769.26</f>
        <v>8395859099.7533998</v>
      </c>
      <c r="I104" s="44">
        <f t="shared" si="29"/>
        <v>1.4220274938082762E-2</v>
      </c>
      <c r="J104" s="39">
        <f>10843377.83*825.494</f>
        <v>8951143338.3980198</v>
      </c>
      <c r="K104" s="44">
        <f t="shared" si="30"/>
        <v>1.3800439011157167E-2</v>
      </c>
      <c r="L104" s="44">
        <f t="shared" si="31"/>
        <v>6.6137870115153499E-2</v>
      </c>
      <c r="M104" s="45">
        <f t="shared" si="32"/>
        <v>1.7379012606074616E-3</v>
      </c>
      <c r="N104" s="45">
        <f t="shared" si="33"/>
        <v>4.7558796537849682E-3</v>
      </c>
      <c r="O104" s="46">
        <f t="shared" si="34"/>
        <v>93700.795971883097</v>
      </c>
      <c r="P104" s="46">
        <f t="shared" si="35"/>
        <v>445.62970910613535</v>
      </c>
      <c r="Q104" s="40">
        <f>113.37*825.494</f>
        <v>93586.254780000003</v>
      </c>
      <c r="R104" s="40">
        <f>113.37*825.494</f>
        <v>93586.254780000003</v>
      </c>
      <c r="S104" s="40">
        <f>493+39+24</f>
        <v>556</v>
      </c>
      <c r="T104" s="40">
        <v>95514</v>
      </c>
      <c r="U104" s="74">
        <v>95529</v>
      </c>
    </row>
    <row r="105" spans="1:21" ht="15" customHeight="1">
      <c r="A105" s="136">
        <v>89</v>
      </c>
      <c r="B105" s="36" t="s">
        <v>162</v>
      </c>
      <c r="C105" s="37" t="s">
        <v>61</v>
      </c>
      <c r="D105" s="39">
        <f>825.49*3615487.2</f>
        <v>2984548528.7280002</v>
      </c>
      <c r="E105" s="39">
        <f>825.49*20592.53</f>
        <v>16998927.589699998</v>
      </c>
      <c r="F105" s="39">
        <f>825.49*4979.44</f>
        <v>4110477.9255999997</v>
      </c>
      <c r="G105" s="48">
        <f>825.49*16233.34</f>
        <v>13400459.8366</v>
      </c>
      <c r="H105" s="39">
        <f>3615773.89*769.26</f>
        <v>2781470222.6213999</v>
      </c>
      <c r="I105" s="44">
        <f t="shared" si="29"/>
        <v>4.7110451506896201E-3</v>
      </c>
      <c r="J105" s="39">
        <f>825.49*3664146.98</f>
        <v>3024716690.5202003</v>
      </c>
      <c r="K105" s="44">
        <f t="shared" si="30"/>
        <v>4.6633616104089538E-3</v>
      </c>
      <c r="L105" s="44">
        <f t="shared" si="31"/>
        <v>8.7452479598919622E-2</v>
      </c>
      <c r="M105" s="45">
        <f t="shared" si="32"/>
        <v>1.3589629529544688E-3</v>
      </c>
      <c r="N105" s="45">
        <f t="shared" si="33"/>
        <v>4.4303190042884136E-3</v>
      </c>
      <c r="O105" s="46">
        <f t="shared" si="34"/>
        <v>979.25364504662866</v>
      </c>
      <c r="P105" s="46">
        <f t="shared" si="35"/>
        <v>4.3384060336687797</v>
      </c>
      <c r="Q105" s="40">
        <f>825.49*1.19</f>
        <v>982.33309999999994</v>
      </c>
      <c r="R105" s="40">
        <f>825.49*1.19</f>
        <v>982.33309999999994</v>
      </c>
      <c r="S105" s="40">
        <v>304</v>
      </c>
      <c r="T105" s="40">
        <v>3061083.88</v>
      </c>
      <c r="U105" s="40">
        <v>3088797.99</v>
      </c>
    </row>
    <row r="106" spans="1:21" ht="14.25">
      <c r="A106" s="136">
        <v>90</v>
      </c>
      <c r="B106" s="37" t="s">
        <v>163</v>
      </c>
      <c r="C106" s="37" t="s">
        <v>42</v>
      </c>
      <c r="D106" s="39">
        <f>10578937.87*825.49</f>
        <v>8732807422.3062992</v>
      </c>
      <c r="E106" s="39">
        <f>103739.84*825.49</f>
        <v>85636200.521599993</v>
      </c>
      <c r="F106" s="39">
        <f>38805.01*825.49</f>
        <v>32033147.7049</v>
      </c>
      <c r="G106" s="48">
        <f>825.49*64934.85</f>
        <v>53603069.326499999</v>
      </c>
      <c r="H106" s="39">
        <f>10836179.26*769.26</f>
        <v>8335839257.5475998</v>
      </c>
      <c r="I106" s="44">
        <f t="shared" si="29"/>
        <v>1.4118617841677715E-2</v>
      </c>
      <c r="J106" s="39">
        <f>825.49*10741894.16</f>
        <v>8867326210.138401</v>
      </c>
      <c r="K106" s="44">
        <f t="shared" si="30"/>
        <v>1.3671213824730398E-2</v>
      </c>
      <c r="L106" s="44">
        <f t="shared" si="31"/>
        <v>6.3759261205711459E-2</v>
      </c>
      <c r="M106" s="45">
        <f t="shared" si="32"/>
        <v>3.6124923055469759E-3</v>
      </c>
      <c r="N106" s="45">
        <f t="shared" si="33"/>
        <v>6.0450092909870926E-3</v>
      </c>
      <c r="O106" s="46">
        <f t="shared" si="34"/>
        <v>857.86221192010214</v>
      </c>
      <c r="P106" s="46">
        <f t="shared" si="35"/>
        <v>5.1857850414437561</v>
      </c>
      <c r="Q106" s="40">
        <f>1.0392*825.49</f>
        <v>857.84920799999998</v>
      </c>
      <c r="R106" s="40">
        <f>1.0392*825.49</f>
        <v>857.84920799999998</v>
      </c>
      <c r="S106" s="40">
        <v>382</v>
      </c>
      <c r="T106" s="40">
        <v>10493117</v>
      </c>
      <c r="U106" s="40">
        <v>10336539</v>
      </c>
    </row>
    <row r="107" spans="1:21" ht="14.25">
      <c r="A107" s="136">
        <v>91</v>
      </c>
      <c r="B107" s="36" t="s">
        <v>164</v>
      </c>
      <c r="C107" s="37" t="s">
        <v>87</v>
      </c>
      <c r="D107" s="39">
        <f>825.494*249014.23</f>
        <v>205559752.77962002</v>
      </c>
      <c r="E107" s="39">
        <f>825.494*4896.42</f>
        <v>4041965.3314800002</v>
      </c>
      <c r="F107" s="39">
        <f>825.494*101.91</f>
        <v>84126.093540000002</v>
      </c>
      <c r="G107" s="48">
        <f>825.494*4794.51</f>
        <v>3957839.2379400004</v>
      </c>
      <c r="H107" s="39">
        <f>238207.05*769.26</f>
        <v>183243155.28299999</v>
      </c>
      <c r="I107" s="44">
        <f t="shared" si="29"/>
        <v>3.1036348010206463E-4</v>
      </c>
      <c r="J107" s="39">
        <f>825.494*243233.4</f>
        <v>200787712.29960001</v>
      </c>
      <c r="K107" s="44">
        <f t="shared" si="30"/>
        <v>3.0956476430153088E-4</v>
      </c>
      <c r="L107" s="44">
        <f t="shared" si="31"/>
        <v>9.5744678645727693E-2</v>
      </c>
      <c r="M107" s="45">
        <f t="shared" si="32"/>
        <v>4.1898028806899054E-4</v>
      </c>
      <c r="N107" s="45">
        <f t="shared" si="33"/>
        <v>1.9711560994501578E-2</v>
      </c>
      <c r="O107" s="46">
        <f t="shared" si="34"/>
        <v>785.90802708417323</v>
      </c>
      <c r="P107" s="46">
        <f t="shared" si="35"/>
        <v>15.491474011938079</v>
      </c>
      <c r="Q107" s="40">
        <f>825.494*0.96</f>
        <v>792.47424000000001</v>
      </c>
      <c r="R107" s="40">
        <f>825.494*0.96</f>
        <v>792.47424000000001</v>
      </c>
      <c r="S107" s="40">
        <v>3</v>
      </c>
      <c r="T107" s="40">
        <v>255485</v>
      </c>
      <c r="U107" s="40">
        <v>255485</v>
      </c>
    </row>
    <row r="108" spans="1:21" ht="14.25">
      <c r="A108" s="136">
        <v>92</v>
      </c>
      <c r="B108" s="36" t="s">
        <v>165</v>
      </c>
      <c r="C108" s="36" t="s">
        <v>44</v>
      </c>
      <c r="D108" s="39">
        <f>468217490.35*825.494</f>
        <v>386510728978.98291</v>
      </c>
      <c r="E108" s="39">
        <f>3734068.84*825.494</f>
        <v>3082451423.0069599</v>
      </c>
      <c r="F108" s="39">
        <f>704822.72*825.494</f>
        <v>581826926.42367995</v>
      </c>
      <c r="G108" s="48">
        <f>3029246.12*825.494</f>
        <v>2500624496.5832801</v>
      </c>
      <c r="H108" s="39">
        <f>460118829.85*769.26</f>
        <v>353951011050.41101</v>
      </c>
      <c r="I108" s="44">
        <f t="shared" si="29"/>
        <v>0.59949561229500037</v>
      </c>
      <c r="J108" s="39">
        <f>472313452.94*825.494</f>
        <v>389891921521.25238</v>
      </c>
      <c r="K108" s="44">
        <f t="shared" si="30"/>
        <v>0.60111646976037547</v>
      </c>
      <c r="L108" s="44">
        <f t="shared" si="31"/>
        <v>0.10154204776582071</v>
      </c>
      <c r="M108" s="45">
        <f t="shared" si="32"/>
        <v>1.492277460260139E-3</v>
      </c>
      <c r="N108" s="45">
        <f t="shared" si="33"/>
        <v>6.413635057701433E-3</v>
      </c>
      <c r="O108" s="46">
        <f t="shared" si="34"/>
        <v>1194.7896238182452</v>
      </c>
      <c r="P108" s="46">
        <f t="shared" si="35"/>
        <v>7.6629446178986047</v>
      </c>
      <c r="Q108" s="40">
        <f>1.4474*825.494</f>
        <v>1194.8200156</v>
      </c>
      <c r="R108" s="40">
        <f>825.494*1.4474</f>
        <v>1194.8200156</v>
      </c>
      <c r="S108" s="40">
        <v>5651</v>
      </c>
      <c r="T108" s="74">
        <v>319908035.97000003</v>
      </c>
      <c r="U108" s="74">
        <v>326326839.25999999</v>
      </c>
    </row>
    <row r="109" spans="1:21" ht="14.25">
      <c r="A109" s="136">
        <v>93</v>
      </c>
      <c r="B109" s="36" t="s">
        <v>166</v>
      </c>
      <c r="C109" s="36" t="s">
        <v>49</v>
      </c>
      <c r="D109" s="39">
        <f>11493179*825.494</f>
        <v>9487550305.4260006</v>
      </c>
      <c r="E109" s="39">
        <f>181501*825.494</f>
        <v>149827986.49400002</v>
      </c>
      <c r="F109" s="39">
        <f>38993*825.494</f>
        <v>32188487.541999999</v>
      </c>
      <c r="G109" s="48">
        <f>142508*825.494</f>
        <v>117639498.95200001</v>
      </c>
      <c r="H109" s="39">
        <f>17377720*769.26</f>
        <v>13367984887.200001</v>
      </c>
      <c r="I109" s="44">
        <f t="shared" si="29"/>
        <v>2.264168778984187E-2</v>
      </c>
      <c r="J109" s="39">
        <f>23754671*825.494</f>
        <v>19609338382.473999</v>
      </c>
      <c r="K109" s="44">
        <f t="shared" si="30"/>
        <v>3.023272761543197E-2</v>
      </c>
      <c r="L109" s="44">
        <f t="shared" si="31"/>
        <v>0.46688813220084996</v>
      </c>
      <c r="M109" s="45">
        <f t="shared" si="32"/>
        <v>1.6414876888844305E-3</v>
      </c>
      <c r="N109" s="45">
        <f t="shared" si="33"/>
        <v>5.9991569658026421E-3</v>
      </c>
      <c r="O109" s="46">
        <f t="shared" si="34"/>
        <v>883.28773501095498</v>
      </c>
      <c r="P109" s="46">
        <f t="shared" si="35"/>
        <v>5.2989817682990088</v>
      </c>
      <c r="Q109" s="40">
        <f>1.07*825.494</f>
        <v>883.27858000000003</v>
      </c>
      <c r="R109" s="40">
        <f>1.06*825.494</f>
        <v>875.02364000000011</v>
      </c>
      <c r="S109" s="40">
        <v>69</v>
      </c>
      <c r="T109" s="95">
        <v>16280226</v>
      </c>
      <c r="U109" s="40">
        <v>22200397</v>
      </c>
    </row>
    <row r="110" spans="1:21" ht="14.25">
      <c r="A110" s="136">
        <v>94</v>
      </c>
      <c r="B110" s="37" t="s">
        <v>167</v>
      </c>
      <c r="C110" s="37" t="s">
        <v>35</v>
      </c>
      <c r="D110" s="39">
        <f>25789457.48*825.494</f>
        <v>21289042412.995121</v>
      </c>
      <c r="E110" s="39">
        <f>128947.14*825.494</f>
        <v>106445090.38716</v>
      </c>
      <c r="F110" s="39">
        <f>54220.06*825.494</f>
        <v>44758334.209639996</v>
      </c>
      <c r="G110" s="48">
        <f>74727.07*825.494</f>
        <v>61686747.922580011</v>
      </c>
      <c r="H110" s="39">
        <f>23312362.06*769.26</f>
        <v>17933267638.2756</v>
      </c>
      <c r="I110" s="44">
        <f t="shared" si="29"/>
        <v>3.0374020493268095E-2</v>
      </c>
      <c r="J110" s="39">
        <f>25791824.39*825.494</f>
        <v>21290996282.998661</v>
      </c>
      <c r="K110" s="44">
        <f t="shared" si="30"/>
        <v>3.2825426270392248E-2</v>
      </c>
      <c r="L110" s="44">
        <f t="shared" si="31"/>
        <v>0.18723462519215087</v>
      </c>
      <c r="M110" s="45">
        <f t="shared" si="32"/>
        <v>2.1022188729317723E-3</v>
      </c>
      <c r="N110" s="45">
        <f t="shared" si="33"/>
        <v>2.897316175468889E-3</v>
      </c>
      <c r="O110" s="46">
        <f t="shared" si="34"/>
        <v>902.23841142821095</v>
      </c>
      <c r="P110" s="46">
        <f t="shared" si="35"/>
        <v>2.6140699435603101</v>
      </c>
      <c r="Q110" s="40">
        <f>1.11*825.494</f>
        <v>916.29834000000017</v>
      </c>
      <c r="R110" s="40">
        <f>1.11*825.494</f>
        <v>916.29834000000017</v>
      </c>
      <c r="S110" s="74">
        <v>937</v>
      </c>
      <c r="T110" s="74">
        <v>21454735</v>
      </c>
      <c r="U110" s="74">
        <v>23597971.460000001</v>
      </c>
    </row>
    <row r="111" spans="1:21" ht="15.75" customHeight="1">
      <c r="A111" s="123" t="s">
        <v>50</v>
      </c>
      <c r="B111" s="123"/>
      <c r="C111" s="123"/>
      <c r="D111" s="123"/>
      <c r="E111" s="123"/>
      <c r="F111" s="123"/>
      <c r="G111" s="123"/>
      <c r="H111" s="34">
        <f>SUM(H90:H110)</f>
        <v>590414681594.43091</v>
      </c>
      <c r="I111" s="86">
        <f>(H111/$H$170)</f>
        <v>0.29659862249994373</v>
      </c>
      <c r="J111" s="34">
        <f>SUM(J90:J110)</f>
        <v>648612941310.15234</v>
      </c>
      <c r="K111" s="86">
        <f>(J111/$J$170)</f>
        <v>0.32163793429305043</v>
      </c>
      <c r="L111" s="44">
        <f>((J111-H111)/H111)</f>
        <v>9.8571836930876192E-2</v>
      </c>
      <c r="M111" s="45"/>
      <c r="N111" s="45"/>
      <c r="O111" s="46"/>
      <c r="P111" s="46"/>
      <c r="Q111" s="40"/>
      <c r="R111" s="40"/>
      <c r="S111" s="33">
        <f>SUM(S90:S110)</f>
        <v>12475</v>
      </c>
      <c r="T111" s="48"/>
      <c r="U111" s="40"/>
    </row>
    <row r="112" spans="1:21" ht="7.5" customHeight="1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</row>
    <row r="113" spans="1:21">
      <c r="A113" s="121" t="s">
        <v>168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</row>
    <row r="114" spans="1:21" ht="14.25">
      <c r="A114" s="137" t="s">
        <v>237</v>
      </c>
      <c r="B114" s="37" t="s">
        <v>232</v>
      </c>
      <c r="C114" s="58" t="s">
        <v>233</v>
      </c>
      <c r="D114" s="39">
        <f>9913406.25+2126011598.03</f>
        <v>2135925004.28</v>
      </c>
      <c r="E114" s="92">
        <v>24532949.699999999</v>
      </c>
      <c r="F114" s="60">
        <v>2653986.4500000002</v>
      </c>
      <c r="G114" s="61">
        <v>21878963.25</v>
      </c>
      <c r="H114" s="61">
        <v>0</v>
      </c>
      <c r="I114" s="59"/>
      <c r="J114" s="61">
        <v>2145289160.73</v>
      </c>
      <c r="K114" s="59"/>
      <c r="L114" s="59"/>
      <c r="M114" s="59"/>
      <c r="N114" s="59"/>
      <c r="O114" s="59"/>
      <c r="P114" s="59"/>
      <c r="Q114" s="61">
        <v>101.1</v>
      </c>
      <c r="R114" s="61">
        <v>101.1</v>
      </c>
      <c r="S114" s="61"/>
      <c r="T114" s="61">
        <v>21220000</v>
      </c>
      <c r="U114" s="61">
        <v>21220000</v>
      </c>
    </row>
    <row r="115" spans="1:21" ht="14.25">
      <c r="A115" s="136">
        <v>96</v>
      </c>
      <c r="B115" s="36" t="s">
        <v>169</v>
      </c>
      <c r="C115" s="36" t="s">
        <v>42</v>
      </c>
      <c r="D115" s="39">
        <v>35946627025</v>
      </c>
      <c r="E115" s="39">
        <v>345454291</v>
      </c>
      <c r="F115" s="47">
        <v>102823360</v>
      </c>
      <c r="G115" s="41">
        <v>242630931</v>
      </c>
      <c r="H115" s="39">
        <v>53769436228</v>
      </c>
      <c r="I115" s="44">
        <f>(H115/$H$119)</f>
        <v>0.58178024873666634</v>
      </c>
      <c r="J115" s="39">
        <v>54012067160</v>
      </c>
      <c r="K115" s="44">
        <f>(J115/$J$119)</f>
        <v>0.58145371371614074</v>
      </c>
      <c r="L115" s="44">
        <f>((J115-H115)/H115)</f>
        <v>4.512432136561103E-3</v>
      </c>
      <c r="M115" s="45">
        <f>(F115/J115)</f>
        <v>1.9037108817814038E-3</v>
      </c>
      <c r="N115" s="45">
        <f>G115/J115</f>
        <v>4.4921615438500836E-3</v>
      </c>
      <c r="O115" s="46">
        <f>J115/U115</f>
        <v>101.78511397385837</v>
      </c>
      <c r="P115" s="46">
        <f>G115/U115</f>
        <v>0.45723517472976438</v>
      </c>
      <c r="Q115" s="40">
        <v>101.79</v>
      </c>
      <c r="R115" s="40">
        <v>101.79</v>
      </c>
      <c r="S115" s="40">
        <v>675</v>
      </c>
      <c r="T115" s="40">
        <v>530648000</v>
      </c>
      <c r="U115" s="40">
        <v>530648000</v>
      </c>
    </row>
    <row r="116" spans="1:21" ht="14.25">
      <c r="A116" s="136">
        <v>97</v>
      </c>
      <c r="B116" s="36" t="s">
        <v>170</v>
      </c>
      <c r="C116" s="36" t="s">
        <v>128</v>
      </c>
      <c r="D116" s="39">
        <v>3106473385.5100002</v>
      </c>
      <c r="E116" s="39">
        <v>86697847.239999995</v>
      </c>
      <c r="F116" s="47">
        <v>10132504.09</v>
      </c>
      <c r="G116" s="41">
        <v>76565343.150000006</v>
      </c>
      <c r="H116" s="39">
        <v>2317356765.9699998</v>
      </c>
      <c r="I116" s="44">
        <f>(H116/$H$119)</f>
        <v>2.5073582508859615E-2</v>
      </c>
      <c r="J116" s="39">
        <v>2393922109.1199999</v>
      </c>
      <c r="K116" s="44">
        <f>(J116/$J$119)</f>
        <v>2.5771183624052209E-2</v>
      </c>
      <c r="L116" s="44">
        <f>((J116-H116)/H116)</f>
        <v>3.3039946319163918E-2</v>
      </c>
      <c r="M116" s="45">
        <f>(F116/J116)</f>
        <v>4.2325955599803056E-3</v>
      </c>
      <c r="N116" s="45">
        <f>G116/J116</f>
        <v>3.1983222368978929E-2</v>
      </c>
      <c r="O116" s="46">
        <f>J116/U116</f>
        <v>119.696105456</v>
      </c>
      <c r="P116" s="46">
        <f>G116/U116</f>
        <v>3.8282671575000005</v>
      </c>
      <c r="Q116" s="41">
        <v>92.15</v>
      </c>
      <c r="R116" s="41">
        <v>92.152743000000001</v>
      </c>
      <c r="S116" s="40">
        <v>2743</v>
      </c>
      <c r="T116" s="40">
        <v>20000000</v>
      </c>
      <c r="U116" s="40">
        <v>20000000</v>
      </c>
    </row>
    <row r="117" spans="1:21" ht="14.25">
      <c r="A117" s="136">
        <v>98</v>
      </c>
      <c r="B117" s="36" t="s">
        <v>171</v>
      </c>
      <c r="C117" s="36" t="s">
        <v>128</v>
      </c>
      <c r="D117" s="39">
        <v>11197659328.059999</v>
      </c>
      <c r="E117" s="39">
        <v>58274203.100000001</v>
      </c>
      <c r="F117" s="62" t="s">
        <v>227</v>
      </c>
      <c r="G117" s="41">
        <v>41736227.200000003</v>
      </c>
      <c r="H117" s="39">
        <v>10041000570.540001</v>
      </c>
      <c r="I117" s="44">
        <f>(H117/$H$119)</f>
        <v>0.10864268289373984</v>
      </c>
      <c r="J117" s="39">
        <v>10082736798</v>
      </c>
      <c r="K117" s="44">
        <f>(J117/$J$119)</f>
        <v>0.10854323975885927</v>
      </c>
      <c r="L117" s="44">
        <f>((J117-H117)/H117)</f>
        <v>4.1565805286827634E-3</v>
      </c>
      <c r="M117" s="45">
        <f>(F117/J117)</f>
        <v>1.6402268780119752E-3</v>
      </c>
      <c r="N117" s="45">
        <f>G117/J117</f>
        <v>4.1393748578539462E-3</v>
      </c>
      <c r="O117" s="46">
        <f>J117/U117</f>
        <v>53.595354524903925</v>
      </c>
      <c r="P117" s="46">
        <f>G117/U117</f>
        <v>0.22185126301815605</v>
      </c>
      <c r="Q117" s="41">
        <v>36.6</v>
      </c>
      <c r="R117" s="41">
        <v>36.6</v>
      </c>
      <c r="S117" s="40">
        <v>5264</v>
      </c>
      <c r="T117" s="40">
        <v>188127066</v>
      </c>
      <c r="U117" s="40">
        <v>188127066</v>
      </c>
    </row>
    <row r="118" spans="1:21" ht="16.5" customHeight="1">
      <c r="A118" s="136">
        <v>99</v>
      </c>
      <c r="B118" s="36" t="s">
        <v>172</v>
      </c>
      <c r="C118" s="37" t="s">
        <v>173</v>
      </c>
      <c r="D118" s="90">
        <v>26478469043.98</v>
      </c>
      <c r="E118" s="90">
        <v>138874844.28</v>
      </c>
      <c r="F118" s="90">
        <v>20862781.649999999</v>
      </c>
      <c r="G118" s="90">
        <v>118012062.62</v>
      </c>
      <c r="H118" s="39">
        <v>26294450650.139999</v>
      </c>
      <c r="I118" s="44">
        <f>(H118/$H$119)</f>
        <v>0.28450348586073421</v>
      </c>
      <c r="J118" s="90">
        <v>26402704301.09</v>
      </c>
      <c r="K118" s="44">
        <f>(J118/$J$119)</f>
        <v>0.28423186290094776</v>
      </c>
      <c r="L118" s="44">
        <f>((J118-H118)/H118)</f>
        <v>4.1169770911119756E-3</v>
      </c>
      <c r="M118" s="45">
        <f>(F118/J118)</f>
        <v>7.9017593849803889E-4</v>
      </c>
      <c r="N118" s="45">
        <f>G118/J118</f>
        <v>4.4696960309148345E-3</v>
      </c>
      <c r="O118" s="46">
        <f>J118/U118</f>
        <v>9.8950665594648513</v>
      </c>
      <c r="P118" s="46">
        <f>G118/U118</f>
        <v>4.4227939726478156E-2</v>
      </c>
      <c r="Q118" s="74">
        <v>9.9</v>
      </c>
      <c r="R118" s="74">
        <v>9.9</v>
      </c>
      <c r="S118" s="40">
        <v>208300</v>
      </c>
      <c r="T118" s="74">
        <v>2668269500</v>
      </c>
      <c r="U118" s="74">
        <v>2668269500</v>
      </c>
    </row>
    <row r="119" spans="1:21" ht="15" customHeight="1">
      <c r="A119" s="123" t="s">
        <v>50</v>
      </c>
      <c r="B119" s="123"/>
      <c r="C119" s="123"/>
      <c r="D119" s="123"/>
      <c r="E119" s="123"/>
      <c r="F119" s="123"/>
      <c r="G119" s="123"/>
      <c r="H119" s="34">
        <f>SUM(H115:H118)</f>
        <v>92422244214.649994</v>
      </c>
      <c r="I119" s="86">
        <f>(H119/$H$170)</f>
        <v>4.6428910352281368E-2</v>
      </c>
      <c r="J119" s="34">
        <f>SUM(J115:J118)</f>
        <v>92891430368.210007</v>
      </c>
      <c r="K119" s="86">
        <f>(J119/$J$170)</f>
        <v>4.6063539399641869E-2</v>
      </c>
      <c r="L119" s="44">
        <f>((J119-H119)/H119)</f>
        <v>5.0765501048679511E-3</v>
      </c>
      <c r="M119" s="45"/>
      <c r="N119" s="45"/>
      <c r="O119" s="50"/>
      <c r="P119" s="50"/>
      <c r="Q119" s="40"/>
      <c r="R119" s="40"/>
      <c r="S119" s="35">
        <f>SUM(S115:S118)</f>
        <v>216982</v>
      </c>
      <c r="T119" s="40"/>
      <c r="U119" s="40"/>
    </row>
    <row r="120" spans="1:21" ht="8.25" customHeight="1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</row>
    <row r="121" spans="1:21" ht="15.75" customHeight="1">
      <c r="A121" s="121" t="s">
        <v>174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</row>
    <row r="122" spans="1:21" ht="14.25">
      <c r="A122" s="136">
        <v>100</v>
      </c>
      <c r="B122" s="36" t="s">
        <v>175</v>
      </c>
      <c r="C122" s="36" t="s">
        <v>54</v>
      </c>
      <c r="D122" s="49">
        <v>225887747.22</v>
      </c>
      <c r="E122" s="49">
        <v>1594700.69</v>
      </c>
      <c r="F122" s="39">
        <v>519396.51</v>
      </c>
      <c r="G122" s="48">
        <v>1075304.18</v>
      </c>
      <c r="H122" s="39">
        <v>201393007.94999999</v>
      </c>
      <c r="I122" s="44">
        <f t="shared" ref="I122:I145" si="36">(H122/$H$146)</f>
        <v>5.0421187936758862E-3</v>
      </c>
      <c r="J122" s="39">
        <v>210499305.13</v>
      </c>
      <c r="K122" s="44">
        <f t="shared" ref="K122:K145" si="37">(J122/$J$146)</f>
        <v>5.300310701534916E-3</v>
      </c>
      <c r="L122" s="44">
        <f>((J122-H122)/H122)</f>
        <v>4.521655082613809E-2</v>
      </c>
      <c r="M122" s="45">
        <f>(F122/J122)</f>
        <v>2.4674499978953922E-3</v>
      </c>
      <c r="N122" s="45">
        <f>G122/J122</f>
        <v>5.1083502595693341E-3</v>
      </c>
      <c r="O122" s="46">
        <f>J122/U122</f>
        <v>4.765086539135492</v>
      </c>
      <c r="P122" s="46">
        <f>G122/U122</f>
        <v>2.4341731059063131E-2</v>
      </c>
      <c r="Q122" s="40">
        <v>4.7060000000000004</v>
      </c>
      <c r="R122" s="40">
        <v>4.8029999999999999</v>
      </c>
      <c r="S122" s="40">
        <v>11828</v>
      </c>
      <c r="T122" s="40">
        <v>43963062.369999997</v>
      </c>
      <c r="U122" s="40">
        <v>44175337.299999997</v>
      </c>
    </row>
    <row r="123" spans="1:21" ht="14.25">
      <c r="A123" s="136">
        <v>101</v>
      </c>
      <c r="B123" s="36" t="s">
        <v>176</v>
      </c>
      <c r="C123" s="37" t="s">
        <v>25</v>
      </c>
      <c r="D123" s="90">
        <v>4180835239.5900002</v>
      </c>
      <c r="E123" s="90">
        <v>31924080.199999999</v>
      </c>
      <c r="F123" s="90">
        <v>3366842.87</v>
      </c>
      <c r="G123" s="90">
        <v>83795400.079999998</v>
      </c>
      <c r="H123" s="39">
        <v>5945521961</v>
      </c>
      <c r="I123" s="44">
        <f t="shared" si="36"/>
        <v>0.14885337044677083</v>
      </c>
      <c r="J123" s="91">
        <v>6008640891</v>
      </c>
      <c r="K123" s="44">
        <f t="shared" si="37"/>
        <v>0.15129581352574603</v>
      </c>
      <c r="L123" s="44">
        <f t="shared" ref="L123:L145" si="38">((J123-H123)/H123)</f>
        <v>1.0616213414740089E-2</v>
      </c>
      <c r="M123" s="45">
        <f t="shared" ref="M123:M145" si="39">(F123/J123)</f>
        <v>5.6033351486240454E-4</v>
      </c>
      <c r="N123" s="45">
        <f t="shared" ref="N123:N145" si="40">G123/J123</f>
        <v>1.3945815967386626E-2</v>
      </c>
      <c r="O123" s="46">
        <f t="shared" ref="O123:O145" si="41">J123/U123</f>
        <v>645.08817333156264</v>
      </c>
      <c r="P123" s="46">
        <f t="shared" ref="P123:P145" si="42">G123/U123</f>
        <v>8.9962809480195762</v>
      </c>
      <c r="Q123" s="74">
        <v>641.86279999999999</v>
      </c>
      <c r="R123" s="74">
        <v>661.21540000000005</v>
      </c>
      <c r="S123" s="74">
        <v>2022</v>
      </c>
      <c r="T123" s="74">
        <v>9309766</v>
      </c>
      <c r="U123" s="74">
        <v>9314449</v>
      </c>
    </row>
    <row r="124" spans="1:21" ht="14.25">
      <c r="A124" s="136">
        <v>102</v>
      </c>
      <c r="B124" s="36" t="s">
        <v>177</v>
      </c>
      <c r="C124" s="36" t="s">
        <v>109</v>
      </c>
      <c r="D124" s="40">
        <v>1296964705.1900001</v>
      </c>
      <c r="E124" s="40">
        <v>5827377.9699999997</v>
      </c>
      <c r="F124" s="40">
        <v>2223378.11</v>
      </c>
      <c r="G124" s="48">
        <v>10596434.960000001</v>
      </c>
      <c r="H124" s="39">
        <v>1234993228.3199999</v>
      </c>
      <c r="I124" s="44">
        <f t="shared" si="36"/>
        <v>3.0919556890081829E-2</v>
      </c>
      <c r="J124" s="39">
        <v>1245484033.28</v>
      </c>
      <c r="K124" s="44">
        <f t="shared" si="37"/>
        <v>3.136092228954359E-2</v>
      </c>
      <c r="L124" s="44">
        <f t="shared" si="38"/>
        <v>8.4946254922150539E-3</v>
      </c>
      <c r="M124" s="45">
        <f t="shared" si="39"/>
        <v>1.7851518370289355E-3</v>
      </c>
      <c r="N124" s="45">
        <f t="shared" si="40"/>
        <v>8.5078850285170964E-3</v>
      </c>
      <c r="O124" s="46">
        <f t="shared" si="41"/>
        <v>2.9492537684621194</v>
      </c>
      <c r="P124" s="46">
        <f t="shared" si="42"/>
        <v>2.5091911981996493E-2</v>
      </c>
      <c r="Q124" s="40">
        <v>2.8896999999999999</v>
      </c>
      <c r="R124" s="40">
        <v>2.9588999999999999</v>
      </c>
      <c r="S124" s="40">
        <v>2754</v>
      </c>
      <c r="T124" s="40">
        <v>422342640.54000002</v>
      </c>
      <c r="U124" s="40">
        <v>422304803.54000002</v>
      </c>
    </row>
    <row r="125" spans="1:21" ht="14.25">
      <c r="A125" s="136">
        <v>103</v>
      </c>
      <c r="B125" s="36" t="s">
        <v>178</v>
      </c>
      <c r="C125" s="36" t="s">
        <v>61</v>
      </c>
      <c r="D125" s="49">
        <v>2862147547.29</v>
      </c>
      <c r="E125" s="49">
        <v>84068347.159999996</v>
      </c>
      <c r="F125" s="39">
        <v>7758761.5099999998</v>
      </c>
      <c r="G125" s="48">
        <v>76793998.590000004</v>
      </c>
      <c r="H125" s="39">
        <v>2833717491.0599999</v>
      </c>
      <c r="I125" s="44">
        <f t="shared" si="36"/>
        <v>7.0945562425826544E-2</v>
      </c>
      <c r="J125" s="39">
        <v>2827580994.8000002</v>
      </c>
      <c r="K125" s="44">
        <f t="shared" si="37"/>
        <v>7.1197659284145814E-2</v>
      </c>
      <c r="L125" s="44">
        <f t="shared" si="38"/>
        <v>-2.1655285960437403E-3</v>
      </c>
      <c r="M125" s="45">
        <f t="shared" si="39"/>
        <v>2.7439572992846457E-3</v>
      </c>
      <c r="N125" s="45">
        <f t="shared" si="40"/>
        <v>2.7158903221950598E-2</v>
      </c>
      <c r="O125" s="46">
        <f t="shared" si="41"/>
        <v>5336.9820096292069</v>
      </c>
      <c r="P125" s="46">
        <f t="shared" si="42"/>
        <v>144.94657789681105</v>
      </c>
      <c r="Q125" s="40">
        <v>5336.98</v>
      </c>
      <c r="R125" s="40">
        <v>5376.21</v>
      </c>
      <c r="S125" s="40">
        <v>842</v>
      </c>
      <c r="T125" s="40">
        <v>539187.04</v>
      </c>
      <c r="U125" s="40">
        <v>529808.98</v>
      </c>
    </row>
    <row r="126" spans="1:21" ht="14.25" customHeight="1">
      <c r="A126" s="136">
        <v>104</v>
      </c>
      <c r="B126" s="36" t="s">
        <v>179</v>
      </c>
      <c r="C126" s="37" t="s">
        <v>63</v>
      </c>
      <c r="D126" s="49">
        <v>297266192.52999997</v>
      </c>
      <c r="E126" s="49">
        <v>2876124.47</v>
      </c>
      <c r="F126" s="39">
        <v>826582.14</v>
      </c>
      <c r="G126" s="48">
        <v>7585564.75</v>
      </c>
      <c r="H126" s="39">
        <v>374868881.50999999</v>
      </c>
      <c r="I126" s="44">
        <f t="shared" si="36"/>
        <v>9.3852981881828532E-3</v>
      </c>
      <c r="J126" s="39">
        <v>386210945.31999999</v>
      </c>
      <c r="K126" s="44">
        <f t="shared" si="37"/>
        <v>9.7246782133808204E-3</v>
      </c>
      <c r="L126" s="44">
        <f t="shared" si="38"/>
        <v>3.0256082511605973E-2</v>
      </c>
      <c r="M126" s="45">
        <f t="shared" si="39"/>
        <v>2.1402348898090519E-3</v>
      </c>
      <c r="N126" s="45">
        <f t="shared" si="40"/>
        <v>1.9640988537274324E-2</v>
      </c>
      <c r="O126" s="46">
        <f t="shared" si="41"/>
        <v>150.30716173479593</v>
      </c>
      <c r="P126" s="46">
        <f t="shared" si="42"/>
        <v>2.9521812407033647</v>
      </c>
      <c r="Q126" s="40">
        <v>157.79</v>
      </c>
      <c r="R126" s="40">
        <v>158.78</v>
      </c>
      <c r="S126" s="40">
        <v>622</v>
      </c>
      <c r="T126" s="40">
        <v>2547008</v>
      </c>
      <c r="U126" s="40">
        <v>2569478</v>
      </c>
    </row>
    <row r="127" spans="1:21" ht="15" customHeight="1">
      <c r="A127" s="136">
        <v>105</v>
      </c>
      <c r="B127" s="36" t="s">
        <v>180</v>
      </c>
      <c r="C127" s="37" t="s">
        <v>65</v>
      </c>
      <c r="D127" s="49">
        <v>248331135.28999999</v>
      </c>
      <c r="E127" s="49">
        <v>1956454.75</v>
      </c>
      <c r="F127" s="39">
        <v>691169.45</v>
      </c>
      <c r="G127" s="48">
        <v>3676035.92</v>
      </c>
      <c r="H127" s="40">
        <v>331444396.5</v>
      </c>
      <c r="I127" s="44">
        <f t="shared" si="36"/>
        <v>8.2981134134811566E-3</v>
      </c>
      <c r="J127" s="40">
        <v>331444396.5</v>
      </c>
      <c r="K127" s="44">
        <f t="shared" ref="K127" si="43">(J127/$J$144)</f>
        <v>1.2751388540417981</v>
      </c>
      <c r="L127" s="44">
        <f t="shared" si="38"/>
        <v>0</v>
      </c>
      <c r="M127" s="71">
        <f t="shared" si="39"/>
        <v>2.0853254944076267E-3</v>
      </c>
      <c r="N127" s="71">
        <f t="shared" si="40"/>
        <v>1.1090958117917675E-2</v>
      </c>
      <c r="O127" s="72">
        <f t="shared" si="41"/>
        <v>137.41595449214111</v>
      </c>
      <c r="P127" s="72">
        <f t="shared" si="42"/>
        <v>1.5240745960060182</v>
      </c>
      <c r="Q127" s="40">
        <v>141.68</v>
      </c>
      <c r="R127" s="40">
        <v>142.58000000000001</v>
      </c>
      <c r="S127" s="40">
        <f>549+27+3</f>
        <v>579</v>
      </c>
      <c r="T127" s="40">
        <v>2411979</v>
      </c>
      <c r="U127" s="40">
        <v>2411979</v>
      </c>
    </row>
    <row r="128" spans="1:21" ht="14.25">
      <c r="A128" s="136">
        <v>106</v>
      </c>
      <c r="B128" s="36" t="s">
        <v>181</v>
      </c>
      <c r="C128" s="37" t="s">
        <v>67</v>
      </c>
      <c r="D128" s="38">
        <v>158111483.43000001</v>
      </c>
      <c r="E128" s="38">
        <v>1034147.7</v>
      </c>
      <c r="F128" s="39">
        <v>418239.34</v>
      </c>
      <c r="G128" s="41">
        <v>-95148.28</v>
      </c>
      <c r="H128" s="39">
        <v>162095589.53999999</v>
      </c>
      <c r="I128" s="44">
        <f t="shared" si="36"/>
        <v>4.058260148706451E-3</v>
      </c>
      <c r="J128" s="38">
        <v>161160093.09999999</v>
      </c>
      <c r="K128" s="44">
        <f t="shared" si="37"/>
        <v>4.0579638283877381E-3</v>
      </c>
      <c r="L128" s="44">
        <f t="shared" si="38"/>
        <v>-5.7712639970944248E-3</v>
      </c>
      <c r="M128" s="45">
        <f t="shared" si="39"/>
        <v>2.5951793148970329E-3</v>
      </c>
      <c r="N128" s="45">
        <f t="shared" si="40"/>
        <v>-5.9039603520804869E-4</v>
      </c>
      <c r="O128" s="46">
        <f t="shared" si="41"/>
        <v>1.4373475952332868</v>
      </c>
      <c r="P128" s="46">
        <f t="shared" si="42"/>
        <v>-8.4860432144155565E-4</v>
      </c>
      <c r="Q128" s="40">
        <v>1.4303999999999999</v>
      </c>
      <c r="R128" s="40">
        <v>1.4439</v>
      </c>
      <c r="S128" s="40">
        <v>259</v>
      </c>
      <c r="T128" s="41">
        <v>112074261.33</v>
      </c>
      <c r="U128" s="41">
        <v>112123256.5</v>
      </c>
    </row>
    <row r="129" spans="1:21" ht="14.25">
      <c r="A129" s="136">
        <v>107</v>
      </c>
      <c r="B129" s="57" t="s">
        <v>231</v>
      </c>
      <c r="C129" s="58" t="s">
        <v>47</v>
      </c>
      <c r="D129" s="49">
        <f>57896816.59+34090006.1+13942398.2+10198843.51</f>
        <v>116128064.40000001</v>
      </c>
      <c r="E129" s="38">
        <v>838592.96</v>
      </c>
      <c r="F129" s="38">
        <v>173980.12</v>
      </c>
      <c r="G129" s="41">
        <v>664612.84</v>
      </c>
      <c r="H129" s="39">
        <v>113935098.98</v>
      </c>
      <c r="I129" s="44">
        <f t="shared" si="36"/>
        <v>2.8525037173535118E-3</v>
      </c>
      <c r="J129" s="38">
        <v>114853053.40000001</v>
      </c>
      <c r="K129" s="44">
        <f t="shared" si="37"/>
        <v>2.8919661642779564E-3</v>
      </c>
      <c r="L129" s="44">
        <f>((J129-H129)/H129)</f>
        <v>8.0568185591442555E-3</v>
      </c>
      <c r="M129" s="45">
        <f>(F129/J129)</f>
        <v>1.514806222818278E-3</v>
      </c>
      <c r="N129" s="45">
        <f>G129/J129</f>
        <v>5.7866362306045575E-3</v>
      </c>
      <c r="O129" s="46">
        <f>J129/U129</f>
        <v>123.65640913509426</v>
      </c>
      <c r="P129" s="46">
        <f>G129/U129</f>
        <v>0.71555465724759681</v>
      </c>
      <c r="Q129" s="40">
        <v>123.50700000000001</v>
      </c>
      <c r="R129" s="40">
        <v>124.01819999999999</v>
      </c>
      <c r="S129" s="40">
        <v>71</v>
      </c>
      <c r="T129" s="41">
        <v>934947.91</v>
      </c>
      <c r="U129" s="41">
        <v>928807.93</v>
      </c>
    </row>
    <row r="130" spans="1:21" ht="14.25">
      <c r="A130" s="136">
        <v>108</v>
      </c>
      <c r="B130" s="57" t="s">
        <v>182</v>
      </c>
      <c r="C130" s="58" t="s">
        <v>183</v>
      </c>
      <c r="D130" s="49">
        <v>79280725.890000001</v>
      </c>
      <c r="E130" s="38">
        <v>1749514.47</v>
      </c>
      <c r="F130" s="92">
        <v>560815.01</v>
      </c>
      <c r="G130" s="48">
        <v>1188699.46</v>
      </c>
      <c r="H130" s="39">
        <v>180377897.63</v>
      </c>
      <c r="I130" s="44">
        <f t="shared" si="36"/>
        <v>4.5159799581014608E-3</v>
      </c>
      <c r="J130" s="39">
        <v>180253084.46000001</v>
      </c>
      <c r="K130" s="44">
        <f t="shared" si="37"/>
        <v>4.5387197452171242E-3</v>
      </c>
      <c r="L130" s="44">
        <f t="shared" si="38"/>
        <v>-6.9195379056922926E-4</v>
      </c>
      <c r="M130" s="45">
        <f t="shared" si="39"/>
        <v>3.1112644295662557E-3</v>
      </c>
      <c r="N130" s="45">
        <f t="shared" si="40"/>
        <v>6.5946136986287434E-3</v>
      </c>
      <c r="O130" s="46">
        <f t="shared" si="41"/>
        <v>116.30529372633204</v>
      </c>
      <c r="P130" s="46">
        <f t="shared" si="42"/>
        <v>0.76698848323070901</v>
      </c>
      <c r="Q130" s="40">
        <v>114.01</v>
      </c>
      <c r="R130" s="40">
        <v>116.31</v>
      </c>
      <c r="S130" s="40">
        <v>49</v>
      </c>
      <c r="T130" s="41">
        <v>1565109</v>
      </c>
      <c r="U130" s="40">
        <v>1549827</v>
      </c>
    </row>
    <row r="131" spans="1:21" ht="14.25">
      <c r="A131" s="136">
        <v>109</v>
      </c>
      <c r="B131" s="36" t="s">
        <v>184</v>
      </c>
      <c r="C131" s="37" t="s">
        <v>72</v>
      </c>
      <c r="D131" s="38">
        <v>518349682.94999999</v>
      </c>
      <c r="E131" s="49">
        <v>9358607.4600000009</v>
      </c>
      <c r="F131" s="39">
        <v>1057542.48</v>
      </c>
      <c r="G131" s="48">
        <v>7291322.5999999996</v>
      </c>
      <c r="H131" s="39">
        <v>529420713.30000001</v>
      </c>
      <c r="I131" s="44">
        <f t="shared" si="36"/>
        <v>1.3254691190440723E-2</v>
      </c>
      <c r="J131" s="39">
        <v>517527362.35000002</v>
      </c>
      <c r="K131" s="44">
        <f t="shared" si="37"/>
        <v>1.3031187040293503E-2</v>
      </c>
      <c r="L131" s="44">
        <f t="shared" si="38"/>
        <v>-2.2464838740188346E-2</v>
      </c>
      <c r="M131" s="45">
        <f t="shared" si="39"/>
        <v>2.0434523021118866E-3</v>
      </c>
      <c r="N131" s="45">
        <f t="shared" si="40"/>
        <v>1.4088767339549731E-2</v>
      </c>
      <c r="O131" s="46">
        <f t="shared" si="41"/>
        <v>1.2781555540846927</v>
      </c>
      <c r="P131" s="46">
        <f t="shared" si="42"/>
        <v>1.8007636225252508E-2</v>
      </c>
      <c r="Q131" s="40">
        <v>1.24</v>
      </c>
      <c r="R131" s="40">
        <v>1.24</v>
      </c>
      <c r="S131" s="40">
        <v>105</v>
      </c>
      <c r="T131" s="40">
        <v>410855346.70999998</v>
      </c>
      <c r="U131" s="40">
        <v>404901704.41000003</v>
      </c>
    </row>
    <row r="132" spans="1:21" ht="14.25">
      <c r="A132" s="136">
        <v>110</v>
      </c>
      <c r="B132" s="37" t="s">
        <v>185</v>
      </c>
      <c r="C132" s="37" t="s">
        <v>76</v>
      </c>
      <c r="D132" s="49">
        <v>6634297410.3999996</v>
      </c>
      <c r="E132" s="49">
        <v>35240148.850000001</v>
      </c>
      <c r="F132" s="38">
        <v>27735689.620000001</v>
      </c>
      <c r="G132" s="38">
        <v>99613993.049999997</v>
      </c>
      <c r="H132" s="39">
        <v>6523025934.8699999</v>
      </c>
      <c r="I132" s="44">
        <f t="shared" si="36"/>
        <v>0.16331188452187398</v>
      </c>
      <c r="J132" s="39">
        <v>6634297410.3999996</v>
      </c>
      <c r="K132" s="44">
        <f t="shared" si="37"/>
        <v>0.16704966099432986</v>
      </c>
      <c r="L132" s="44">
        <f t="shared" si="38"/>
        <v>1.7058260482328943E-2</v>
      </c>
      <c r="M132" s="45">
        <f t="shared" si="39"/>
        <v>4.1806521330384162E-3</v>
      </c>
      <c r="N132" s="45">
        <f t="shared" si="40"/>
        <v>1.5015002627685032E-2</v>
      </c>
      <c r="O132" s="46">
        <f t="shared" si="41"/>
        <v>252.53327992474865</v>
      </c>
      <c r="P132" s="46">
        <f t="shared" si="42"/>
        <v>3.7917878616480207</v>
      </c>
      <c r="Q132" s="40">
        <v>252.53</v>
      </c>
      <c r="R132" s="40">
        <v>254.82</v>
      </c>
      <c r="S132" s="40">
        <v>5461</v>
      </c>
      <c r="T132" s="40">
        <v>24297471.859999999</v>
      </c>
      <c r="U132" s="40">
        <v>26270982.629999999</v>
      </c>
    </row>
    <row r="133" spans="1:21" ht="14.25">
      <c r="A133" s="136">
        <v>111</v>
      </c>
      <c r="B133" s="51" t="s">
        <v>186</v>
      </c>
      <c r="C133" s="36" t="s">
        <v>78</v>
      </c>
      <c r="D133" s="49">
        <v>2442258335.4099998</v>
      </c>
      <c r="E133" s="49">
        <v>18229794.25</v>
      </c>
      <c r="F133" s="39">
        <v>7771765.5099999998</v>
      </c>
      <c r="G133" s="48">
        <v>10458028.74</v>
      </c>
      <c r="H133" s="39">
        <v>2310850510.7600002</v>
      </c>
      <c r="I133" s="44">
        <f t="shared" si="36"/>
        <v>5.7854951908614755E-2</v>
      </c>
      <c r="J133" s="39">
        <v>2355993894.4899998</v>
      </c>
      <c r="K133" s="44">
        <f t="shared" si="37"/>
        <v>5.9323234554167534E-2</v>
      </c>
      <c r="L133" s="44">
        <f t="shared" si="38"/>
        <v>1.9535397690070674E-2</v>
      </c>
      <c r="M133" s="45">
        <f t="shared" si="39"/>
        <v>3.2987205646737672E-3</v>
      </c>
      <c r="N133" s="45">
        <f t="shared" si="40"/>
        <v>4.4389031586450026E-3</v>
      </c>
      <c r="O133" s="46">
        <f t="shared" si="41"/>
        <v>1.6577355982215809</v>
      </c>
      <c r="P133" s="46">
        <f t="shared" si="42"/>
        <v>7.3585277831440385E-3</v>
      </c>
      <c r="Q133" s="40">
        <v>1.6417999999999999</v>
      </c>
      <c r="R133" s="40">
        <v>1.6697</v>
      </c>
      <c r="S133" s="40">
        <v>10310</v>
      </c>
      <c r="T133" s="40">
        <v>1423534089.6900001</v>
      </c>
      <c r="U133" s="40">
        <v>1421212102.23</v>
      </c>
    </row>
    <row r="134" spans="1:21" ht="14.25">
      <c r="A134" s="136">
        <v>112</v>
      </c>
      <c r="B134" s="36" t="s">
        <v>187</v>
      </c>
      <c r="C134" s="37" t="s">
        <v>80</v>
      </c>
      <c r="D134" s="39">
        <v>173293545.27000001</v>
      </c>
      <c r="E134" s="49">
        <v>1020333.15</v>
      </c>
      <c r="F134" s="39">
        <v>316345.26</v>
      </c>
      <c r="G134" s="48">
        <v>703987.74</v>
      </c>
      <c r="H134" s="39">
        <v>164767500.84999999</v>
      </c>
      <c r="I134" s="44">
        <f t="shared" si="36"/>
        <v>4.1251546966767109E-3</v>
      </c>
      <c r="J134" s="39">
        <v>172977200.00999999</v>
      </c>
      <c r="K134" s="44">
        <f t="shared" si="37"/>
        <v>4.3555151109327022E-3</v>
      </c>
      <c r="L134" s="44">
        <f t="shared" si="38"/>
        <v>4.9825961537608626E-2</v>
      </c>
      <c r="M134" s="45">
        <f t="shared" si="39"/>
        <v>1.8288263423255305E-3</v>
      </c>
      <c r="N134" s="45">
        <f t="shared" si="40"/>
        <v>4.0698296651772705E-3</v>
      </c>
      <c r="O134" s="46">
        <f t="shared" si="41"/>
        <v>225.06808232332102</v>
      </c>
      <c r="P134" s="46">
        <f t="shared" si="42"/>
        <v>0.91598875812401193</v>
      </c>
      <c r="Q134" s="40">
        <v>225.07</v>
      </c>
      <c r="R134" s="40">
        <v>225.48</v>
      </c>
      <c r="S134" s="40">
        <v>45</v>
      </c>
      <c r="T134" s="40">
        <v>768555</v>
      </c>
      <c r="U134" s="48">
        <v>768555</v>
      </c>
    </row>
    <row r="135" spans="1:21" ht="14.25">
      <c r="A135" s="136">
        <v>113</v>
      </c>
      <c r="B135" s="37" t="s">
        <v>188</v>
      </c>
      <c r="C135" s="37" t="s">
        <v>35</v>
      </c>
      <c r="D135" s="90">
        <v>2641025064.6300001</v>
      </c>
      <c r="E135" s="90">
        <v>15885576.98</v>
      </c>
      <c r="F135" s="90">
        <v>6931414.0199999996</v>
      </c>
      <c r="G135" s="90">
        <v>-17313058.940000001</v>
      </c>
      <c r="H135" s="39">
        <v>2582245390.1199999</v>
      </c>
      <c r="I135" s="44">
        <f t="shared" si="36"/>
        <v>6.4649652656458931E-2</v>
      </c>
      <c r="J135" s="90">
        <v>2633566479.8899999</v>
      </c>
      <c r="K135" s="44">
        <f t="shared" si="37"/>
        <v>6.6312430760491065E-2</v>
      </c>
      <c r="L135" s="44">
        <f t="shared" si="38"/>
        <v>1.9874598272635519E-2</v>
      </c>
      <c r="M135" s="45">
        <f t="shared" si="39"/>
        <v>2.6319495152024846E-3</v>
      </c>
      <c r="N135" s="45">
        <f t="shared" si="40"/>
        <v>-6.5739973044930088E-3</v>
      </c>
      <c r="O135" s="46">
        <f t="shared" si="41"/>
        <v>3.6483375025816391</v>
      </c>
      <c r="P135" s="46">
        <f t="shared" si="42"/>
        <v>-2.398416090785245E-2</v>
      </c>
      <c r="Q135" s="40">
        <v>3.62</v>
      </c>
      <c r="R135" s="40">
        <v>3.69</v>
      </c>
      <c r="S135" s="40">
        <v>2257</v>
      </c>
      <c r="T135" s="74">
        <v>719050011.00999999</v>
      </c>
      <c r="U135" s="74">
        <v>721853852.07000005</v>
      </c>
    </row>
    <row r="136" spans="1:21" ht="14.25">
      <c r="A136" s="136">
        <v>114</v>
      </c>
      <c r="B136" s="37" t="s">
        <v>189</v>
      </c>
      <c r="C136" s="37" t="s">
        <v>121</v>
      </c>
      <c r="D136" s="49">
        <v>181306820.72999999</v>
      </c>
      <c r="E136" s="49">
        <v>3069589.28</v>
      </c>
      <c r="F136" s="104">
        <v>5069918.6399999997</v>
      </c>
      <c r="G136" s="48">
        <v>2000329.36</v>
      </c>
      <c r="H136" s="39">
        <v>177151839.27000001</v>
      </c>
      <c r="I136" s="44">
        <f t="shared" si="36"/>
        <v>4.4352116650409118E-3</v>
      </c>
      <c r="J136" s="39">
        <v>176261031.69999999</v>
      </c>
      <c r="K136" s="44">
        <f t="shared" si="37"/>
        <v>4.4382010287688546E-3</v>
      </c>
      <c r="L136" s="44">
        <f t="shared" si="38"/>
        <v>-5.0284974385297141E-3</v>
      </c>
      <c r="M136" s="45">
        <f t="shared" si="39"/>
        <v>2.8763695475407795E-2</v>
      </c>
      <c r="N136" s="45">
        <f t="shared" si="40"/>
        <v>1.1348676112395638E-2</v>
      </c>
      <c r="O136" s="46">
        <f t="shared" si="41"/>
        <v>167.9885465953526</v>
      </c>
      <c r="P136" s="46">
        <f t="shared" si="42"/>
        <v>1.9064476059027395</v>
      </c>
      <c r="Q136" s="40">
        <v>167.988</v>
      </c>
      <c r="R136" s="40">
        <v>172.79750000000001</v>
      </c>
      <c r="S136" s="40">
        <v>138</v>
      </c>
      <c r="T136" s="40">
        <v>1049244.3400000001</v>
      </c>
      <c r="U136" s="40">
        <v>1049244.3400000001</v>
      </c>
    </row>
    <row r="137" spans="1:21" ht="14.25">
      <c r="A137" s="136">
        <v>115</v>
      </c>
      <c r="B137" s="36" t="s">
        <v>190</v>
      </c>
      <c r="C137" s="37" t="s">
        <v>31</v>
      </c>
      <c r="D137" s="49">
        <v>1530123549.1600001</v>
      </c>
      <c r="E137" s="38">
        <v>5975646.4900000002</v>
      </c>
      <c r="F137" s="39">
        <v>3234508.84</v>
      </c>
      <c r="G137" s="41">
        <v>2741137.65</v>
      </c>
      <c r="H137" s="39">
        <v>1598308503.6500001</v>
      </c>
      <c r="I137" s="44">
        <f t="shared" si="36"/>
        <v>4.0015596501475514E-2</v>
      </c>
      <c r="J137" s="90">
        <v>1514225556.02</v>
      </c>
      <c r="K137" s="44">
        <f t="shared" si="37"/>
        <v>3.8127754930848141E-2</v>
      </c>
      <c r="L137" s="44">
        <f t="shared" si="38"/>
        <v>-5.2607458095845008E-2</v>
      </c>
      <c r="M137" s="45">
        <f t="shared" si="39"/>
        <v>2.1360812642084864E-3</v>
      </c>
      <c r="N137" s="45">
        <f t="shared" si="40"/>
        <v>1.8102571569356043E-3</v>
      </c>
      <c r="O137" s="46">
        <f t="shared" si="41"/>
        <v>2029.9290247603726</v>
      </c>
      <c r="P137" s="46">
        <f t="shared" si="42"/>
        <v>3.6746935451437763</v>
      </c>
      <c r="Q137" s="40">
        <v>552.20000000000005</v>
      </c>
      <c r="R137" s="40">
        <v>552.20000000000005</v>
      </c>
      <c r="S137" s="40">
        <v>830</v>
      </c>
      <c r="T137" s="41">
        <v>745950</v>
      </c>
      <c r="U137" s="40">
        <v>745950</v>
      </c>
    </row>
    <row r="138" spans="1:21" ht="14.25">
      <c r="A138" s="136">
        <v>116</v>
      </c>
      <c r="B138" s="36" t="s">
        <v>191</v>
      </c>
      <c r="C138" s="37" t="s">
        <v>87</v>
      </c>
      <c r="D138" s="90">
        <v>24469026.93</v>
      </c>
      <c r="E138" s="49">
        <v>96585.48</v>
      </c>
      <c r="F138" s="39">
        <v>10387.58</v>
      </c>
      <c r="G138" s="48">
        <v>86197.9</v>
      </c>
      <c r="H138" s="39">
        <v>24009843.399999999</v>
      </c>
      <c r="I138" s="44">
        <f t="shared" si="36"/>
        <v>6.0111561902094794E-4</v>
      </c>
      <c r="J138" s="39">
        <v>24659875.440000001</v>
      </c>
      <c r="K138" s="44">
        <f t="shared" si="37"/>
        <v>6.2092842355194176E-4</v>
      </c>
      <c r="L138" s="44">
        <f t="shared" si="38"/>
        <v>2.7073564336533861E-2</v>
      </c>
      <c r="M138" s="45">
        <f t="shared" si="39"/>
        <v>4.2123408227564023E-4</v>
      </c>
      <c r="N138" s="45">
        <f t="shared" si="40"/>
        <v>3.4954718327644559E-3</v>
      </c>
      <c r="O138" s="46">
        <f t="shared" si="41"/>
        <v>1.5311032122081172</v>
      </c>
      <c r="P138" s="46">
        <f t="shared" si="42"/>
        <v>5.3519281513286525E-3</v>
      </c>
      <c r="Q138" s="40">
        <v>1.56</v>
      </c>
      <c r="R138" s="40">
        <v>1.56</v>
      </c>
      <c r="S138" s="40">
        <v>7</v>
      </c>
      <c r="T138" s="40">
        <v>15845952.390000001</v>
      </c>
      <c r="U138" s="40">
        <v>16105952.390000001</v>
      </c>
    </row>
    <row r="139" spans="1:21" ht="14.25">
      <c r="A139" s="136">
        <v>117</v>
      </c>
      <c r="B139" s="37" t="s">
        <v>192</v>
      </c>
      <c r="C139" s="37" t="s">
        <v>40</v>
      </c>
      <c r="D139" s="49">
        <v>205772005.93000001</v>
      </c>
      <c r="E139" s="49">
        <v>1561018.79</v>
      </c>
      <c r="F139" s="47">
        <v>338363.43</v>
      </c>
      <c r="G139" s="48">
        <v>1222655.3</v>
      </c>
      <c r="H139" s="39">
        <v>202692283.53999999</v>
      </c>
      <c r="I139" s="44">
        <f t="shared" si="36"/>
        <v>5.0746477376406628E-3</v>
      </c>
      <c r="J139" s="39">
        <v>210475446.61000001</v>
      </c>
      <c r="K139" s="44">
        <f t="shared" si="37"/>
        <v>5.2997099510060696E-3</v>
      </c>
      <c r="L139" s="44">
        <f t="shared" si="38"/>
        <v>3.8398911562235502E-2</v>
      </c>
      <c r="M139" s="45">
        <f t="shared" si="39"/>
        <v>1.6076147382025501E-3</v>
      </c>
      <c r="N139" s="45">
        <f t="shared" si="40"/>
        <v>5.809016299490345E-3</v>
      </c>
      <c r="O139" s="46">
        <f t="shared" si="41"/>
        <v>2.1413773312210385</v>
      </c>
      <c r="P139" s="46">
        <f t="shared" si="42"/>
        <v>1.2439295820422148E-2</v>
      </c>
      <c r="Q139" s="40">
        <v>1.93</v>
      </c>
      <c r="R139" s="40">
        <v>1.98</v>
      </c>
      <c r="S139" s="40">
        <v>116</v>
      </c>
      <c r="T139" s="40">
        <v>98336986.870000005</v>
      </c>
      <c r="U139" s="40">
        <v>98289751.900000006</v>
      </c>
    </row>
    <row r="140" spans="1:21" ht="14.25">
      <c r="A140" s="136">
        <v>118</v>
      </c>
      <c r="B140" s="36" t="s">
        <v>193</v>
      </c>
      <c r="C140" s="36" t="s">
        <v>44</v>
      </c>
      <c r="D140" s="90">
        <v>2070283767.28</v>
      </c>
      <c r="E140" s="90">
        <v>15510012.119999999</v>
      </c>
      <c r="F140" s="90">
        <v>3304951.14</v>
      </c>
      <c r="G140" s="90">
        <v>26990292.280000001</v>
      </c>
      <c r="H140" s="39">
        <v>2041731802.8299999</v>
      </c>
      <c r="I140" s="44">
        <f t="shared" si="36"/>
        <v>5.1117237879731922E-2</v>
      </c>
      <c r="J140" s="90">
        <v>2071765747.23</v>
      </c>
      <c r="K140" s="44">
        <f t="shared" si="37"/>
        <v>5.2166453254251899E-2</v>
      </c>
      <c r="L140" s="44">
        <f t="shared" si="38"/>
        <v>1.4710034079094375E-2</v>
      </c>
      <c r="M140" s="45">
        <f t="shared" si="39"/>
        <v>1.5952339903383373E-3</v>
      </c>
      <c r="N140" s="45">
        <f t="shared" si="40"/>
        <v>1.3027675699381874E-2</v>
      </c>
      <c r="O140" s="46">
        <f t="shared" si="41"/>
        <v>4695.9178526503238</v>
      </c>
      <c r="P140" s="46">
        <f t="shared" si="42"/>
        <v>61.176894895266138</v>
      </c>
      <c r="Q140" s="74">
        <v>4673.67</v>
      </c>
      <c r="R140" s="74">
        <v>4711.16</v>
      </c>
      <c r="S140" s="40">
        <v>1871</v>
      </c>
      <c r="T140" s="74">
        <v>439560.25</v>
      </c>
      <c r="U140" s="74">
        <v>441184.41</v>
      </c>
    </row>
    <row r="141" spans="1:21" ht="14.25">
      <c r="A141" s="136">
        <v>119</v>
      </c>
      <c r="B141" s="36" t="s">
        <v>194</v>
      </c>
      <c r="C141" s="36" t="s">
        <v>49</v>
      </c>
      <c r="D141" s="49">
        <v>1126496399</v>
      </c>
      <c r="E141" s="49">
        <v>7593882</v>
      </c>
      <c r="F141" s="49">
        <v>3155554</v>
      </c>
      <c r="G141" s="48">
        <v>-29286091</v>
      </c>
      <c r="H141" s="39">
        <v>1409394885.6500001</v>
      </c>
      <c r="I141" s="44">
        <f t="shared" si="36"/>
        <v>3.5285914406774435E-2</v>
      </c>
      <c r="J141" s="39">
        <v>1429905819.55</v>
      </c>
      <c r="K141" s="44">
        <f t="shared" si="37"/>
        <v>3.6004608722424621E-2</v>
      </c>
      <c r="L141" s="44">
        <f t="shared" si="38"/>
        <v>1.4553007186868286E-2</v>
      </c>
      <c r="M141" s="45">
        <f t="shared" si="39"/>
        <v>2.2068264614749748E-3</v>
      </c>
      <c r="N141" s="45">
        <f t="shared" si="40"/>
        <v>-2.0481132812800572E-2</v>
      </c>
      <c r="O141" s="46">
        <f t="shared" si="41"/>
        <v>1.6049291373804535</v>
      </c>
      <c r="P141" s="46">
        <f t="shared" si="42"/>
        <v>-3.2870766817822528E-2</v>
      </c>
      <c r="Q141" s="40">
        <v>1.6</v>
      </c>
      <c r="R141" s="40">
        <v>1.57</v>
      </c>
      <c r="S141" s="40">
        <v>1391</v>
      </c>
      <c r="T141" s="40">
        <v>899200084</v>
      </c>
      <c r="U141" s="40">
        <v>890946389</v>
      </c>
    </row>
    <row r="142" spans="1:21" ht="14.25">
      <c r="A142" s="136">
        <v>120</v>
      </c>
      <c r="B142" s="42" t="s">
        <v>195</v>
      </c>
      <c r="C142" s="36" t="s">
        <v>94</v>
      </c>
      <c r="D142" s="90">
        <v>5711425825.71</v>
      </c>
      <c r="E142" s="90">
        <v>26724483.100000001</v>
      </c>
      <c r="F142" s="90">
        <v>8102709.1399999997</v>
      </c>
      <c r="G142" s="90">
        <v>218111863.00999999</v>
      </c>
      <c r="H142" s="39">
        <v>6609895817.1700001</v>
      </c>
      <c r="I142" s="44">
        <f t="shared" si="36"/>
        <v>0.16548677763563088</v>
      </c>
      <c r="J142" s="90">
        <v>6179174514.0900002</v>
      </c>
      <c r="K142" s="44">
        <f t="shared" si="37"/>
        <v>0.1555898000872562</v>
      </c>
      <c r="L142" s="44">
        <f t="shared" si="38"/>
        <v>-6.5163100144657274E-2</v>
      </c>
      <c r="M142" s="45">
        <f t="shared" si="39"/>
        <v>1.311293138189232E-3</v>
      </c>
      <c r="N142" s="45">
        <f t="shared" si="40"/>
        <v>3.5297896590014186E-2</v>
      </c>
      <c r="O142" s="46">
        <f t="shared" si="41"/>
        <v>305.87641942574504</v>
      </c>
      <c r="P142" s="46">
        <f t="shared" si="42"/>
        <v>10.796794222213755</v>
      </c>
      <c r="Q142" s="74">
        <v>303.60000000000002</v>
      </c>
      <c r="R142" s="74">
        <v>307.02999999999997</v>
      </c>
      <c r="S142" s="40">
        <v>29</v>
      </c>
      <c r="T142" s="74">
        <v>22395408.23</v>
      </c>
      <c r="U142" s="74">
        <v>20201539.32</v>
      </c>
    </row>
    <row r="143" spans="1:21" ht="14.25">
      <c r="A143" s="136">
        <v>121</v>
      </c>
      <c r="B143" s="36" t="s">
        <v>196</v>
      </c>
      <c r="C143" s="36" t="s">
        <v>49</v>
      </c>
      <c r="D143" s="38">
        <v>417764284.14999998</v>
      </c>
      <c r="E143" s="38">
        <v>47710709.259999998</v>
      </c>
      <c r="F143" s="38">
        <v>1657472</v>
      </c>
      <c r="G143" s="108">
        <v>46053237</v>
      </c>
      <c r="H143" s="39">
        <v>933884326</v>
      </c>
      <c r="I143" s="44">
        <f t="shared" si="36"/>
        <v>2.3380929453186303E-2</v>
      </c>
      <c r="J143" s="38">
        <v>842794436</v>
      </c>
      <c r="K143" s="44">
        <f t="shared" si="37"/>
        <v>2.1221316457867227E-2</v>
      </c>
      <c r="L143" s="44">
        <f t="shared" si="38"/>
        <v>-9.7538728795411866E-2</v>
      </c>
      <c r="M143" s="45">
        <f t="shared" si="39"/>
        <v>1.9666385172955746E-3</v>
      </c>
      <c r="N143" s="45">
        <f t="shared" si="40"/>
        <v>5.4643499094006835E-2</v>
      </c>
      <c r="O143" s="46">
        <f t="shared" si="41"/>
        <v>1.3667043639343304</v>
      </c>
      <c r="P143" s="46">
        <f t="shared" si="42"/>
        <v>7.4681508672420766E-2</v>
      </c>
      <c r="Q143" s="40">
        <v>1.37</v>
      </c>
      <c r="R143" s="40">
        <v>1.35</v>
      </c>
      <c r="S143" s="40">
        <v>147</v>
      </c>
      <c r="T143" s="40">
        <v>618053209</v>
      </c>
      <c r="U143" s="40">
        <v>616661846</v>
      </c>
    </row>
    <row r="144" spans="1:21" ht="14.25">
      <c r="A144" s="136">
        <v>122</v>
      </c>
      <c r="B144" s="36" t="s">
        <v>197</v>
      </c>
      <c r="C144" s="36" t="s">
        <v>42</v>
      </c>
      <c r="D144" s="49">
        <v>417764284.14999998</v>
      </c>
      <c r="E144" s="49">
        <v>47710709.259999998</v>
      </c>
      <c r="F144" s="39">
        <v>-1657472</v>
      </c>
      <c r="G144" s="48">
        <v>46053237</v>
      </c>
      <c r="H144" s="39">
        <v>259928081.91</v>
      </c>
      <c r="I144" s="44">
        <f t="shared" si="36"/>
        <v>6.5076155331465976E-3</v>
      </c>
      <c r="J144" s="39">
        <v>259928081.91</v>
      </c>
      <c r="K144" s="44">
        <f t="shared" si="37"/>
        <v>6.5449127887912918E-3</v>
      </c>
      <c r="L144" s="44">
        <f t="shared" si="38"/>
        <v>0</v>
      </c>
      <c r="M144" s="45">
        <f t="shared" si="39"/>
        <v>-6.3766561420397008E-3</v>
      </c>
      <c r="N144" s="45">
        <f t="shared" si="40"/>
        <v>0.17717684315443039</v>
      </c>
      <c r="O144" s="46">
        <f t="shared" si="41"/>
        <v>0.42150829274752954</v>
      </c>
      <c r="P144" s="46">
        <f t="shared" si="42"/>
        <v>7.4681508672420766E-2</v>
      </c>
      <c r="Q144" s="40">
        <v>1.37</v>
      </c>
      <c r="R144" s="40">
        <v>1.35</v>
      </c>
      <c r="S144" s="40">
        <v>147</v>
      </c>
      <c r="T144" s="40">
        <v>618053209</v>
      </c>
      <c r="U144" s="40">
        <v>616661846</v>
      </c>
    </row>
    <row r="145" spans="1:21" ht="14.25">
      <c r="A145" s="136">
        <v>123</v>
      </c>
      <c r="B145" s="36" t="s">
        <v>198</v>
      </c>
      <c r="C145" s="36" t="s">
        <v>98</v>
      </c>
      <c r="D145" s="90">
        <v>3238894152.6399999</v>
      </c>
      <c r="E145" s="90">
        <v>14814531.15</v>
      </c>
      <c r="F145" s="90">
        <v>26778468.870000001</v>
      </c>
      <c r="G145" s="90">
        <v>18915913.07</v>
      </c>
      <c r="H145" s="39">
        <v>3196483664.8299999</v>
      </c>
      <c r="I145" s="44">
        <f t="shared" si="36"/>
        <v>8.0027854612106042E-2</v>
      </c>
      <c r="J145" s="90">
        <v>3224842190.1700001</v>
      </c>
      <c r="K145" s="44">
        <f t="shared" si="37"/>
        <v>8.1200579549482482E-2</v>
      </c>
      <c r="L145" s="44">
        <f t="shared" si="38"/>
        <v>8.8717879750242236E-3</v>
      </c>
      <c r="M145" s="45">
        <f t="shared" si="39"/>
        <v>8.3038075325442065E-3</v>
      </c>
      <c r="N145" s="45">
        <f t="shared" si="40"/>
        <v>5.8656864288304392E-3</v>
      </c>
      <c r="O145" s="46">
        <f t="shared" si="41"/>
        <v>18.114967383163478</v>
      </c>
      <c r="P145" s="46">
        <f t="shared" si="42"/>
        <v>0.10625671833812808</v>
      </c>
      <c r="Q145" s="74">
        <v>18.114999999999998</v>
      </c>
      <c r="R145" s="74">
        <v>18.3216</v>
      </c>
      <c r="S145" s="74">
        <v>6278</v>
      </c>
      <c r="T145" s="74">
        <v>178220086.75</v>
      </c>
      <c r="U145" s="74">
        <v>178020866.5</v>
      </c>
    </row>
    <row r="146" spans="1:21" ht="15.75" customHeight="1">
      <c r="A146" s="123" t="s">
        <v>50</v>
      </c>
      <c r="B146" s="123"/>
      <c r="C146" s="123"/>
      <c r="D146" s="123"/>
      <c r="E146" s="123"/>
      <c r="F146" s="123"/>
      <c r="G146" s="123"/>
      <c r="H146" s="34">
        <f>SUM(H122:H145)</f>
        <v>39942138650.640007</v>
      </c>
      <c r="I146" s="86">
        <f>(H146/$H$170)</f>
        <v>2.0065190912070523E-2</v>
      </c>
      <c r="J146" s="34">
        <f>SUM(J122:J145)</f>
        <v>39714521842.849991</v>
      </c>
      <c r="K146" s="86">
        <f>(J146/$J$170)</f>
        <v>1.9693866639738235E-2</v>
      </c>
      <c r="L146" s="44">
        <f>((J146-H146)/H146)</f>
        <v>-5.6986635037472883E-3</v>
      </c>
      <c r="M146" s="45"/>
      <c r="N146" s="45"/>
      <c r="O146" s="46"/>
      <c r="P146" s="46"/>
      <c r="Q146" s="40"/>
      <c r="R146" s="40"/>
      <c r="S146" s="35">
        <f>SUM(S122:S145)</f>
        <v>48158</v>
      </c>
      <c r="T146" s="40"/>
      <c r="U146" s="52"/>
    </row>
    <row r="147" spans="1:21" ht="6" customHeight="1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</row>
    <row r="148" spans="1:21">
      <c r="A148" s="121" t="s">
        <v>199</v>
      </c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</row>
    <row r="149" spans="1:21" ht="14.25">
      <c r="A149" s="136">
        <v>124</v>
      </c>
      <c r="B149" s="37" t="s">
        <v>200</v>
      </c>
      <c r="C149" s="37" t="s">
        <v>25</v>
      </c>
      <c r="D149" s="90">
        <v>533307061.38999999</v>
      </c>
      <c r="E149" s="90">
        <v>7302767.9199999999</v>
      </c>
      <c r="F149" s="90">
        <v>1880477.55</v>
      </c>
      <c r="G149" s="90">
        <v>-2393284.0499999998</v>
      </c>
      <c r="H149" s="39">
        <v>699769016</v>
      </c>
      <c r="I149" s="44">
        <f>(H149/$H$152)</f>
        <v>0.18087282516326311</v>
      </c>
      <c r="J149" s="91">
        <v>718997235</v>
      </c>
      <c r="K149" s="44">
        <f>(J149/$J$152)</f>
        <v>0.18461874115367691</v>
      </c>
      <c r="L149" s="44">
        <f>((J149-H149)/H149)</f>
        <v>2.7477951381602753E-2</v>
      </c>
      <c r="M149" s="45">
        <f>(F149/J149)</f>
        <v>2.6154169424587566E-3</v>
      </c>
      <c r="N149" s="45">
        <f>G149/J149</f>
        <v>-3.328641521131858E-3</v>
      </c>
      <c r="O149" s="46">
        <f>J149/U149</f>
        <v>53.420534828539488</v>
      </c>
      <c r="P149" s="46">
        <f>G149/U149</f>
        <v>-0.17781781031134705</v>
      </c>
      <c r="Q149" s="74">
        <v>53.153399999999998</v>
      </c>
      <c r="R149" s="74">
        <v>54.756</v>
      </c>
      <c r="S149" s="74">
        <v>286</v>
      </c>
      <c r="T149" s="74">
        <v>13417781</v>
      </c>
      <c r="U149" s="74">
        <v>13459192</v>
      </c>
    </row>
    <row r="150" spans="1:21" ht="14.25">
      <c r="A150" s="136">
        <v>125</v>
      </c>
      <c r="B150" s="37" t="s">
        <v>201</v>
      </c>
      <c r="C150" s="36" t="s">
        <v>44</v>
      </c>
      <c r="D150" s="92">
        <v>2391598456.3400002</v>
      </c>
      <c r="E150" s="138">
        <v>7546812.2599999998</v>
      </c>
      <c r="F150" s="90">
        <v>7754651.7800000003</v>
      </c>
      <c r="G150" s="90">
        <v>-3316995.22</v>
      </c>
      <c r="H150" s="39">
        <v>2399664699</v>
      </c>
      <c r="I150" s="44">
        <f>(H150/$H$152)</f>
        <v>0.62025343167334723</v>
      </c>
      <c r="J150" s="90">
        <v>2393764334.73</v>
      </c>
      <c r="K150" s="44">
        <f>(J150/$J$152)</f>
        <v>0.61465293130984222</v>
      </c>
      <c r="L150" s="44">
        <f>((J150-H150)/H150)</f>
        <v>-2.4588286323746853E-3</v>
      </c>
      <c r="M150" s="45">
        <f>(F150/J150)</f>
        <v>3.2395218140279756E-3</v>
      </c>
      <c r="N150" s="45">
        <f>G150/J150</f>
        <v>-1.3856816111240684E-3</v>
      </c>
      <c r="O150" s="46">
        <f>J150/U150</f>
        <v>557.20548981096476</v>
      </c>
      <c r="P150" s="46">
        <f>G150/U150</f>
        <v>-0.77210940084843338</v>
      </c>
      <c r="Q150" s="95">
        <v>1.91</v>
      </c>
      <c r="R150" s="40">
        <v>1.94</v>
      </c>
      <c r="S150" s="74">
        <v>9858</v>
      </c>
      <c r="T150" s="74">
        <v>1251434844.24</v>
      </c>
      <c r="U150" s="74">
        <v>4296017.1399999997</v>
      </c>
    </row>
    <row r="151" spans="1:21" ht="14.25">
      <c r="A151" s="136">
        <v>126</v>
      </c>
      <c r="B151" s="37" t="s">
        <v>202</v>
      </c>
      <c r="C151" s="36" t="s">
        <v>98</v>
      </c>
      <c r="D151" s="90">
        <v>785563791.87</v>
      </c>
      <c r="E151" s="90">
        <v>4219147.55</v>
      </c>
      <c r="F151" s="90">
        <v>6879785.2999999998</v>
      </c>
      <c r="G151" s="90">
        <v>9248231.25</v>
      </c>
      <c r="H151" s="39">
        <v>769411786.63</v>
      </c>
      <c r="I151" s="44">
        <f>(H151/$H$152)</f>
        <v>0.19887374316338963</v>
      </c>
      <c r="J151" s="90">
        <v>781735979.69000006</v>
      </c>
      <c r="K151" s="44">
        <f>(J151/$J$152)</f>
        <v>0.20072832753648093</v>
      </c>
      <c r="L151" s="44">
        <f>((J151-H151)/H151)</f>
        <v>1.6017681655202669E-2</v>
      </c>
      <c r="M151" s="45">
        <f>(F151/J151)</f>
        <v>8.8006507039988125E-3</v>
      </c>
      <c r="N151" s="45">
        <f>G151/J151</f>
        <v>1.1830376866710696E-2</v>
      </c>
      <c r="O151" s="46">
        <f>J151/U151</f>
        <v>21.562804368097066</v>
      </c>
      <c r="P151" s="46">
        <f>G151/U151</f>
        <v>0.25509610197774391</v>
      </c>
      <c r="Q151" s="74">
        <v>21.562799999999999</v>
      </c>
      <c r="R151" s="74">
        <v>21.794599999999999</v>
      </c>
      <c r="S151" s="41" t="s">
        <v>203</v>
      </c>
      <c r="T151" s="74">
        <v>36286232.619999997</v>
      </c>
      <c r="U151" s="74">
        <v>36253910.5</v>
      </c>
    </row>
    <row r="152" spans="1:21" ht="15.75" customHeight="1">
      <c r="A152" s="118"/>
      <c r="B152" s="118"/>
      <c r="C152" s="118"/>
      <c r="D152" s="118"/>
      <c r="E152" s="118"/>
      <c r="F152" s="118"/>
      <c r="G152" s="118"/>
      <c r="H152" s="34">
        <f>SUM(H149:H151)</f>
        <v>3868845501.6300001</v>
      </c>
      <c r="I152" s="86">
        <f>(H152/$H$170)</f>
        <v>1.9435394854167964E-3</v>
      </c>
      <c r="J152" s="34">
        <f>SUM(J149:J151)</f>
        <v>3894497549.4200001</v>
      </c>
      <c r="K152" s="86">
        <f>(J152/$J$170)</f>
        <v>1.9312259548423375E-3</v>
      </c>
      <c r="L152" s="44">
        <f>((J152-H152)/H152)</f>
        <v>6.6304141065318808E-3</v>
      </c>
      <c r="M152" s="45"/>
      <c r="N152" s="63"/>
      <c r="O152" s="46"/>
      <c r="P152" s="46"/>
      <c r="Q152" s="40"/>
      <c r="R152" s="40"/>
      <c r="S152" s="35">
        <f>SUM(S149:S151)</f>
        <v>10144</v>
      </c>
      <c r="T152" s="40"/>
      <c r="U152" s="52"/>
    </row>
    <row r="153" spans="1:21" ht="8.25" customHeight="1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</row>
    <row r="154" spans="1:21">
      <c r="A154" s="121" t="s">
        <v>204</v>
      </c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</row>
    <row r="155" spans="1:21" ht="13.5" customHeight="1">
      <c r="A155" s="122" t="s">
        <v>205</v>
      </c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</row>
    <row r="156" spans="1:21" ht="15" customHeight="1">
      <c r="A156" s="136">
        <v>127</v>
      </c>
      <c r="B156" s="37" t="s">
        <v>206</v>
      </c>
      <c r="C156" s="36" t="s">
        <v>124</v>
      </c>
      <c r="D156" s="54">
        <v>3710761186.7199998</v>
      </c>
      <c r="E156" s="49">
        <v>31979350.52</v>
      </c>
      <c r="F156" s="47">
        <v>6975599.5700000003</v>
      </c>
      <c r="G156" s="48">
        <v>48260469.82</v>
      </c>
      <c r="H156" s="49">
        <v>3671308280.5500002</v>
      </c>
      <c r="I156" s="44">
        <f>(H156/$H$169)</f>
        <v>8.0824680986417416E-2</v>
      </c>
      <c r="J156" s="49">
        <v>3718546005.1700001</v>
      </c>
      <c r="K156" s="44">
        <f>(J156/$J$169)</f>
        <v>8.032627165988325E-2</v>
      </c>
      <c r="L156" s="44">
        <f>((J156-H156)/H156)</f>
        <v>1.2866727882879719E-2</v>
      </c>
      <c r="M156" s="45">
        <f>(F156/J156)</f>
        <v>1.8758943846066787E-3</v>
      </c>
      <c r="N156" s="45">
        <f>G156/J156</f>
        <v>1.2978317265109023E-2</v>
      </c>
      <c r="O156" s="46">
        <f>J156/U156</f>
        <v>1.8362686884415111</v>
      </c>
      <c r="P156" s="46">
        <f>G156/U156</f>
        <v>2.3831677622579567E-2</v>
      </c>
      <c r="Q156" s="53">
        <v>1.82</v>
      </c>
      <c r="R156" s="53">
        <v>1.85</v>
      </c>
      <c r="S156" s="53">
        <v>14846</v>
      </c>
      <c r="T156" s="74">
        <v>2023352085.52</v>
      </c>
      <c r="U156" s="40">
        <v>2025055499</v>
      </c>
    </row>
    <row r="157" spans="1:21" ht="14.25">
      <c r="A157" s="136">
        <v>128</v>
      </c>
      <c r="B157" s="36" t="s">
        <v>207</v>
      </c>
      <c r="C157" s="36" t="s">
        <v>44</v>
      </c>
      <c r="D157" s="90">
        <v>525579792.38999999</v>
      </c>
      <c r="E157" s="90">
        <v>1364714.3</v>
      </c>
      <c r="F157" s="90">
        <v>960867.66</v>
      </c>
      <c r="G157" s="90">
        <v>-5672666.3600000003</v>
      </c>
      <c r="H157" s="39">
        <v>508116554.61000001</v>
      </c>
      <c r="I157" s="44">
        <f>(H157/$H$169)</f>
        <v>1.1186300711341607E-2</v>
      </c>
      <c r="J157" s="90">
        <v>522793401.75999999</v>
      </c>
      <c r="K157" s="44">
        <f>(J157/$J$169)</f>
        <v>1.1293135745364649E-2</v>
      </c>
      <c r="L157" s="44">
        <f>((J157-H157)/H157)</f>
        <v>2.8884804119922936E-2</v>
      </c>
      <c r="M157" s="45">
        <f>(F157/J157)</f>
        <v>1.8379490956947995E-3</v>
      </c>
      <c r="N157" s="45">
        <f>G157/J157</f>
        <v>-1.0850684689023992E-2</v>
      </c>
      <c r="O157" s="46">
        <f>J157/U157</f>
        <v>368.68293816365792</v>
      </c>
      <c r="P157" s="46">
        <f>G157/U157</f>
        <v>-4.0004623122367828</v>
      </c>
      <c r="Q157" s="74">
        <v>366.04</v>
      </c>
      <c r="R157" s="74">
        <v>370.5</v>
      </c>
      <c r="S157" s="74">
        <v>678</v>
      </c>
      <c r="T157" s="74">
        <v>1362531.16</v>
      </c>
      <c r="U157" s="74">
        <v>1418002.7</v>
      </c>
    </row>
    <row r="158" spans="1:21" ht="7.5" customHeight="1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</row>
    <row r="159" spans="1:21" ht="13.5">
      <c r="A159" s="122" t="s">
        <v>158</v>
      </c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</row>
    <row r="160" spans="1:21" ht="14.25">
      <c r="A160" s="136">
        <v>129</v>
      </c>
      <c r="B160" s="37" t="s">
        <v>208</v>
      </c>
      <c r="C160" s="36" t="s">
        <v>209</v>
      </c>
      <c r="D160" s="109">
        <v>371909706.09294301</v>
      </c>
      <c r="E160" s="39">
        <v>4612076.5864706701</v>
      </c>
      <c r="F160" s="110">
        <v>827776.66564519901</v>
      </c>
      <c r="G160" s="48">
        <v>3784299.92082548</v>
      </c>
      <c r="H160" s="39">
        <v>434725352</v>
      </c>
      <c r="I160" s="44">
        <f>(H160/$H$169)</f>
        <v>9.5705768099769058E-3</v>
      </c>
      <c r="J160" s="39">
        <v>418104157.76972002</v>
      </c>
      <c r="K160" s="44">
        <f>(J160/$J$169)</f>
        <v>9.0316882223437298E-3</v>
      </c>
      <c r="L160" s="44">
        <f t="shared" ref="L160:L169" si="44">((J160-H160)/H160)</f>
        <v>-3.823378175165635E-2</v>
      </c>
      <c r="M160" s="45">
        <f t="shared" ref="M160" si="45">(F160/J160)</f>
        <v>1.9798336138554143E-3</v>
      </c>
      <c r="N160" s="45">
        <f t="shared" ref="N160" si="46">G160/J160</f>
        <v>9.0510937298781072E-3</v>
      </c>
      <c r="O160" s="46">
        <f t="shared" ref="O160" si="47">J160/U160</f>
        <v>1024.7424879591381</v>
      </c>
      <c r="P160" s="46">
        <f t="shared" ref="P160" si="48">G160/U160</f>
        <v>9.2750403075066483</v>
      </c>
      <c r="Q160" s="40">
        <v>1024.7424879591399</v>
      </c>
      <c r="R160" s="40">
        <v>1024.7424879591399</v>
      </c>
      <c r="S160" s="40">
        <v>21</v>
      </c>
      <c r="T160" s="40">
        <v>418790</v>
      </c>
      <c r="U160" s="40">
        <v>408009</v>
      </c>
    </row>
    <row r="161" spans="1:21" ht="15" customHeight="1">
      <c r="A161" s="136">
        <v>130</v>
      </c>
      <c r="B161" s="37" t="s">
        <v>210</v>
      </c>
      <c r="C161" s="58" t="s">
        <v>63</v>
      </c>
      <c r="D161" s="39">
        <v>25950950.170000002</v>
      </c>
      <c r="E161" s="39">
        <v>376810.75</v>
      </c>
      <c r="F161" s="39">
        <v>104026.24000000001</v>
      </c>
      <c r="G161" s="48">
        <v>320882.34000000003</v>
      </c>
      <c r="H161" s="39">
        <v>44979582.630000003</v>
      </c>
      <c r="I161" s="44">
        <f t="shared" ref="I161:I168" si="49">(H161/$H$169)</f>
        <v>9.9023567054612005E-4</v>
      </c>
      <c r="J161" s="39">
        <v>50233970.530000001</v>
      </c>
      <c r="K161" s="44">
        <f t="shared" ref="K161:K168" si="50">(J161/$J$169)</f>
        <v>1.0851304670527742E-3</v>
      </c>
      <c r="L161" s="44">
        <f t="shared" si="44"/>
        <v>0.1168171777675741</v>
      </c>
      <c r="M161" s="45">
        <f t="shared" ref="M161:M168" si="51">(F161/J161)</f>
        <v>2.0708345150195718E-3</v>
      </c>
      <c r="N161" s="45">
        <f t="shared" ref="N161:N168" si="52">G161/J161</f>
        <v>6.3877558674834863E-3</v>
      </c>
      <c r="O161" s="46">
        <f t="shared" ref="O161:O168" si="53">J161/U161</f>
        <v>102.31117926564995</v>
      </c>
      <c r="P161" s="46">
        <f t="shared" ref="P161:P168" si="54">G161/U161</f>
        <v>0.65353883566331028</v>
      </c>
      <c r="Q161" s="40">
        <v>108.61</v>
      </c>
      <c r="R161" s="40">
        <v>108.61</v>
      </c>
      <c r="S161" s="40">
        <v>60</v>
      </c>
      <c r="T161" s="40">
        <v>465989</v>
      </c>
      <c r="U161" s="40">
        <v>490992</v>
      </c>
    </row>
    <row r="162" spans="1:21" ht="15" customHeight="1">
      <c r="A162" s="136">
        <v>131</v>
      </c>
      <c r="B162" s="37" t="s">
        <v>211</v>
      </c>
      <c r="C162" s="58" t="s">
        <v>183</v>
      </c>
      <c r="D162" s="39">
        <v>42328714.420000002</v>
      </c>
      <c r="E162" s="39">
        <v>617934.41</v>
      </c>
      <c r="F162" s="39">
        <v>332443.90000000002</v>
      </c>
      <c r="G162" s="48">
        <v>285490.51</v>
      </c>
      <c r="H162" s="39">
        <v>53471446.880000003</v>
      </c>
      <c r="I162" s="44">
        <f t="shared" si="49"/>
        <v>1.1771859799555467E-3</v>
      </c>
      <c r="J162" s="39">
        <v>53992905.960000001</v>
      </c>
      <c r="K162" s="44">
        <f t="shared" si="50"/>
        <v>1.1663292119606877E-3</v>
      </c>
      <c r="L162" s="44">
        <f t="shared" si="44"/>
        <v>9.7521034201720896E-3</v>
      </c>
      <c r="M162" s="45">
        <f t="shared" si="51"/>
        <v>6.1571773937540448E-3</v>
      </c>
      <c r="N162" s="45">
        <f t="shared" si="52"/>
        <v>5.2875559283936712E-3</v>
      </c>
      <c r="O162" s="46">
        <f t="shared" si="53"/>
        <v>110.05304838078466</v>
      </c>
      <c r="P162" s="46">
        <f t="shared" si="54"/>
        <v>0.58191164840361354</v>
      </c>
      <c r="Q162" s="40">
        <v>103.3</v>
      </c>
      <c r="R162" s="40">
        <v>110.05</v>
      </c>
      <c r="S162" s="40">
        <v>6</v>
      </c>
      <c r="T162" s="74">
        <v>491721</v>
      </c>
      <c r="U162" s="40">
        <v>490608</v>
      </c>
    </row>
    <row r="163" spans="1:21" ht="15" customHeight="1">
      <c r="A163" s="136">
        <v>132</v>
      </c>
      <c r="B163" s="36" t="s">
        <v>212</v>
      </c>
      <c r="C163" s="36" t="s">
        <v>76</v>
      </c>
      <c r="D163" s="90">
        <v>8672403171.3400002</v>
      </c>
      <c r="E163" s="38">
        <v>109229265.94</v>
      </c>
      <c r="F163" s="38">
        <v>14841231.130000001</v>
      </c>
      <c r="G163" s="41">
        <v>94388034.810000002</v>
      </c>
      <c r="H163" s="39">
        <v>9280432680.2000008</v>
      </c>
      <c r="I163" s="44">
        <f t="shared" si="49"/>
        <v>0.20431082150385826</v>
      </c>
      <c r="J163" s="38">
        <v>8672403171.3400002</v>
      </c>
      <c r="K163" s="44">
        <f t="shared" si="50"/>
        <v>0.18733715062730347</v>
      </c>
      <c r="L163" s="44">
        <f t="shared" si="44"/>
        <v>-6.5517366464738699E-2</v>
      </c>
      <c r="M163" s="45">
        <f t="shared" si="51"/>
        <v>1.711317017530544E-3</v>
      </c>
      <c r="N163" s="45">
        <f t="shared" si="52"/>
        <v>1.0883723109406111E-2</v>
      </c>
      <c r="O163" s="46">
        <f t="shared" si="53"/>
        <v>130.89413472323668</v>
      </c>
      <c r="P163" s="46">
        <f t="shared" si="54"/>
        <v>1.4246155189730079</v>
      </c>
      <c r="Q163" s="40">
        <v>130.88999999999999</v>
      </c>
      <c r="R163" s="40">
        <v>130.88999999999999</v>
      </c>
      <c r="S163" s="40">
        <v>597</v>
      </c>
      <c r="T163" s="41">
        <v>69033829.170000002</v>
      </c>
      <c r="U163" s="41">
        <v>66255093.780000001</v>
      </c>
    </row>
    <row r="164" spans="1:21" ht="15" customHeight="1">
      <c r="A164" s="136">
        <v>133</v>
      </c>
      <c r="B164" s="37" t="s">
        <v>123</v>
      </c>
      <c r="C164" s="36" t="s">
        <v>124</v>
      </c>
      <c r="D164" s="39">
        <v>16722813463.26</v>
      </c>
      <c r="E164" s="39">
        <v>201135230.99000001</v>
      </c>
      <c r="F164" s="39">
        <v>54373630.869999997</v>
      </c>
      <c r="G164" s="48">
        <v>192142983.31999999</v>
      </c>
      <c r="H164" s="39">
        <v>18376543062.110001</v>
      </c>
      <c r="I164" s="44">
        <f t="shared" si="49"/>
        <v>0.40456374598040917</v>
      </c>
      <c r="J164" s="39">
        <v>18290519655.119999</v>
      </c>
      <c r="K164" s="44">
        <f t="shared" si="50"/>
        <v>0.39510315283848041</v>
      </c>
      <c r="L164" s="44">
        <f t="shared" si="44"/>
        <v>-4.6811528533552407E-3</v>
      </c>
      <c r="M164" s="45">
        <f t="shared" si="51"/>
        <v>2.9727767113920892E-3</v>
      </c>
      <c r="N164" s="45">
        <f t="shared" si="52"/>
        <v>1.0505058737694974E-2</v>
      </c>
      <c r="O164" s="46">
        <f t="shared" si="53"/>
        <v>1201.3831873967695</v>
      </c>
      <c r="P164" s="46">
        <f t="shared" si="54"/>
        <v>12.62060095008227</v>
      </c>
      <c r="Q164" s="48">
        <v>1191.71</v>
      </c>
      <c r="R164" s="48">
        <v>1191.71</v>
      </c>
      <c r="S164" s="40">
        <v>7155</v>
      </c>
      <c r="T164" s="40">
        <v>15224551.039999999</v>
      </c>
      <c r="U164" s="40">
        <v>15224551.039999999</v>
      </c>
    </row>
    <row r="165" spans="1:21" ht="15" customHeight="1">
      <c r="A165" s="136">
        <v>134</v>
      </c>
      <c r="B165" s="36" t="s">
        <v>238</v>
      </c>
      <c r="C165" s="36" t="s">
        <v>239</v>
      </c>
      <c r="D165" s="39">
        <v>123585960.26000001</v>
      </c>
      <c r="E165" s="39">
        <v>1434017.06</v>
      </c>
      <c r="F165" s="39">
        <v>1426996.18</v>
      </c>
      <c r="G165" s="48">
        <v>7020.88</v>
      </c>
      <c r="H165" s="39">
        <v>316726141.60000002</v>
      </c>
      <c r="I165" s="44">
        <f t="shared" si="49"/>
        <v>6.9727975420914075E-3</v>
      </c>
      <c r="J165" s="39">
        <v>329667429.38999999</v>
      </c>
      <c r="K165" s="44">
        <f t="shared" si="50"/>
        <v>7.1213198529154398E-3</v>
      </c>
      <c r="L165" s="44">
        <f t="shared" si="44"/>
        <v>4.08595505398597E-2</v>
      </c>
      <c r="M165" s="45">
        <f t="shared" si="51"/>
        <v>4.3285931602052461E-3</v>
      </c>
      <c r="N165" s="45">
        <f t="shared" si="52"/>
        <v>2.1296856692792136E-5</v>
      </c>
      <c r="O165" s="46">
        <f t="shared" si="53"/>
        <v>99.228745324918464</v>
      </c>
      <c r="P165" s="46">
        <f t="shared" si="54"/>
        <v>2.1132603689903561E-3</v>
      </c>
      <c r="Q165" s="48">
        <v>99.215699999999998</v>
      </c>
      <c r="R165" s="48">
        <v>99.249200000000002</v>
      </c>
      <c r="S165" s="40">
        <v>123</v>
      </c>
      <c r="T165" s="40">
        <v>3194736.24</v>
      </c>
      <c r="U165" s="40">
        <v>3322297.67</v>
      </c>
    </row>
    <row r="166" spans="1:21" ht="14.25">
      <c r="A166" s="136">
        <v>135</v>
      </c>
      <c r="B166" s="36" t="s">
        <v>213</v>
      </c>
      <c r="C166" s="36" t="s">
        <v>156</v>
      </c>
      <c r="D166" s="39">
        <v>562993733.58000004</v>
      </c>
      <c r="E166" s="39">
        <v>8485654.3399999999</v>
      </c>
      <c r="F166" s="39">
        <v>1529233.22</v>
      </c>
      <c r="G166" s="48">
        <v>6956421.1200000001</v>
      </c>
      <c r="H166" s="39">
        <v>407450370.97000003</v>
      </c>
      <c r="I166" s="44">
        <f t="shared" si="49"/>
        <v>8.9701119423602638E-3</v>
      </c>
      <c r="J166" s="39">
        <v>727170082.15999997</v>
      </c>
      <c r="K166" s="44">
        <f t="shared" si="50"/>
        <v>1.5707984110271463E-2</v>
      </c>
      <c r="L166" s="44">
        <f t="shared" si="44"/>
        <v>0.78468381420013589</v>
      </c>
      <c r="M166" s="45">
        <f t="shared" si="51"/>
        <v>2.1029924876138141E-3</v>
      </c>
      <c r="N166" s="45">
        <f t="shared" si="52"/>
        <v>9.566429217407451E-3</v>
      </c>
      <c r="O166" s="46">
        <f t="shared" si="53"/>
        <v>102.6694277144029</v>
      </c>
      <c r="P166" s="46">
        <f t="shared" si="54"/>
        <v>0.98217981302156609</v>
      </c>
      <c r="Q166" s="40">
        <v>102.67</v>
      </c>
      <c r="R166" s="40">
        <v>102.67</v>
      </c>
      <c r="S166" s="40">
        <v>502</v>
      </c>
      <c r="T166" s="74">
        <v>6663912</v>
      </c>
      <c r="U166" s="40">
        <v>7082635</v>
      </c>
    </row>
    <row r="167" spans="1:21" ht="14.25">
      <c r="A167" s="136">
        <v>136</v>
      </c>
      <c r="B167" s="37" t="s">
        <v>214</v>
      </c>
      <c r="C167" s="37" t="s">
        <v>44</v>
      </c>
      <c r="D167" s="90">
        <v>8309763389.6300001</v>
      </c>
      <c r="E167" s="90">
        <v>60564644.240000002</v>
      </c>
      <c r="F167" s="90">
        <v>13657676.4</v>
      </c>
      <c r="G167" s="90">
        <v>46906967.829999998</v>
      </c>
      <c r="H167" s="39">
        <v>8513807461.8800001</v>
      </c>
      <c r="I167" s="44">
        <f t="shared" si="49"/>
        <v>0.18743339417498953</v>
      </c>
      <c r="J167" s="90">
        <v>8331247004</v>
      </c>
      <c r="K167" s="44">
        <f t="shared" si="50"/>
        <v>0.17996765649220411</v>
      </c>
      <c r="L167" s="44">
        <f t="shared" si="44"/>
        <v>-2.1442868974592421E-2</v>
      </c>
      <c r="M167" s="45">
        <f t="shared" si="51"/>
        <v>1.6393315902700609E-3</v>
      </c>
      <c r="N167" s="45">
        <f t="shared" si="52"/>
        <v>5.6302457252172472E-3</v>
      </c>
      <c r="O167" s="46">
        <f t="shared" si="53"/>
        <v>126.90457881933825</v>
      </c>
      <c r="P167" s="46">
        <f t="shared" si="54"/>
        <v>0.71450396240807446</v>
      </c>
      <c r="Q167" s="74">
        <v>126.9</v>
      </c>
      <c r="R167" s="74">
        <v>126.9</v>
      </c>
      <c r="S167" s="74">
        <v>1094</v>
      </c>
      <c r="T167" s="74">
        <v>67462506.319999993</v>
      </c>
      <c r="U167" s="74">
        <v>65649695.869999997</v>
      </c>
    </row>
    <row r="168" spans="1:21" ht="15" customHeight="1">
      <c r="A168" s="136">
        <v>137</v>
      </c>
      <c r="B168" s="36" t="s">
        <v>215</v>
      </c>
      <c r="C168" s="36" t="s">
        <v>49</v>
      </c>
      <c r="D168" s="38">
        <v>3497425862</v>
      </c>
      <c r="E168" s="38" t="s">
        <v>216</v>
      </c>
      <c r="F168" s="108">
        <v>7576314</v>
      </c>
      <c r="G168" s="108">
        <v>39407637</v>
      </c>
      <c r="H168" s="39">
        <v>3815547896</v>
      </c>
      <c r="I168" s="44">
        <f t="shared" si="49"/>
        <v>8.4000148698053792E-2</v>
      </c>
      <c r="J168" s="91">
        <v>5178346010</v>
      </c>
      <c r="K168" s="44">
        <f t="shared" si="50"/>
        <v>0.11186018077221994</v>
      </c>
      <c r="L168" s="44">
        <f t="shared" si="44"/>
        <v>0.35716970436373735</v>
      </c>
      <c r="M168" s="45">
        <f t="shared" si="51"/>
        <v>1.4630760450092056E-3</v>
      </c>
      <c r="N168" s="45">
        <f t="shared" si="52"/>
        <v>7.6100818531436836E-3</v>
      </c>
      <c r="O168" s="46">
        <f t="shared" si="53"/>
        <v>1.1550209094945687</v>
      </c>
      <c r="P168" s="46">
        <f t="shared" si="54"/>
        <v>8.7898036633461303E-3</v>
      </c>
      <c r="Q168" s="48">
        <v>1.1599999999999999</v>
      </c>
      <c r="R168" s="48">
        <v>1.1599999999999999</v>
      </c>
      <c r="S168" s="40">
        <v>196</v>
      </c>
      <c r="T168" s="40">
        <v>3306614087</v>
      </c>
      <c r="U168" s="40">
        <v>4483335295</v>
      </c>
    </row>
    <row r="169" spans="1:21" ht="15" customHeight="1">
      <c r="A169" s="118" t="s">
        <v>50</v>
      </c>
      <c r="B169" s="118"/>
      <c r="C169" s="118"/>
      <c r="D169" s="118"/>
      <c r="E169" s="118"/>
      <c r="F169" s="118"/>
      <c r="G169" s="118"/>
      <c r="H169" s="34">
        <f>SUM(H156:H168)</f>
        <v>45423108829.43</v>
      </c>
      <c r="I169" s="86">
        <f>(H169/$H$170)</f>
        <v>2.2818591624604086E-2</v>
      </c>
      <c r="J169" s="34">
        <f>SUM(J156:J168)</f>
        <v>46293023793.199722</v>
      </c>
      <c r="K169" s="86">
        <f>(J169/$J$170)</f>
        <v>2.2956052210348854E-2</v>
      </c>
      <c r="L169" s="44">
        <f t="shared" si="44"/>
        <v>1.9151374403640488E-2</v>
      </c>
      <c r="M169" s="45"/>
      <c r="N169" s="45"/>
      <c r="O169" s="46"/>
      <c r="P169" s="46"/>
      <c r="Q169" s="40"/>
      <c r="R169" s="40"/>
      <c r="S169" s="35">
        <f>SUM(S156:S168)</f>
        <v>25278</v>
      </c>
      <c r="T169" s="40"/>
      <c r="U169" s="40"/>
    </row>
    <row r="170" spans="1:21" ht="15.75" customHeight="1">
      <c r="A170" s="119" t="s">
        <v>217</v>
      </c>
      <c r="B170" s="119"/>
      <c r="C170" s="119"/>
      <c r="D170" s="119"/>
      <c r="E170" s="119"/>
      <c r="F170" s="119"/>
      <c r="G170" s="119"/>
      <c r="H170" s="77">
        <f>SUM(H21,H53,H86,H111,H119,H146,H152,H169)</f>
        <v>1990618421009.5005</v>
      </c>
      <c r="I170" s="78"/>
      <c r="J170" s="77">
        <f>SUM(J21,J53,J86,J111,J119,J146,J152,J169)</f>
        <v>2016593418110.9021</v>
      </c>
      <c r="K170" s="64"/>
      <c r="L170" s="64"/>
      <c r="M170" s="65"/>
      <c r="N170" s="65"/>
      <c r="O170" s="66"/>
      <c r="P170" s="66"/>
      <c r="Q170" s="67"/>
      <c r="R170" s="67"/>
      <c r="S170" s="55">
        <f>SUM(S21,S53,S86,S111,S119,S146,S152,S169)</f>
        <v>641340</v>
      </c>
      <c r="T170" s="67"/>
      <c r="U170" s="67"/>
    </row>
    <row r="171" spans="1:21" ht="5.25" customHeight="1">
      <c r="A171" s="24"/>
      <c r="B171" s="24"/>
      <c r="C171" s="24"/>
      <c r="D171" s="25"/>
      <c r="E171" s="25"/>
      <c r="F171" s="25"/>
      <c r="G171" s="26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</row>
    <row r="172" spans="1:21">
      <c r="A172" s="27" t="s">
        <v>218</v>
      </c>
      <c r="B172" s="28" t="s">
        <v>228</v>
      </c>
      <c r="C172" s="29"/>
      <c r="D172" s="25"/>
      <c r="E172" s="25"/>
      <c r="F172" s="25"/>
      <c r="G172" s="26"/>
      <c r="H172" s="30"/>
      <c r="I172" s="25"/>
      <c r="J172" s="30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31"/>
    </row>
  </sheetData>
  <sheetProtection algorithmName="SHA-512" hashValue="beiLHTHsiNqvVrd7Hc320wd1WpGm8ES9eGs0gtfP/biEjjLC0wi6YaFO8fooXUt9sOEKyqgM64RLTfhJPGPhXA==" saltValue="FV7wXo6rt5TTx8AVmwK4aA==" spinCount="100000" sheet="1" objects="1" scenarios="1"/>
  <mergeCells count="32">
    <mergeCell ref="A1:U1"/>
    <mergeCell ref="A3:U3"/>
    <mergeCell ref="A4:U4"/>
    <mergeCell ref="A21:G21"/>
    <mergeCell ref="A22:U22"/>
    <mergeCell ref="A23:U23"/>
    <mergeCell ref="A53:G53"/>
    <mergeCell ref="A54:U54"/>
    <mergeCell ref="A55:U55"/>
    <mergeCell ref="A86:G86"/>
    <mergeCell ref="A87:U87"/>
    <mergeCell ref="A88:U88"/>
    <mergeCell ref="A89:U89"/>
    <mergeCell ref="A100:U100"/>
    <mergeCell ref="A101:U101"/>
    <mergeCell ref="A111:G111"/>
    <mergeCell ref="A112:U112"/>
    <mergeCell ref="A113:U113"/>
    <mergeCell ref="A119:G119"/>
    <mergeCell ref="A120:U120"/>
    <mergeCell ref="A121:U121"/>
    <mergeCell ref="A146:G146"/>
    <mergeCell ref="A147:U147"/>
    <mergeCell ref="A148:U148"/>
    <mergeCell ref="A152:G152"/>
    <mergeCell ref="A169:G169"/>
    <mergeCell ref="A170:G170"/>
    <mergeCell ref="A153:U153"/>
    <mergeCell ref="A154:U154"/>
    <mergeCell ref="A155:U155"/>
    <mergeCell ref="A158:U158"/>
    <mergeCell ref="A159:U159"/>
  </mergeCells>
  <pageMargins left="0.7" right="0.7" top="0.75" bottom="0.75" header="0.3" footer="0.3"/>
  <pageSetup orientation="portrait" r:id="rId1"/>
  <ignoredErrors>
    <ignoredError sqref="F117 A114 S151 D77:E77 G77 J65 D18" numberStoredAsText="1"/>
    <ignoredError sqref="H119 J119" formulaRange="1"/>
    <ignoredError sqref="I169 I53 I21 I86 I111 I119 I146 I152 K127" formula="1"/>
    <ignoredError sqref="L8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G8" sqref="G8"/>
    </sheetView>
  </sheetViews>
  <sheetFormatPr defaultColWidth="9" defaultRowHeight="15"/>
  <cols>
    <col min="1" max="1" width="34" customWidth="1"/>
    <col min="2" max="2" width="16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22"/>
      <c r="B2" s="22"/>
      <c r="C2" s="22"/>
      <c r="D2" s="22"/>
    </row>
    <row r="3" spans="1:4">
      <c r="A3" s="22"/>
      <c r="B3" s="22"/>
      <c r="C3" s="22"/>
      <c r="D3" s="22"/>
    </row>
    <row r="4" spans="1:4" ht="33" customHeight="1">
      <c r="A4" s="15" t="s">
        <v>219</v>
      </c>
      <c r="B4" s="132" t="s">
        <v>241</v>
      </c>
      <c r="C4" s="132" t="s">
        <v>242</v>
      </c>
      <c r="D4" s="1"/>
    </row>
    <row r="5" spans="1:4" ht="19.5" customHeight="1">
      <c r="A5" s="133" t="s">
        <v>19</v>
      </c>
      <c r="B5" s="134">
        <v>22.305170580120002</v>
      </c>
      <c r="C5" s="135">
        <f>'OCTOBER 2023'!J21/1000000000</f>
        <v>22.54790675089</v>
      </c>
      <c r="D5" s="1"/>
    </row>
    <row r="6" spans="1:4" ht="15.75">
      <c r="A6" s="15" t="s">
        <v>51</v>
      </c>
      <c r="B6" s="134">
        <v>895.47002369608992</v>
      </c>
      <c r="C6" s="135">
        <f>'OCTOBER 2023'!J53/1000000000</f>
        <v>864.77026955073995</v>
      </c>
      <c r="D6" s="1"/>
    </row>
    <row r="7" spans="1:4" ht="15.75">
      <c r="A7" s="15" t="s">
        <v>220</v>
      </c>
      <c r="B7" s="134">
        <v>300.77220794251002</v>
      </c>
      <c r="C7" s="135">
        <f>'OCTOBER 2023'!J86/1000000000</f>
        <v>297.86882694543999</v>
      </c>
      <c r="D7" s="1"/>
    </row>
    <row r="8" spans="1:4" ht="15.75">
      <c r="A8" s="15" t="s">
        <v>221</v>
      </c>
      <c r="B8" s="134">
        <v>590.41468159443093</v>
      </c>
      <c r="C8" s="135">
        <f>'OCTOBER 2023'!J111/1000000000</f>
        <v>648.61294131015234</v>
      </c>
      <c r="D8" s="1"/>
    </row>
    <row r="9" spans="1:4" ht="15.75">
      <c r="A9" s="15" t="s">
        <v>222</v>
      </c>
      <c r="B9" s="134">
        <v>92.422244214649993</v>
      </c>
      <c r="C9" s="135">
        <f>'OCTOBER 2023'!J119/1000000000</f>
        <v>92.89143036821001</v>
      </c>
      <c r="D9" s="1"/>
    </row>
    <row r="10" spans="1:4" ht="15.75">
      <c r="A10" s="15" t="s">
        <v>174</v>
      </c>
      <c r="B10" s="134">
        <v>39.942138650640004</v>
      </c>
      <c r="C10" s="135">
        <f>'OCTOBER 2023'!J146/1000000000</f>
        <v>39.71452184284999</v>
      </c>
      <c r="D10" s="1"/>
    </row>
    <row r="11" spans="1:4" ht="15.75">
      <c r="A11" s="15" t="s">
        <v>199</v>
      </c>
      <c r="B11" s="134">
        <v>3.8688455016300001</v>
      </c>
      <c r="C11" s="135">
        <f>'OCTOBER 2023'!J152/1000000000</f>
        <v>3.89449754942</v>
      </c>
      <c r="D11" s="1"/>
    </row>
    <row r="12" spans="1:4" ht="15.75">
      <c r="A12" s="15" t="s">
        <v>223</v>
      </c>
      <c r="B12" s="134">
        <v>45.423108829429999</v>
      </c>
      <c r="C12" s="135">
        <f>'OCTOBER 2023'!J169/1000000000</f>
        <v>46.293023793199723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22"/>
      <c r="B16" s="79"/>
      <c r="C16" s="80"/>
      <c r="D16" s="22"/>
    </row>
    <row r="17" spans="1:4" ht="16.5">
      <c r="A17" s="81"/>
      <c r="B17" s="82"/>
      <c r="C17" s="83"/>
      <c r="D17" s="22"/>
    </row>
    <row r="18" spans="1:4" ht="16.5">
      <c r="A18" s="15"/>
      <c r="B18" s="17"/>
      <c r="C18" s="18">
        <v>324257293662.39001</v>
      </c>
      <c r="D18" s="1"/>
    </row>
    <row r="19" spans="1:4" ht="16.5">
      <c r="A19" s="11"/>
      <c r="B19" s="16"/>
      <c r="C19" s="19">
        <v>329523427075.08801</v>
      </c>
      <c r="D19" s="1"/>
    </row>
    <row r="20" spans="1:4" ht="16.5">
      <c r="A20" s="11"/>
      <c r="B20" s="17"/>
      <c r="C20" s="18">
        <v>92979365311.570007</v>
      </c>
      <c r="D20" s="1"/>
    </row>
    <row r="21" spans="1:4" ht="16.5">
      <c r="A21" s="11"/>
      <c r="B21" s="16"/>
      <c r="C21" s="19">
        <v>33483827699.669998</v>
      </c>
      <c r="D21" s="1"/>
    </row>
    <row r="22" spans="1:4" ht="16.5">
      <c r="A22" s="11"/>
      <c r="B22" s="20"/>
      <c r="C22" s="21">
        <v>3211014587.77</v>
      </c>
      <c r="D22" s="1"/>
    </row>
    <row r="23" spans="1:4" ht="16.5">
      <c r="A23" s="11"/>
      <c r="B23" s="16"/>
      <c r="C23" s="19">
        <v>25485626359.523201</v>
      </c>
      <c r="D23" s="1"/>
    </row>
    <row r="24" spans="1:4" ht="16.5">
      <c r="A24" s="11"/>
      <c r="B24" s="16"/>
      <c r="C24" s="16"/>
      <c r="D24" s="1"/>
    </row>
    <row r="25" spans="1:4" ht="16.5">
      <c r="A25" s="11"/>
      <c r="B25" s="16"/>
      <c r="C25" s="16"/>
      <c r="D25" s="1"/>
    </row>
    <row r="26" spans="1:4" ht="16.5">
      <c r="A26" s="11"/>
      <c r="B26" s="16"/>
      <c r="C26" s="16"/>
      <c r="D26" s="1"/>
    </row>
    <row r="27" spans="1:4">
      <c r="B27" s="22"/>
      <c r="C27" s="22"/>
    </row>
    <row r="28" spans="1:4">
      <c r="B28" s="22"/>
      <c r="C28" s="22"/>
    </row>
  </sheetData>
  <sheetProtection algorithmName="SHA-512" hashValue="AlrfT1Fks4mniVQI6JY4ytSTsU9i4sugcEmOAikl0I1r/4cXvGdOyWDqta94DzHcQMm9DPkLTtCzzXLsZO2n0w==" saltValue="u1lNMhJw2fAxritN8OYbN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A16" sqref="A16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11" t="s">
        <v>219</v>
      </c>
      <c r="B1" s="112" t="s">
        <v>242</v>
      </c>
      <c r="C1" s="1"/>
      <c r="D1" s="22"/>
    </row>
    <row r="2" spans="1:4">
      <c r="A2" s="111" t="s">
        <v>199</v>
      </c>
      <c r="B2" s="113">
        <f>'OCTOBER 2023'!J152</f>
        <v>3894497549.4200001</v>
      </c>
      <c r="C2" s="1"/>
      <c r="D2" s="22"/>
    </row>
    <row r="3" spans="1:4">
      <c r="A3" s="111" t="s">
        <v>19</v>
      </c>
      <c r="B3" s="114">
        <f>'OCTOBER 2023'!J21</f>
        <v>22547906750.889999</v>
      </c>
      <c r="C3" s="1"/>
      <c r="D3" s="22"/>
    </row>
    <row r="4" spans="1:4">
      <c r="A4" s="111" t="s">
        <v>174</v>
      </c>
      <c r="B4" s="115">
        <f>'OCTOBER 2023'!J146</f>
        <v>39714521842.849991</v>
      </c>
      <c r="C4" s="1"/>
      <c r="D4" s="22"/>
    </row>
    <row r="5" spans="1:4">
      <c r="A5" s="111" t="s">
        <v>223</v>
      </c>
      <c r="B5" s="115">
        <f>'OCTOBER 2023'!J169</f>
        <v>46293023793.199722</v>
      </c>
      <c r="C5" s="1"/>
      <c r="D5" s="22"/>
    </row>
    <row r="6" spans="1:4">
      <c r="A6" s="111" t="s">
        <v>222</v>
      </c>
      <c r="B6" s="116">
        <f>'OCTOBER 2023'!J119</f>
        <v>92891430368.210007</v>
      </c>
      <c r="C6" s="1"/>
      <c r="D6" s="22"/>
    </row>
    <row r="7" spans="1:4">
      <c r="A7" s="111" t="s">
        <v>220</v>
      </c>
      <c r="B7" s="116">
        <f>'OCTOBER 2023'!J86</f>
        <v>297868826945.44</v>
      </c>
      <c r="C7" s="1"/>
      <c r="D7" s="22"/>
    </row>
    <row r="8" spans="1:4">
      <c r="A8" s="111" t="s">
        <v>221</v>
      </c>
      <c r="B8" s="115">
        <f>'OCTOBER 2023'!J111</f>
        <v>648612941310.15234</v>
      </c>
      <c r="C8" s="1"/>
      <c r="D8" s="22"/>
    </row>
    <row r="9" spans="1:4">
      <c r="A9" s="111" t="s">
        <v>51</v>
      </c>
      <c r="B9" s="117">
        <f>'OCTOBER 2023'!J53</f>
        <v>864770269550.73999</v>
      </c>
      <c r="C9" s="1"/>
      <c r="D9" s="22"/>
    </row>
    <row r="10" spans="1:4">
      <c r="A10" s="1"/>
      <c r="B10" s="1"/>
      <c r="C10" s="1"/>
      <c r="D10" s="22"/>
    </row>
    <row r="11" spans="1:4" ht="16.5">
      <c r="A11" s="4"/>
      <c r="B11" s="1"/>
      <c r="C11" s="1"/>
      <c r="D11" s="22"/>
    </row>
    <row r="12" spans="1:4">
      <c r="A12" s="111"/>
      <c r="B12" s="1"/>
      <c r="C12" s="1"/>
      <c r="D12" s="22"/>
    </row>
    <row r="13" spans="1:4" ht="15.75" customHeight="1">
      <c r="A13" s="87"/>
      <c r="B13" s="88"/>
      <c r="C13" s="22"/>
      <c r="D13" s="22"/>
    </row>
    <row r="14" spans="1:4">
      <c r="A14" s="89"/>
      <c r="B14" s="88"/>
      <c r="C14" s="22"/>
      <c r="D14" s="22"/>
    </row>
    <row r="15" spans="1:4">
      <c r="A15" s="7">
        <v>33483827699.669998</v>
      </c>
      <c r="B15" s="6"/>
      <c r="C15" s="1"/>
    </row>
    <row r="16" spans="1:4">
      <c r="A16" s="8">
        <v>92979365311.570007</v>
      </c>
      <c r="B16" s="6"/>
      <c r="C16" s="1"/>
    </row>
    <row r="17" spans="1:17">
      <c r="A17" s="8">
        <v>324257293662.39001</v>
      </c>
      <c r="B17" s="6"/>
      <c r="C17" s="1"/>
    </row>
    <row r="18" spans="1:17">
      <c r="A18" s="7">
        <v>329523427075.08801</v>
      </c>
      <c r="B18" s="6"/>
      <c r="C18" s="1"/>
    </row>
    <row r="19" spans="1:17" ht="15" customHeight="1">
      <c r="A19" s="9">
        <v>749900598862.70996</v>
      </c>
      <c r="B19" s="6"/>
      <c r="C19" s="1"/>
    </row>
    <row r="20" spans="1:17" ht="16.5">
      <c r="A20" s="10"/>
      <c r="B20" s="6"/>
      <c r="C20" s="1"/>
    </row>
    <row r="21" spans="1:17" ht="16.5">
      <c r="A21" s="11"/>
      <c r="B21" s="12"/>
      <c r="C21" s="1"/>
    </row>
    <row r="22" spans="1:17" ht="16.5">
      <c r="B22" s="13"/>
    </row>
    <row r="32" spans="1:17" ht="16.5" customHeight="1">
      <c r="A32" s="131" t="s">
        <v>243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4"/>
    </row>
    <row r="33" spans="1:17" ht="15" customHeight="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4"/>
    </row>
  </sheetData>
  <sheetProtection algorithmName="SHA-512" hashValue="EH5fyx5hLre5tupc8psrtzG8/dluqCLdvu31wsq0VnCkV5UQW6qQFdOpiVNnXttEPrcsIRzzysrF0BPFVOHsNw==" saltValue="PKzN8nK2PfWXEdbR0OAygQ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8"/>
  <sheetViews>
    <sheetView workbookViewId="0">
      <selection activeCell="D7" sqref="D7"/>
    </sheetView>
  </sheetViews>
  <sheetFormatPr defaultColWidth="9" defaultRowHeight="15"/>
  <cols>
    <col min="1" max="1" width="34.7109375" customWidth="1"/>
    <col min="2" max="2" width="15" customWidth="1"/>
  </cols>
  <sheetData>
    <row r="2" spans="1:3">
      <c r="A2" s="1"/>
      <c r="B2" s="1"/>
      <c r="C2" s="1"/>
    </row>
    <row r="3" spans="1:3">
      <c r="A3" s="1"/>
      <c r="B3" s="1"/>
      <c r="C3" s="1"/>
    </row>
    <row r="4" spans="1:3">
      <c r="A4" s="1"/>
      <c r="B4" s="1"/>
      <c r="C4" s="22"/>
    </row>
    <row r="5" spans="1:3" ht="15.75">
      <c r="A5" s="2" t="s">
        <v>219</v>
      </c>
      <c r="B5" s="3" t="s">
        <v>224</v>
      </c>
      <c r="C5" s="22"/>
    </row>
    <row r="6" spans="1:3" ht="16.5">
      <c r="A6" s="4" t="s">
        <v>19</v>
      </c>
      <c r="B6" s="5">
        <f>'OCTOBER 2023'!S21</f>
        <v>41367</v>
      </c>
      <c r="C6" s="22"/>
    </row>
    <row r="7" spans="1:3" ht="16.5">
      <c r="A7" s="4" t="s">
        <v>51</v>
      </c>
      <c r="B7" s="5">
        <f>'OCTOBER 2023'!S53</f>
        <v>242946</v>
      </c>
      <c r="C7" s="22"/>
    </row>
    <row r="8" spans="1:3" ht="16.5">
      <c r="A8" s="4" t="s">
        <v>220</v>
      </c>
      <c r="B8" s="5">
        <f>'OCTOBER 2023'!S86</f>
        <v>43990</v>
      </c>
      <c r="C8" s="22"/>
    </row>
    <row r="9" spans="1:3" ht="16.5">
      <c r="A9" s="4" t="s">
        <v>221</v>
      </c>
      <c r="B9" s="5">
        <f>'OCTOBER 2023'!S111</f>
        <v>12475</v>
      </c>
      <c r="C9" s="22"/>
    </row>
    <row r="10" spans="1:3" ht="16.5">
      <c r="A10" s="4" t="s">
        <v>222</v>
      </c>
      <c r="B10" s="5">
        <f>'OCTOBER 2023'!S119</f>
        <v>216982</v>
      </c>
      <c r="C10" s="22"/>
    </row>
    <row r="11" spans="1:3" ht="16.5">
      <c r="A11" s="4" t="s">
        <v>174</v>
      </c>
      <c r="B11" s="5">
        <f>'OCTOBER 2023'!S146</f>
        <v>48158</v>
      </c>
      <c r="C11" s="22"/>
    </row>
    <row r="12" spans="1:3" ht="16.5">
      <c r="A12" s="4" t="s">
        <v>199</v>
      </c>
      <c r="B12" s="5">
        <f>'OCTOBER 2023'!S152</f>
        <v>10144</v>
      </c>
      <c r="C12" s="22"/>
    </row>
    <row r="13" spans="1:3" ht="16.5">
      <c r="A13" s="4" t="s">
        <v>223</v>
      </c>
      <c r="B13" s="5">
        <f>'OCTOBER 2023'!S169</f>
        <v>25278</v>
      </c>
      <c r="C13" s="22"/>
    </row>
    <row r="14" spans="1:3">
      <c r="A14" s="1"/>
      <c r="B14" s="1"/>
      <c r="C14" s="22"/>
    </row>
    <row r="15" spans="1:3">
      <c r="A15" s="1"/>
      <c r="B15" s="1"/>
      <c r="C15" s="22"/>
    </row>
    <row r="16" spans="1:3">
      <c r="A16" s="1"/>
      <c r="B16" s="1"/>
      <c r="C16" s="1"/>
    </row>
    <row r="17" spans="1:3">
      <c r="A17" s="84"/>
      <c r="B17" s="84"/>
      <c r="C17" s="84"/>
    </row>
    <row r="18" spans="1:3">
      <c r="A18" s="84"/>
      <c r="B18" s="84"/>
      <c r="C18" s="84"/>
    </row>
  </sheetData>
  <sheetProtection algorithmName="SHA-512" hashValue="uEVG8iL/cS8bkyESEmILgbNRxZ4g6lwZRBs63BvKJbHXJIVK618NVU7DcIq/RSYurqzGFSe2NMG2lPK7zdeXgw==" saltValue="jH1iTDXku82V+oS9WV4cK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OCTOBER 2023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2023-10-09T09:40:00Z</dcterms:created>
  <dcterms:modified xsi:type="dcterms:W3CDTF">2024-06-23T19:16:21Z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9F9423A3FAE346D4A045729CDD67C6BB_13</vt:lpwstr>
  </property>
  <property fmtid="{D5CDD505-2E9C-101B-9397-08002B2CF9AE}" pid="3" name="KSOProductBuildVer">
    <vt:lpwstr>1033-12.2.0.13266</vt:lpwstr>
  </property>
</Properties>
</file>