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Spreadsheet of Mutual Funds\Monthly Mutal Fund Updates 2023\"/>
    </mc:Choice>
  </mc:AlternateContent>
  <xr:revisionPtr revIDLastSave="0" documentId="13_ncr:1_{72487B5A-151E-466F-AD33-6E8EA918A4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ember 2023" sheetId="7" r:id="rId1"/>
    <sheet name="NAV Comparison" sheetId="2" r:id="rId2"/>
    <sheet name="Market Share" sheetId="3" r:id="rId3"/>
    <sheet name="Unitholders" sheetId="6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3" i="7" l="1"/>
  <c r="O163" i="7"/>
  <c r="N163" i="7"/>
  <c r="M163" i="7"/>
  <c r="L163" i="7"/>
  <c r="R98" i="7" l="1"/>
  <c r="Q98" i="7"/>
  <c r="J98" i="7"/>
  <c r="G98" i="7"/>
  <c r="F98" i="7"/>
  <c r="E98" i="7"/>
  <c r="D98" i="7"/>
  <c r="C12" i="2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D66" i="7" l="1"/>
  <c r="D127" i="7"/>
  <c r="M159" i="7"/>
  <c r="N159" i="7"/>
  <c r="O159" i="7"/>
  <c r="P159" i="7"/>
  <c r="M160" i="7"/>
  <c r="N160" i="7"/>
  <c r="O160" i="7"/>
  <c r="P160" i="7"/>
  <c r="M161" i="7"/>
  <c r="N161" i="7"/>
  <c r="O161" i="7"/>
  <c r="P161" i="7"/>
  <c r="M162" i="7"/>
  <c r="N162" i="7"/>
  <c r="O162" i="7"/>
  <c r="P162" i="7"/>
  <c r="M164" i="7"/>
  <c r="N164" i="7"/>
  <c r="O164" i="7"/>
  <c r="P164" i="7"/>
  <c r="M165" i="7"/>
  <c r="N165" i="7"/>
  <c r="O165" i="7"/>
  <c r="P165" i="7"/>
  <c r="M166" i="7"/>
  <c r="N166" i="7"/>
  <c r="O166" i="7"/>
  <c r="P166" i="7"/>
  <c r="M155" i="7"/>
  <c r="N155" i="7"/>
  <c r="O155" i="7"/>
  <c r="P155" i="7"/>
  <c r="M148" i="7"/>
  <c r="N148" i="7"/>
  <c r="O148" i="7"/>
  <c r="P148" i="7"/>
  <c r="M149" i="7"/>
  <c r="N149" i="7"/>
  <c r="O149" i="7"/>
  <c r="P149" i="7"/>
  <c r="M121" i="7"/>
  <c r="N121" i="7"/>
  <c r="O121" i="7"/>
  <c r="P121" i="7"/>
  <c r="M122" i="7"/>
  <c r="N122" i="7"/>
  <c r="O122" i="7"/>
  <c r="P122" i="7"/>
  <c r="M123" i="7"/>
  <c r="N123" i="7"/>
  <c r="O123" i="7"/>
  <c r="P123" i="7"/>
  <c r="M124" i="7"/>
  <c r="N124" i="7"/>
  <c r="O124" i="7"/>
  <c r="P124" i="7"/>
  <c r="M125" i="7"/>
  <c r="N125" i="7"/>
  <c r="O125" i="7"/>
  <c r="P125" i="7"/>
  <c r="M126" i="7"/>
  <c r="N126" i="7"/>
  <c r="O126" i="7"/>
  <c r="P126" i="7"/>
  <c r="M127" i="7"/>
  <c r="N127" i="7"/>
  <c r="O127" i="7"/>
  <c r="P127" i="7"/>
  <c r="M128" i="7"/>
  <c r="N128" i="7"/>
  <c r="O128" i="7"/>
  <c r="P128" i="7"/>
  <c r="M129" i="7"/>
  <c r="N129" i="7"/>
  <c r="O129" i="7"/>
  <c r="P129" i="7"/>
  <c r="M130" i="7"/>
  <c r="N130" i="7"/>
  <c r="O130" i="7"/>
  <c r="P130" i="7"/>
  <c r="M131" i="7"/>
  <c r="N131" i="7"/>
  <c r="O131" i="7"/>
  <c r="P131" i="7"/>
  <c r="M132" i="7"/>
  <c r="N132" i="7"/>
  <c r="O132" i="7"/>
  <c r="P132" i="7"/>
  <c r="M133" i="7"/>
  <c r="N133" i="7"/>
  <c r="O133" i="7"/>
  <c r="P133" i="7"/>
  <c r="M134" i="7"/>
  <c r="N134" i="7"/>
  <c r="O134" i="7"/>
  <c r="P134" i="7"/>
  <c r="M135" i="7"/>
  <c r="N135" i="7"/>
  <c r="O135" i="7"/>
  <c r="P135" i="7"/>
  <c r="M136" i="7"/>
  <c r="N136" i="7"/>
  <c r="O136" i="7"/>
  <c r="P136" i="7"/>
  <c r="M137" i="7"/>
  <c r="N137" i="7"/>
  <c r="O137" i="7"/>
  <c r="P137" i="7"/>
  <c r="M138" i="7"/>
  <c r="N138" i="7"/>
  <c r="O138" i="7"/>
  <c r="P138" i="7"/>
  <c r="M139" i="7"/>
  <c r="N139" i="7"/>
  <c r="O139" i="7"/>
  <c r="P139" i="7"/>
  <c r="M140" i="7"/>
  <c r="N140" i="7"/>
  <c r="O140" i="7"/>
  <c r="P140" i="7"/>
  <c r="M141" i="7"/>
  <c r="N141" i="7"/>
  <c r="O141" i="7"/>
  <c r="P141" i="7"/>
  <c r="M142" i="7"/>
  <c r="N142" i="7"/>
  <c r="O142" i="7"/>
  <c r="P142" i="7"/>
  <c r="M143" i="7"/>
  <c r="N143" i="7"/>
  <c r="O143" i="7"/>
  <c r="P143" i="7"/>
  <c r="M114" i="7"/>
  <c r="N114" i="7"/>
  <c r="O114" i="7"/>
  <c r="P114" i="7"/>
  <c r="M115" i="7"/>
  <c r="N115" i="7"/>
  <c r="O115" i="7"/>
  <c r="P115" i="7"/>
  <c r="M116" i="7"/>
  <c r="N116" i="7"/>
  <c r="O116" i="7"/>
  <c r="P116" i="7"/>
  <c r="M91" i="7"/>
  <c r="N91" i="7"/>
  <c r="O91" i="7"/>
  <c r="P91" i="7"/>
  <c r="M92" i="7"/>
  <c r="N92" i="7"/>
  <c r="O92" i="7"/>
  <c r="P92" i="7"/>
  <c r="M93" i="7"/>
  <c r="N93" i="7"/>
  <c r="O93" i="7"/>
  <c r="P93" i="7"/>
  <c r="M97" i="7"/>
  <c r="N97" i="7"/>
  <c r="O97" i="7"/>
  <c r="P97" i="7"/>
  <c r="M98" i="7"/>
  <c r="N98" i="7"/>
  <c r="O98" i="7"/>
  <c r="P98" i="7"/>
  <c r="M57" i="7"/>
  <c r="N57" i="7"/>
  <c r="O57" i="7"/>
  <c r="P57" i="7"/>
  <c r="M58" i="7"/>
  <c r="N58" i="7"/>
  <c r="O58" i="7"/>
  <c r="P58" i="7"/>
  <c r="M59" i="7"/>
  <c r="N59" i="7"/>
  <c r="O59" i="7"/>
  <c r="P59" i="7"/>
  <c r="M60" i="7"/>
  <c r="N60" i="7"/>
  <c r="O60" i="7"/>
  <c r="P60" i="7"/>
  <c r="M61" i="7"/>
  <c r="N61" i="7"/>
  <c r="O61" i="7"/>
  <c r="P61" i="7"/>
  <c r="M62" i="7"/>
  <c r="N62" i="7"/>
  <c r="O62" i="7"/>
  <c r="P62" i="7"/>
  <c r="M63" i="7"/>
  <c r="N63" i="7"/>
  <c r="O63" i="7"/>
  <c r="P63" i="7"/>
  <c r="M64" i="7"/>
  <c r="N64" i="7"/>
  <c r="O64" i="7"/>
  <c r="P64" i="7"/>
  <c r="M65" i="7"/>
  <c r="N65" i="7"/>
  <c r="O65" i="7"/>
  <c r="P65" i="7"/>
  <c r="M66" i="7"/>
  <c r="N66" i="7"/>
  <c r="O66" i="7"/>
  <c r="P66" i="7"/>
  <c r="M67" i="7"/>
  <c r="N67" i="7"/>
  <c r="O67" i="7"/>
  <c r="P67" i="7"/>
  <c r="M68" i="7"/>
  <c r="N68" i="7"/>
  <c r="O68" i="7"/>
  <c r="P68" i="7"/>
  <c r="M69" i="7"/>
  <c r="N69" i="7"/>
  <c r="O69" i="7"/>
  <c r="P69" i="7"/>
  <c r="M70" i="7"/>
  <c r="N70" i="7"/>
  <c r="O70" i="7"/>
  <c r="P70" i="7"/>
  <c r="M71" i="7"/>
  <c r="N71" i="7"/>
  <c r="O71" i="7"/>
  <c r="P71" i="7"/>
  <c r="M72" i="7"/>
  <c r="N72" i="7"/>
  <c r="O72" i="7"/>
  <c r="P72" i="7"/>
  <c r="M73" i="7"/>
  <c r="N73" i="7"/>
  <c r="O73" i="7"/>
  <c r="P73" i="7"/>
  <c r="M74" i="7"/>
  <c r="N74" i="7"/>
  <c r="O74" i="7"/>
  <c r="P74" i="7"/>
  <c r="M75" i="7"/>
  <c r="N75" i="7"/>
  <c r="O75" i="7"/>
  <c r="P75" i="7"/>
  <c r="M76" i="7"/>
  <c r="N76" i="7"/>
  <c r="O76" i="7"/>
  <c r="P76" i="7"/>
  <c r="M77" i="7"/>
  <c r="N77" i="7"/>
  <c r="O77" i="7"/>
  <c r="P77" i="7"/>
  <c r="M78" i="7"/>
  <c r="N78" i="7"/>
  <c r="O78" i="7"/>
  <c r="P78" i="7"/>
  <c r="M79" i="7"/>
  <c r="N79" i="7"/>
  <c r="O79" i="7"/>
  <c r="P79" i="7"/>
  <c r="M80" i="7"/>
  <c r="N80" i="7"/>
  <c r="O80" i="7"/>
  <c r="P80" i="7"/>
  <c r="M81" i="7"/>
  <c r="N81" i="7"/>
  <c r="O81" i="7"/>
  <c r="P81" i="7"/>
  <c r="M82" i="7"/>
  <c r="N82" i="7"/>
  <c r="O82" i="7"/>
  <c r="P82" i="7"/>
  <c r="M83" i="7"/>
  <c r="N83" i="7"/>
  <c r="O83" i="7"/>
  <c r="P83" i="7"/>
  <c r="M84" i="7"/>
  <c r="N84" i="7"/>
  <c r="O84" i="7"/>
  <c r="P84" i="7"/>
  <c r="M25" i="7"/>
  <c r="N25" i="7"/>
  <c r="O25" i="7"/>
  <c r="P25" i="7"/>
  <c r="M26" i="7"/>
  <c r="N26" i="7"/>
  <c r="O26" i="7"/>
  <c r="P26" i="7"/>
  <c r="M27" i="7"/>
  <c r="N27" i="7"/>
  <c r="O27" i="7"/>
  <c r="P27" i="7"/>
  <c r="M28" i="7"/>
  <c r="N28" i="7"/>
  <c r="O28" i="7"/>
  <c r="P28" i="7"/>
  <c r="M29" i="7"/>
  <c r="N29" i="7"/>
  <c r="O29" i="7"/>
  <c r="P29" i="7"/>
  <c r="M30" i="7"/>
  <c r="N30" i="7"/>
  <c r="O30" i="7"/>
  <c r="P30" i="7"/>
  <c r="M31" i="7"/>
  <c r="N31" i="7"/>
  <c r="O31" i="7"/>
  <c r="P31" i="7"/>
  <c r="M32" i="7"/>
  <c r="N32" i="7"/>
  <c r="O32" i="7"/>
  <c r="P32" i="7"/>
  <c r="M33" i="7"/>
  <c r="N33" i="7"/>
  <c r="O33" i="7"/>
  <c r="P33" i="7"/>
  <c r="M34" i="7"/>
  <c r="N34" i="7"/>
  <c r="O34" i="7"/>
  <c r="P34" i="7"/>
  <c r="M35" i="7"/>
  <c r="N35" i="7"/>
  <c r="O35" i="7"/>
  <c r="P35" i="7"/>
  <c r="M36" i="7"/>
  <c r="N36" i="7"/>
  <c r="O36" i="7"/>
  <c r="P36" i="7"/>
  <c r="M37" i="7"/>
  <c r="N37" i="7"/>
  <c r="O37" i="7"/>
  <c r="P37" i="7"/>
  <c r="M38" i="7"/>
  <c r="N38" i="7"/>
  <c r="O38" i="7"/>
  <c r="P38" i="7"/>
  <c r="M39" i="7"/>
  <c r="N39" i="7"/>
  <c r="O39" i="7"/>
  <c r="P39" i="7"/>
  <c r="M40" i="7"/>
  <c r="N40" i="7"/>
  <c r="O40" i="7"/>
  <c r="P40" i="7"/>
  <c r="M41" i="7"/>
  <c r="N41" i="7"/>
  <c r="O41" i="7"/>
  <c r="P41" i="7"/>
  <c r="M42" i="7"/>
  <c r="N42" i="7"/>
  <c r="O42" i="7"/>
  <c r="P42" i="7"/>
  <c r="M43" i="7"/>
  <c r="N43" i="7"/>
  <c r="O43" i="7"/>
  <c r="P43" i="7"/>
  <c r="M44" i="7"/>
  <c r="N44" i="7"/>
  <c r="O44" i="7"/>
  <c r="P44" i="7"/>
  <c r="M45" i="7"/>
  <c r="N45" i="7"/>
  <c r="O45" i="7"/>
  <c r="P45" i="7"/>
  <c r="M46" i="7"/>
  <c r="N46" i="7"/>
  <c r="O46" i="7"/>
  <c r="P46" i="7"/>
  <c r="M47" i="7"/>
  <c r="N47" i="7"/>
  <c r="O47" i="7"/>
  <c r="P47" i="7"/>
  <c r="M48" i="7"/>
  <c r="N48" i="7"/>
  <c r="O48" i="7"/>
  <c r="P48" i="7"/>
  <c r="M49" i="7"/>
  <c r="N49" i="7"/>
  <c r="O49" i="7"/>
  <c r="P49" i="7"/>
  <c r="M50" i="7"/>
  <c r="N50" i="7"/>
  <c r="O50" i="7"/>
  <c r="P50" i="7"/>
  <c r="M51" i="7"/>
  <c r="N51" i="7"/>
  <c r="O51" i="7"/>
  <c r="P51" i="7"/>
  <c r="M52" i="7"/>
  <c r="N52" i="7"/>
  <c r="O52" i="7"/>
  <c r="P52" i="7"/>
  <c r="M6" i="7"/>
  <c r="N6" i="7"/>
  <c r="O6" i="7"/>
  <c r="P6" i="7"/>
  <c r="M7" i="7"/>
  <c r="N7" i="7"/>
  <c r="O7" i="7"/>
  <c r="P7" i="7"/>
  <c r="M8" i="7"/>
  <c r="N8" i="7"/>
  <c r="O8" i="7"/>
  <c r="P8" i="7"/>
  <c r="M9" i="7"/>
  <c r="N9" i="7"/>
  <c r="O9" i="7"/>
  <c r="P9" i="7"/>
  <c r="M10" i="7"/>
  <c r="N10" i="7"/>
  <c r="O10" i="7"/>
  <c r="P10" i="7"/>
  <c r="M11" i="7"/>
  <c r="N11" i="7"/>
  <c r="O11" i="7"/>
  <c r="P11" i="7"/>
  <c r="M12" i="7"/>
  <c r="N12" i="7"/>
  <c r="O12" i="7"/>
  <c r="P12" i="7"/>
  <c r="M13" i="7"/>
  <c r="N13" i="7"/>
  <c r="O13" i="7"/>
  <c r="P13" i="7"/>
  <c r="M14" i="7"/>
  <c r="N14" i="7"/>
  <c r="O14" i="7"/>
  <c r="P14" i="7"/>
  <c r="M15" i="7"/>
  <c r="N15" i="7"/>
  <c r="O15" i="7"/>
  <c r="P15" i="7"/>
  <c r="M16" i="7"/>
  <c r="N16" i="7"/>
  <c r="O16" i="7"/>
  <c r="P16" i="7"/>
  <c r="M17" i="7"/>
  <c r="N17" i="7"/>
  <c r="O17" i="7"/>
  <c r="P17" i="7"/>
  <c r="M18" i="7"/>
  <c r="N18" i="7"/>
  <c r="O18" i="7"/>
  <c r="P18" i="7"/>
  <c r="M19" i="7"/>
  <c r="N19" i="7"/>
  <c r="O19" i="7"/>
  <c r="P19" i="7"/>
  <c r="M20" i="7"/>
  <c r="N20" i="7"/>
  <c r="O20" i="7"/>
  <c r="P20" i="7"/>
  <c r="L159" i="7"/>
  <c r="L160" i="7"/>
  <c r="L161" i="7"/>
  <c r="L162" i="7"/>
  <c r="L164" i="7"/>
  <c r="L165" i="7"/>
  <c r="L166" i="7"/>
  <c r="L155" i="7"/>
  <c r="L148" i="7"/>
  <c r="L149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14" i="7"/>
  <c r="L115" i="7"/>
  <c r="L116" i="7"/>
  <c r="L91" i="7"/>
  <c r="L92" i="7"/>
  <c r="L93" i="7"/>
  <c r="L97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S125" i="7" l="1"/>
  <c r="H109" i="7"/>
  <c r="H108" i="7"/>
  <c r="H107" i="7"/>
  <c r="H106" i="7"/>
  <c r="H105" i="7"/>
  <c r="H104" i="7"/>
  <c r="H103" i="7"/>
  <c r="H102" i="7"/>
  <c r="H101" i="7"/>
  <c r="H98" i="7"/>
  <c r="H96" i="7"/>
  <c r="H95" i="7"/>
  <c r="H94" i="7"/>
  <c r="H90" i="7"/>
  <c r="L98" i="7" l="1"/>
  <c r="R105" i="7"/>
  <c r="Q105" i="7"/>
  <c r="J105" i="7"/>
  <c r="G105" i="7"/>
  <c r="F105" i="7"/>
  <c r="M105" i="7" s="1"/>
  <c r="E105" i="7"/>
  <c r="D105" i="7"/>
  <c r="R106" i="7"/>
  <c r="Q106" i="7"/>
  <c r="J106" i="7"/>
  <c r="G106" i="7"/>
  <c r="F106" i="7"/>
  <c r="M106" i="7" s="1"/>
  <c r="E106" i="7"/>
  <c r="D106" i="7"/>
  <c r="N106" i="7" l="1"/>
  <c r="P106" i="7"/>
  <c r="O106" i="7"/>
  <c r="L106" i="7"/>
  <c r="N105" i="7"/>
  <c r="P105" i="7"/>
  <c r="O105" i="7"/>
  <c r="L105" i="7"/>
  <c r="R89" i="7"/>
  <c r="Q89" i="7"/>
  <c r="R104" i="7" l="1"/>
  <c r="Q104" i="7"/>
  <c r="J104" i="7"/>
  <c r="G104" i="7"/>
  <c r="F104" i="7"/>
  <c r="M104" i="7" s="1"/>
  <c r="E104" i="7"/>
  <c r="D104" i="7"/>
  <c r="N104" i="7" l="1"/>
  <c r="P104" i="7"/>
  <c r="O104" i="7"/>
  <c r="L104" i="7"/>
  <c r="R90" i="7"/>
  <c r="Q90" i="7"/>
  <c r="J90" i="7"/>
  <c r="G90" i="7"/>
  <c r="F90" i="7"/>
  <c r="M90" i="7" s="1"/>
  <c r="E90" i="7"/>
  <c r="D90" i="7"/>
  <c r="N90" i="7" l="1"/>
  <c r="P90" i="7"/>
  <c r="O90" i="7"/>
  <c r="L90" i="7"/>
  <c r="R109" i="7"/>
  <c r="Q109" i="7"/>
  <c r="J109" i="7"/>
  <c r="G109" i="7"/>
  <c r="F109" i="7"/>
  <c r="M109" i="7" s="1"/>
  <c r="E109" i="7"/>
  <c r="D109" i="7"/>
  <c r="N109" i="7" l="1"/>
  <c r="P109" i="7"/>
  <c r="O109" i="7"/>
  <c r="L109" i="7"/>
  <c r="R101" i="7"/>
  <c r="Q101" i="7"/>
  <c r="J101" i="7"/>
  <c r="G101" i="7"/>
  <c r="F101" i="7"/>
  <c r="E101" i="7"/>
  <c r="D101" i="7"/>
  <c r="R102" i="7" l="1"/>
  <c r="Q102" i="7"/>
  <c r="J102" i="7"/>
  <c r="G102" i="7"/>
  <c r="F102" i="7"/>
  <c r="M102" i="7" s="1"/>
  <c r="E102" i="7"/>
  <c r="D102" i="7"/>
  <c r="N102" i="7" l="1"/>
  <c r="P102" i="7"/>
  <c r="O102" i="7"/>
  <c r="L102" i="7"/>
  <c r="Q94" i="7"/>
  <c r="J94" i="7"/>
  <c r="G94" i="7"/>
  <c r="F94" i="7"/>
  <c r="M94" i="7" s="1"/>
  <c r="E94" i="7"/>
  <c r="D94" i="7"/>
  <c r="N94" i="7" l="1"/>
  <c r="P94" i="7"/>
  <c r="O94" i="7"/>
  <c r="L94" i="7"/>
  <c r="R96" i="7"/>
  <c r="Q96" i="7"/>
  <c r="J96" i="7"/>
  <c r="G96" i="7"/>
  <c r="F96" i="7"/>
  <c r="M96" i="7" s="1"/>
  <c r="E96" i="7"/>
  <c r="D96" i="7"/>
  <c r="R108" i="7"/>
  <c r="Q108" i="7"/>
  <c r="J108" i="7"/>
  <c r="G108" i="7"/>
  <c r="F108" i="7"/>
  <c r="M108" i="7" s="1"/>
  <c r="E108" i="7"/>
  <c r="D108" i="7"/>
  <c r="N108" i="7" l="1"/>
  <c r="P108" i="7"/>
  <c r="O108" i="7"/>
  <c r="L108" i="7"/>
  <c r="N96" i="7"/>
  <c r="P96" i="7"/>
  <c r="O96" i="7"/>
  <c r="L96" i="7"/>
  <c r="R95" i="7"/>
  <c r="Q95" i="7"/>
  <c r="J95" i="7"/>
  <c r="G95" i="7"/>
  <c r="F95" i="7"/>
  <c r="M95" i="7" s="1"/>
  <c r="E95" i="7"/>
  <c r="D95" i="7"/>
  <c r="N95" i="7" l="1"/>
  <c r="P95" i="7"/>
  <c r="O95" i="7"/>
  <c r="L95" i="7"/>
  <c r="Q103" i="7"/>
  <c r="J103" i="7"/>
  <c r="G103" i="7"/>
  <c r="F103" i="7"/>
  <c r="M103" i="7" s="1"/>
  <c r="E103" i="7"/>
  <c r="D103" i="7"/>
  <c r="N103" i="7" l="1"/>
  <c r="P103" i="7"/>
  <c r="O103" i="7"/>
  <c r="L103" i="7"/>
  <c r="Q107" i="7"/>
  <c r="J107" i="7"/>
  <c r="G107" i="7"/>
  <c r="F107" i="7"/>
  <c r="M107" i="7" s="1"/>
  <c r="E107" i="7"/>
  <c r="D107" i="7"/>
  <c r="N107" i="7" l="1"/>
  <c r="P107" i="7"/>
  <c r="O107" i="7"/>
  <c r="L107" i="7"/>
  <c r="M24" i="7"/>
  <c r="N24" i="7"/>
  <c r="O24" i="7"/>
  <c r="P24" i="7"/>
  <c r="J167" i="7" l="1"/>
  <c r="K163" i="7" s="1"/>
  <c r="H167" i="7"/>
  <c r="I163" i="7" s="1"/>
  <c r="S167" i="7"/>
  <c r="B13" i="6" s="1"/>
  <c r="P158" i="7"/>
  <c r="O158" i="7"/>
  <c r="N158" i="7"/>
  <c r="M158" i="7"/>
  <c r="L158" i="7"/>
  <c r="K158" i="7"/>
  <c r="I158" i="7"/>
  <c r="P154" i="7"/>
  <c r="O154" i="7"/>
  <c r="N154" i="7"/>
  <c r="M154" i="7"/>
  <c r="L154" i="7"/>
  <c r="K154" i="7"/>
  <c r="I154" i="7"/>
  <c r="S150" i="7"/>
  <c r="B12" i="6" s="1"/>
  <c r="J150" i="7"/>
  <c r="H150" i="7"/>
  <c r="P147" i="7"/>
  <c r="O147" i="7"/>
  <c r="N147" i="7"/>
  <c r="M147" i="7"/>
  <c r="L147" i="7"/>
  <c r="I147" i="7"/>
  <c r="J144" i="7"/>
  <c r="H144" i="7"/>
  <c r="S144" i="7"/>
  <c r="B11" i="6" s="1"/>
  <c r="P120" i="7"/>
  <c r="O120" i="7"/>
  <c r="N120" i="7"/>
  <c r="M120" i="7"/>
  <c r="L120" i="7"/>
  <c r="S117" i="7"/>
  <c r="B10" i="6" s="1"/>
  <c r="J117" i="7"/>
  <c r="H117" i="7"/>
  <c r="O113" i="7"/>
  <c r="M113" i="7"/>
  <c r="L113" i="7"/>
  <c r="G113" i="7"/>
  <c r="S110" i="7"/>
  <c r="B9" i="6" s="1"/>
  <c r="R103" i="7"/>
  <c r="M101" i="7"/>
  <c r="P89" i="7"/>
  <c r="O89" i="7"/>
  <c r="N89" i="7"/>
  <c r="M89" i="7"/>
  <c r="J85" i="7"/>
  <c r="H85" i="7"/>
  <c r="S85" i="7"/>
  <c r="B8" i="6" s="1"/>
  <c r="P56" i="7"/>
  <c r="O56" i="7"/>
  <c r="N56" i="7"/>
  <c r="M56" i="7"/>
  <c r="L56" i="7"/>
  <c r="I56" i="7"/>
  <c r="J53" i="7"/>
  <c r="H53" i="7"/>
  <c r="S53" i="7"/>
  <c r="B7" i="6" s="1"/>
  <c r="L24" i="7"/>
  <c r="S21" i="7"/>
  <c r="B6" i="6" s="1"/>
  <c r="J21" i="7"/>
  <c r="H21" i="7"/>
  <c r="P5" i="7"/>
  <c r="O5" i="7"/>
  <c r="N5" i="7"/>
  <c r="M5" i="7"/>
  <c r="L5" i="7"/>
  <c r="I5" i="7"/>
  <c r="I6" i="7" l="1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K5" i="7"/>
  <c r="B3" i="3"/>
  <c r="D5" i="2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B9" i="3"/>
  <c r="D6" i="2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B7" i="3"/>
  <c r="D7" i="2"/>
  <c r="L85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I113" i="7"/>
  <c r="I114" i="7"/>
  <c r="I115" i="7"/>
  <c r="I116" i="7"/>
  <c r="K113" i="7"/>
  <c r="B6" i="3"/>
  <c r="D9" i="2"/>
  <c r="L117" i="7"/>
  <c r="K114" i="7"/>
  <c r="K115" i="7"/>
  <c r="K116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B4" i="3"/>
  <c r="D10" i="2"/>
  <c r="I148" i="7"/>
  <c r="I149" i="7"/>
  <c r="K147" i="7"/>
  <c r="B2" i="3"/>
  <c r="D11" i="2"/>
  <c r="L150" i="7"/>
  <c r="K148" i="7"/>
  <c r="K149" i="7"/>
  <c r="I159" i="7"/>
  <c r="I160" i="7"/>
  <c r="I161" i="7"/>
  <c r="I162" i="7"/>
  <c r="I164" i="7"/>
  <c r="I165" i="7"/>
  <c r="I166" i="7"/>
  <c r="I155" i="7"/>
  <c r="B5" i="3"/>
  <c r="D12" i="2"/>
  <c r="L167" i="7"/>
  <c r="K159" i="7"/>
  <c r="K160" i="7"/>
  <c r="K161" i="7"/>
  <c r="K162" i="7"/>
  <c r="K164" i="7"/>
  <c r="K165" i="7"/>
  <c r="K166" i="7"/>
  <c r="K155" i="7"/>
  <c r="L144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56" i="7"/>
  <c r="K24" i="7"/>
  <c r="S168" i="7"/>
  <c r="K120" i="7"/>
  <c r="I120" i="7"/>
  <c r="I24" i="7"/>
  <c r="L21" i="7"/>
  <c r="L53" i="7"/>
  <c r="H110" i="7"/>
  <c r="L89" i="7"/>
  <c r="I89" i="7"/>
  <c r="J110" i="7"/>
  <c r="P101" i="7"/>
  <c r="N101" i="7"/>
  <c r="I101" i="7"/>
  <c r="O101" i="7"/>
  <c r="L101" i="7"/>
  <c r="P113" i="7"/>
  <c r="N113" i="7"/>
  <c r="I91" i="7" l="1"/>
  <c r="I92" i="7"/>
  <c r="I93" i="7"/>
  <c r="I97" i="7"/>
  <c r="I90" i="7"/>
  <c r="I94" i="7"/>
  <c r="I95" i="7"/>
  <c r="I96" i="7"/>
  <c r="I98" i="7"/>
  <c r="I102" i="7"/>
  <c r="I103" i="7"/>
  <c r="I104" i="7"/>
  <c r="I105" i="7"/>
  <c r="I106" i="7"/>
  <c r="I107" i="7"/>
  <c r="I108" i="7"/>
  <c r="I109" i="7"/>
  <c r="K101" i="7"/>
  <c r="B8" i="3"/>
  <c r="D8" i="2"/>
  <c r="L110" i="7"/>
  <c r="K102" i="7"/>
  <c r="K103" i="7"/>
  <c r="K104" i="7"/>
  <c r="K105" i="7"/>
  <c r="K106" i="7"/>
  <c r="K107" i="7"/>
  <c r="K108" i="7"/>
  <c r="K109" i="7"/>
  <c r="K90" i="7"/>
  <c r="K91" i="7"/>
  <c r="K92" i="7"/>
  <c r="K93" i="7"/>
  <c r="K94" i="7"/>
  <c r="K95" i="7"/>
  <c r="K96" i="7"/>
  <c r="K97" i="7"/>
  <c r="K98" i="7"/>
  <c r="K89" i="7"/>
  <c r="J168" i="7"/>
  <c r="H168" i="7"/>
  <c r="L168" i="7" l="1"/>
  <c r="I21" i="7"/>
  <c r="I53" i="7"/>
  <c r="I85" i="7"/>
  <c r="I117" i="7"/>
  <c r="I144" i="7"/>
  <c r="I150" i="7"/>
  <c r="I167" i="7"/>
  <c r="I110" i="7"/>
  <c r="K21" i="7"/>
  <c r="K53" i="7"/>
  <c r="K85" i="7"/>
  <c r="K117" i="7"/>
  <c r="K144" i="7"/>
  <c r="K150" i="7"/>
  <c r="K167" i="7"/>
  <c r="K110" i="7"/>
</calcChain>
</file>

<file path=xl/sharedStrings.xml><?xml version="1.0" encoding="utf-8"?>
<sst xmlns="http://schemas.openxmlformats.org/spreadsheetml/2006/main" count="365" uniqueCount="239">
  <si>
    <t>EQUITY BASED FUNDS</t>
  </si>
  <si>
    <t>MONEY MARKET FUNDS</t>
  </si>
  <si>
    <t>DOLLAR FUNDS</t>
  </si>
  <si>
    <t>BALANCED FUNDS</t>
  </si>
  <si>
    <t>ETHICAL FUNDS</t>
  </si>
  <si>
    <t>FUNDS</t>
  </si>
  <si>
    <t>BONDS/FIXED INCOME FUNDS</t>
  </si>
  <si>
    <t>REAL ESTATE INVESTMENT TRUST</t>
  </si>
  <si>
    <t>SHARI'AH COMPLAINT FUNDS</t>
  </si>
  <si>
    <t>UNIT HOLDERS</t>
  </si>
  <si>
    <t>S/N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</si>
  <si>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</si>
  <si>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</si>
  <si>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</si>
  <si>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</si>
  <si>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</si>
  <si>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</si>
  <si>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</si>
  <si>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</si>
  <si>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</si>
  <si>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</si>
  <si>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</si>
  <si>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</si>
  <si>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</si>
  <si>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</si>
  <si>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Legacy Equity Fund</t>
  </si>
  <si>
    <t>First City Asset Management Plc</t>
  </si>
  <si>
    <t>Meristem Equity Market Fund</t>
  </si>
  <si>
    <t>Meristem Wealth Management Limited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</si>
  <si>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</si>
  <si>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</si>
  <si>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</si>
  <si>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</si>
  <si>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</si>
  <si>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</si>
  <si>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</si>
  <si>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</si>
  <si>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</si>
  <si>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Investment One Funds Management Limited</t>
  </si>
  <si>
    <t>Sub Total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</si>
  <si>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</si>
  <si>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</si>
  <si>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</si>
  <si>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</si>
  <si>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</si>
  <si>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</si>
  <si>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 xml:space="preserve">AXA Mansard Investments Limited </t>
  </si>
  <si>
    <t>Chapel Hill Denham Money Market Fund(Frml NGIF)</t>
  </si>
  <si>
    <t>Coral Money Market Fund (FSDH Treasury Bill Fund)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</si>
  <si>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</si>
  <si>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</si>
  <si>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</si>
  <si>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</si>
  <si>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</si>
  <si>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</si>
  <si>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</si>
  <si>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</si>
  <si>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</si>
  <si>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</si>
  <si>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</si>
  <si>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</si>
  <si>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</si>
  <si>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</si>
  <si>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</si>
  <si>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</si>
  <si>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</si>
  <si>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</si>
  <si>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</si>
  <si>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</si>
  <si>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</si>
  <si>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</si>
  <si>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</si>
  <si>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</si>
  <si>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</si>
  <si>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</si>
  <si>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</si>
  <si>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</si>
  <si>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</si>
  <si>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</si>
  <si>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</si>
  <si>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</si>
  <si>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</si>
  <si>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</si>
  <si>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</si>
  <si>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</si>
  <si>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</si>
  <si>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</si>
  <si>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</si>
  <si>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</si>
  <si>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</si>
  <si>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</si>
  <si>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</si>
  <si>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</si>
  <si>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</si>
  <si>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</si>
  <si>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Capital Express Assset &amp; Trust Limited</t>
  </si>
  <si>
    <t>Chapel Hill Denham Nigeria Bond Fund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</si>
  <si>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</si>
  <si>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</si>
  <si>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</si>
  <si>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</si>
  <si>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</si>
  <si>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</si>
  <si>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</si>
  <si>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</si>
  <si>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</si>
  <si>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</si>
  <si>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</si>
  <si>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</si>
  <si>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</si>
  <si>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</si>
  <si>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</si>
  <si>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</si>
  <si>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</si>
  <si>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</si>
  <si>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</si>
  <si>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</si>
  <si>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</si>
  <si>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</si>
  <si>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</si>
  <si>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</si>
  <si>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</si>
  <si>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</si>
  <si>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</si>
  <si>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</si>
  <si>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</si>
  <si>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</si>
  <si>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</si>
  <si>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</si>
  <si>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</si>
  <si>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</si>
  <si>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</si>
  <si>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</si>
  <si>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</si>
  <si>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 xml:space="preserve">Nigerian Eurobond Fund 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</si>
  <si>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</si>
  <si>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</si>
  <si>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</si>
  <si>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</si>
  <si>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</si>
  <si>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</si>
  <si>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</si>
  <si>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</si>
  <si>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</si>
  <si>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</si>
  <si>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</si>
  <si>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</si>
  <si>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</si>
  <si>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</si>
  <si>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</si>
  <si>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</si>
  <si>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</si>
  <si>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</si>
  <si>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</si>
  <si>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</si>
  <si>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</si>
  <si>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</si>
  <si>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</si>
  <si>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</si>
  <si>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FBN Balanced Fund</t>
  </si>
  <si>
    <t>GDL Canary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</si>
  <si>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</si>
  <si>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</si>
  <si>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</si>
  <si>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</si>
  <si>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</si>
  <si>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</si>
  <si>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</si>
  <si>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</si>
  <si>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</si>
  <si>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</si>
  <si>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</si>
  <si>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</si>
  <si>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</si>
  <si>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</si>
  <si>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</si>
  <si>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</si>
  <si>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</si>
  <si>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</si>
  <si>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 xml:space="preserve">Capital Trust Investments &amp; Asset Mgt. Ltd </t>
  </si>
  <si>
    <t>Cordros Halal Fixed Income Fund</t>
  </si>
  <si>
    <t>EDC Halal Fund</t>
  </si>
  <si>
    <t>FBN Halal Fund</t>
  </si>
  <si>
    <t>Norrenberger Islamic Fund</t>
  </si>
  <si>
    <t>Norrenberger Investment &amp; Capital Management Limited</t>
  </si>
  <si>
    <t>Stanbic IBTC Shariah Fixed Income Fund</t>
  </si>
  <si>
    <t>United Capital Sukuk Fund</t>
  </si>
  <si>
    <t>Grand Total</t>
  </si>
  <si>
    <t>Note:</t>
  </si>
  <si>
    <t>Norrenberger Dollar Fund</t>
  </si>
  <si>
    <t xml:space="preserve">United Capital Global Fixed Income Fund </t>
  </si>
  <si>
    <t>Greenwich Balanced Fund</t>
  </si>
  <si>
    <t>FUND</t>
  </si>
  <si>
    <t>FUND MANAGER</t>
  </si>
  <si>
    <t>TOTAL INCOME (N)</t>
  </si>
  <si>
    <t>TOTAL VALUE OF INVESTMENT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</si>
  <si>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</si>
  <si>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</si>
  <si>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</si>
  <si>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</si>
  <si>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</si>
  <si>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</si>
  <si>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</si>
  <si>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</si>
  <si>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</si>
  <si>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</si>
  <si>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</si>
  <si>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</si>
  <si>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</si>
  <si>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</si>
  <si>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Cowry Equity Income Fund</t>
  </si>
  <si>
    <t>Guaranty Trust Money Market Fund</t>
  </si>
  <si>
    <t>106.53*769.26</t>
  </si>
  <si>
    <t>16,647,140.35</t>
  </si>
  <si>
    <t>Guaranty Trust Equity Income Fund</t>
  </si>
  <si>
    <t>489,367,874.56</t>
  </si>
  <si>
    <t>Guaranty Trust Fund Managers Limited</t>
  </si>
  <si>
    <t>PACAM Equity Fund</t>
  </si>
  <si>
    <t>NET ASSET VALUE (N) PREVIOUS -AUGUST</t>
  </si>
  <si>
    <t>FBN Bond Fund</t>
  </si>
  <si>
    <t>Cowry Fixed Income Fund</t>
  </si>
  <si>
    <t>CEAT Fixed Income Fund</t>
  </si>
  <si>
    <t>23,600,541,207.98</t>
  </si>
  <si>
    <t>41,175,307,422.83</t>
  </si>
  <si>
    <t>264,984,600.01</t>
  </si>
  <si>
    <t>14,016,728,986.69</t>
  </si>
  <si>
    <t>PACAM Eurobond Fund</t>
  </si>
  <si>
    <t>Cowry Balanced Fund</t>
  </si>
  <si>
    <t>Guaranty Trust Balanced Fund</t>
  </si>
  <si>
    <t>Emerging Africa Balanced-Diversity Fund</t>
  </si>
  <si>
    <t>Marble Halal Commodities Fund</t>
  </si>
  <si>
    <t>Marble Capital Limited</t>
  </si>
  <si>
    <t>MONTHLY UPDATE ON REGISTERED MUTUAL FUNDS AS AT 30TH SEPTEMBER, 2023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</si>
  <si>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30th September, 2023 = </t>
    </r>
    <r>
      <rPr>
        <strike/>
        <sz val="6"/>
        <color theme="0"/>
        <rFont val="Times New Roman"/>
        <family val="1"/>
      </rPr>
      <t>N769.26</t>
    </r>
  </si>
  <si>
    <t>July 2023</t>
  </si>
  <si>
    <t>August 2023</t>
  </si>
  <si>
    <t>September 2023</t>
  </si>
  <si>
    <t>The chart above shows that the Money Market Fund has the highest share of the Aggregate Net Asset Value (NAV) at 44.98% , followed by Dollar Fund (Eurobonds and Fixed Income) with 29.66%, Bond/Fixed Income Fund at 15.11%, Real Estate Investment Trust at 4.64%.  Next is Shari'ah Compliant Fund at 2.28%, Balanced Fund at 2.01%, Equity Fund at 1.12% and Ethical Fund at 0.19%.</t>
  </si>
  <si>
    <t>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</si>
</sst>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 &quot;* #,##0.00&quot; &quot;;&quot;-&quot;* #,##0.00&quot; &quot;;&quot; &quot;* &quot;-&quot;??&quot; &quot;"/>
    <numFmt numFmtId="167" formatCode="&quot; &quot;* #,##0&quot; &quot;;&quot;-&quot;* #,##0&quot; &quot;;&quot; &quot;* &quot;-&quot;??&quot; &quot;"/>
    <numFmt numFmtId="168" formatCode="&quot; &quot;* #,##0.00&quot; &quot;;&quot; &quot;* \(#,##0.00\);&quot; &quot;* &quot;-&quot;??&quot; &quot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8"/>
      <color theme="1"/>
      <name val="Century Gothic"/>
      <family val="2"/>
    </font>
    <font>
      <b/>
      <sz val="12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8"/>
      <color rgb="FF00B050"/>
      <name val="Century Gothic"/>
      <family val="2"/>
    </font>
    <font>
      <sz val="8"/>
      <color indexed="8"/>
      <name val="Century Gothic"/>
      <family val="2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color indexed="8"/>
      <name val="Arial Narrow"/>
      <family val="2"/>
    </font>
    <font>
      <sz val="12"/>
      <color indexed="8"/>
      <name val="Calibri"/>
      <family val="2"/>
    </font>
    <font>
      <sz val="8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sz val="8"/>
      <color indexed="8"/>
      <name val="Calibri"/>
      <family val="2"/>
    </font>
    <font>
      <b/>
      <sz val="32"/>
      <color indexed="9"/>
      <name val="Segoe UI Black"/>
      <family val="2"/>
    </font>
    <font>
      <sz val="8"/>
      <color rgb="FFFF0000"/>
      <name val="Century Gothic"/>
      <family val="2"/>
    </font>
    <font>
      <b/>
      <sz val="8"/>
      <color rgb="FFFF000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sz val="8"/>
      <color theme="1"/>
      <name val="Calibri"/>
      <family val="2"/>
      <scheme val="minor"/>
    </font>
    <font>
      <b/>
      <sz val="10"/>
      <color rgb="FFFF0000"/>
      <name val="Century Gothic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8"/>
      <color rgb="FF000000"/>
      <name val="Century Gothic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9" fillId="0" borderId="0"/>
  </cellStyleXfs>
  <cellXfs count="121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4" fontId="4" fillId="2" borderId="0" xfId="0" applyNumberFormat="1" applyFont="1" applyFill="1"/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>
      <alignment horizontal="right"/>
    </xf>
    <xf numFmtId="43" fontId="0" fillId="0" borderId="0" xfId="6" applyFont="1"/>
    <xf numFmtId="0" fontId="15" fillId="6" borderId="0" xfId="0" applyFont="1" applyFill="1" applyAlignment="1">
      <alignment horizontal="left"/>
    </xf>
    <xf numFmtId="0" fontId="15" fillId="6" borderId="0" xfId="0" applyFont="1" applyFill="1" applyAlignment="1">
      <alignment horizontal="right" vertical="center"/>
    </xf>
    <xf numFmtId="0" fontId="0" fillId="2" borderId="0" xfId="0" applyFill="1"/>
    <xf numFmtId="164" fontId="1" fillId="2" borderId="0" xfId="1" applyFont="1" applyFill="1" applyBorder="1" applyAlignment="1"/>
    <xf numFmtId="0" fontId="17" fillId="2" borderId="0" xfId="0" applyFont="1" applyFill="1"/>
    <xf numFmtId="166" fontId="18" fillId="2" borderId="0" xfId="0" applyNumberFormat="1" applyFont="1" applyFill="1"/>
    <xf numFmtId="168" fontId="18" fillId="2" borderId="0" xfId="0" applyNumberFormat="1" applyFont="1" applyFill="1"/>
    <xf numFmtId="0" fontId="22" fillId="2" borderId="0" xfId="0" applyFont="1" applyFill="1"/>
    <xf numFmtId="0" fontId="28" fillId="2" borderId="0" xfId="0" applyFont="1" applyFill="1"/>
    <xf numFmtId="164" fontId="28" fillId="2" borderId="0" xfId="1" applyFont="1" applyFill="1" applyBorder="1" applyAlignment="1"/>
    <xf numFmtId="164" fontId="31" fillId="2" borderId="0" xfId="1" applyFont="1" applyFill="1" applyBorder="1" applyAlignment="1">
      <alignment horizontal="right" vertical="top" wrapText="1"/>
    </xf>
    <xf numFmtId="43" fontId="5" fillId="0" borderId="0" xfId="6" applyFont="1" applyBorder="1"/>
    <xf numFmtId="0" fontId="30" fillId="0" borderId="0" xfId="0" applyFont="1" applyAlignment="1">
      <alignment horizontal="right"/>
    </xf>
    <xf numFmtId="4" fontId="31" fillId="2" borderId="0" xfId="0" applyNumberFormat="1" applyFont="1" applyFill="1"/>
    <xf numFmtId="4" fontId="31" fillId="2" borderId="0" xfId="0" applyNumberFormat="1" applyFont="1" applyFill="1" applyAlignment="1">
      <alignment horizontal="right"/>
    </xf>
    <xf numFmtId="17" fontId="0" fillId="0" borderId="0" xfId="0" applyNumberFormat="1"/>
    <xf numFmtId="164" fontId="0" fillId="0" borderId="0" xfId="1" applyFont="1"/>
    <xf numFmtId="43" fontId="6" fillId="0" borderId="0" xfId="6" applyFont="1" applyBorder="1"/>
    <xf numFmtId="0" fontId="32" fillId="0" borderId="0" xfId="0" applyFont="1" applyAlignment="1">
      <alignment horizontal="right"/>
    </xf>
    <xf numFmtId="16" fontId="32" fillId="2" borderId="0" xfId="0" applyNumberFormat="1" applyFont="1" applyFill="1"/>
    <xf numFmtId="4" fontId="4" fillId="2" borderId="0" xfId="0" applyNumberFormat="1" applyFont="1" applyFill="1" applyAlignment="1">
      <alignment horizontal="right"/>
    </xf>
    <xf numFmtId="49" fontId="11" fillId="4" borderId="1" xfId="0" applyNumberFormat="1" applyFont="1" applyFill="1" applyBorder="1" applyAlignment="1">
      <alignment horizontal="center" vertical="top" wrapText="1"/>
    </xf>
    <xf numFmtId="164" fontId="11" fillId="4" borderId="1" xfId="1" applyFont="1" applyFill="1" applyBorder="1" applyAlignment="1">
      <alignment horizontal="center" vertical="top" wrapText="1"/>
    </xf>
    <xf numFmtId="167" fontId="19" fillId="2" borderId="1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wrapText="1"/>
    </xf>
    <xf numFmtId="4" fontId="14" fillId="2" borderId="1" xfId="0" applyNumberFormat="1" applyFont="1" applyFill="1" applyBorder="1"/>
    <xf numFmtId="164" fontId="14" fillId="2" borderId="1" xfId="1" applyFont="1" applyFill="1" applyBorder="1" applyAlignment="1"/>
    <xf numFmtId="164" fontId="14" fillId="2" borderId="1" xfId="1" applyFont="1" applyFill="1" applyBorder="1" applyAlignment="1">
      <alignment horizontal="left"/>
    </xf>
    <xf numFmtId="10" fontId="14" fillId="2" borderId="1" xfId="0" applyNumberFormat="1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left"/>
    </xf>
    <xf numFmtId="10" fontId="21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66" fontId="14" fillId="5" borderId="1" xfId="0" applyNumberFormat="1" applyFont="1" applyFill="1" applyBorder="1" applyAlignment="1">
      <alignment horizontal="right" vertical="center"/>
    </xf>
    <xf numFmtId="166" fontId="14" fillId="2" borderId="1" xfId="0" applyNumberFormat="1" applyFont="1" applyFill="1" applyBorder="1"/>
    <xf numFmtId="164" fontId="14" fillId="2" borderId="1" xfId="1" applyFont="1" applyFill="1" applyBorder="1"/>
    <xf numFmtId="49" fontId="19" fillId="2" borderId="1" xfId="0" applyNumberFormat="1" applyFont="1" applyFill="1" applyBorder="1"/>
    <xf numFmtId="164" fontId="14" fillId="2" borderId="1" xfId="1" applyFont="1" applyFill="1" applyBorder="1" applyAlignment="1">
      <alignment horizontal="right"/>
    </xf>
    <xf numFmtId="49" fontId="19" fillId="2" borderId="1" xfId="0" applyNumberFormat="1" applyFont="1" applyFill="1" applyBorder="1" applyAlignment="1">
      <alignment vertical="center" wrapText="1"/>
    </xf>
    <xf numFmtId="4" fontId="19" fillId="2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166" fontId="19" fillId="2" borderId="1" xfId="0" applyNumberFormat="1" applyFont="1" applyFill="1" applyBorder="1"/>
    <xf numFmtId="164" fontId="19" fillId="2" borderId="1" xfId="1" applyFont="1" applyFill="1" applyBorder="1"/>
    <xf numFmtId="164" fontId="33" fillId="2" borderId="1" xfId="1" applyFont="1" applyFill="1" applyBorder="1"/>
    <xf numFmtId="166" fontId="20" fillId="2" borderId="1" xfId="0" applyNumberFormat="1" applyFont="1" applyFill="1" applyBorder="1" applyAlignment="1">
      <alignment horizontal="left"/>
    </xf>
    <xf numFmtId="10" fontId="20" fillId="2" borderId="1" xfId="0" applyNumberFormat="1" applyFont="1" applyFill="1" applyBorder="1" applyAlignment="1">
      <alignment horizontal="center"/>
    </xf>
    <xf numFmtId="166" fontId="20" fillId="2" borderId="1" xfId="0" applyNumberFormat="1" applyFont="1" applyFill="1" applyBorder="1"/>
    <xf numFmtId="164" fontId="20" fillId="2" borderId="1" xfId="1" applyFont="1" applyFill="1" applyBorder="1"/>
    <xf numFmtId="43" fontId="14" fillId="2" borderId="1" xfId="6" applyFont="1" applyFill="1" applyBorder="1"/>
    <xf numFmtId="166" fontId="14" fillId="2" borderId="1" xfId="0" applyNumberFormat="1" applyFont="1" applyFill="1" applyBorder="1" applyAlignment="1">
      <alignment horizontal="right"/>
    </xf>
    <xf numFmtId="49" fontId="24" fillId="2" borderId="1" xfId="0" applyNumberFormat="1" applyFont="1" applyFill="1" applyBorder="1" applyAlignment="1">
      <alignment wrapText="1"/>
    </xf>
    <xf numFmtId="4" fontId="33" fillId="2" borderId="1" xfId="0" applyNumberFormat="1" applyFont="1" applyFill="1" applyBorder="1" applyAlignment="1">
      <alignment vertical="center"/>
    </xf>
    <xf numFmtId="4" fontId="33" fillId="2" borderId="1" xfId="0" applyNumberFormat="1" applyFont="1" applyFill="1" applyBorder="1"/>
    <xf numFmtId="164" fontId="14" fillId="2" borderId="1" xfId="1" applyFont="1" applyFill="1" applyBorder="1" applyAlignment="1">
      <alignment vertical="center"/>
    </xf>
    <xf numFmtId="43" fontId="33" fillId="2" borderId="1" xfId="6" applyFont="1" applyFill="1" applyBorder="1" applyAlignment="1">
      <alignment vertical="center"/>
    </xf>
    <xf numFmtId="10" fontId="13" fillId="2" borderId="1" xfId="0" applyNumberFormat="1" applyFont="1" applyFill="1" applyBorder="1" applyAlignment="1">
      <alignment horizontal="center"/>
    </xf>
    <xf numFmtId="10" fontId="20" fillId="5" borderId="1" xfId="0" applyNumberFormat="1" applyFont="1" applyFill="1" applyBorder="1" applyAlignment="1">
      <alignment horizontal="center" vertical="center"/>
    </xf>
    <xf numFmtId="166" fontId="20" fillId="5" borderId="1" xfId="0" applyNumberFormat="1" applyFont="1" applyFill="1" applyBorder="1" applyAlignment="1">
      <alignment horizontal="right" vertical="center"/>
    </xf>
    <xf numFmtId="164" fontId="19" fillId="2" borderId="1" xfId="1" applyFont="1" applyFill="1" applyBorder="1" applyAlignment="1"/>
    <xf numFmtId="10" fontId="19" fillId="2" borderId="1" xfId="0" applyNumberFormat="1" applyFont="1" applyFill="1" applyBorder="1" applyAlignment="1">
      <alignment horizontal="center"/>
    </xf>
    <xf numFmtId="10" fontId="19" fillId="5" borderId="1" xfId="0" applyNumberFormat="1" applyFont="1" applyFill="1" applyBorder="1" applyAlignment="1">
      <alignment horizontal="center" vertical="center"/>
    </xf>
    <xf numFmtId="166" fontId="19" fillId="5" borderId="1" xfId="0" applyNumberFormat="1" applyFont="1" applyFill="1" applyBorder="1" applyAlignment="1">
      <alignment horizontal="right" vertical="center"/>
    </xf>
    <xf numFmtId="2" fontId="19" fillId="2" borderId="1" xfId="0" applyNumberFormat="1" applyFont="1" applyFill="1" applyBorder="1"/>
    <xf numFmtId="166" fontId="19" fillId="2" borderId="1" xfId="0" applyNumberFormat="1" applyFont="1" applyFill="1" applyBorder="1" applyAlignment="1">
      <alignment horizontal="left"/>
    </xf>
    <xf numFmtId="164" fontId="33" fillId="2" borderId="1" xfId="1" applyFont="1" applyFill="1" applyBorder="1" applyAlignment="1">
      <alignment horizontal="right"/>
    </xf>
    <xf numFmtId="10" fontId="10" fillId="5" borderId="1" xfId="0" applyNumberFormat="1" applyFont="1" applyFill="1" applyBorder="1" applyAlignment="1">
      <alignment horizontal="center" vertical="center"/>
    </xf>
    <xf numFmtId="167" fontId="19" fillId="2" borderId="1" xfId="0" applyNumberFormat="1" applyFont="1" applyFill="1" applyBorder="1" applyAlignment="1">
      <alignment horizontal="right" wrapText="1"/>
    </xf>
    <xf numFmtId="167" fontId="24" fillId="2" borderId="1" xfId="0" applyNumberFormat="1" applyFont="1" applyFill="1" applyBorder="1" applyAlignment="1">
      <alignment horizontal="center" wrapText="1"/>
    </xf>
    <xf numFmtId="49" fontId="24" fillId="2" borderId="1" xfId="0" applyNumberFormat="1" applyFont="1" applyFill="1" applyBorder="1"/>
    <xf numFmtId="10" fontId="14" fillId="2" borderId="1" xfId="0" applyNumberFormat="1" applyFont="1" applyFill="1" applyBorder="1"/>
    <xf numFmtId="10" fontId="24" fillId="2" borderId="1" xfId="0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>
      <alignment horizontal="right" vertical="center"/>
    </xf>
    <xf numFmtId="166" fontId="14" fillId="2" borderId="1" xfId="0" applyNumberFormat="1" applyFont="1" applyFill="1" applyBorder="1" applyAlignment="1">
      <alignment horizontal="right" vertical="center"/>
    </xf>
    <xf numFmtId="167" fontId="14" fillId="2" borderId="1" xfId="0" applyNumberFormat="1" applyFont="1" applyFill="1" applyBorder="1"/>
    <xf numFmtId="10" fontId="13" fillId="2" borderId="1" xfId="0" applyNumberFormat="1" applyFont="1" applyFill="1" applyBorder="1"/>
    <xf numFmtId="164" fontId="20" fillId="2" borderId="1" xfId="1" applyFont="1" applyFill="1" applyBorder="1" applyAlignment="1"/>
    <xf numFmtId="49" fontId="14" fillId="2" borderId="1" xfId="0" applyNumberFormat="1" applyFont="1" applyFill="1" applyBorder="1" applyAlignment="1">
      <alignment horizontal="right"/>
    </xf>
    <xf numFmtId="4" fontId="14" fillId="2" borderId="1" xfId="0" applyNumberFormat="1" applyFont="1" applyFill="1" applyBorder="1" applyAlignment="1">
      <alignment horizontal="right"/>
    </xf>
    <xf numFmtId="3" fontId="14" fillId="2" borderId="1" xfId="0" applyNumberFormat="1" applyFont="1" applyFill="1" applyBorder="1"/>
    <xf numFmtId="0" fontId="14" fillId="2" borderId="1" xfId="0" applyFont="1" applyFill="1" applyBorder="1"/>
    <xf numFmtId="0" fontId="19" fillId="2" borderId="1" xfId="0" applyFont="1" applyFill="1" applyBorder="1"/>
    <xf numFmtId="49" fontId="19" fillId="2" borderId="1" xfId="0" applyNumberFormat="1" applyFont="1" applyFill="1" applyBorder="1" applyAlignment="1">
      <alignment vertical="top" wrapText="1"/>
    </xf>
    <xf numFmtId="166" fontId="21" fillId="5" borderId="1" xfId="0" applyNumberFormat="1" applyFont="1" applyFill="1" applyBorder="1" applyAlignment="1">
      <alignment horizontal="right" vertical="center"/>
    </xf>
    <xf numFmtId="164" fontId="20" fillId="2" borderId="1" xfId="1" applyFont="1" applyFill="1" applyBorder="1" applyAlignment="1">
      <alignment wrapText="1"/>
    </xf>
    <xf numFmtId="166" fontId="14" fillId="2" borderId="1" xfId="0" applyNumberFormat="1" applyFont="1" applyFill="1" applyBorder="1" applyAlignment="1">
      <alignment horizontal="left" wrapText="1"/>
    </xf>
    <xf numFmtId="10" fontId="14" fillId="5" borderId="1" xfId="0" applyNumberFormat="1" applyFont="1" applyFill="1" applyBorder="1" applyAlignment="1">
      <alignment horizontal="right" vertical="center"/>
    </xf>
    <xf numFmtId="10" fontId="21" fillId="5" borderId="1" xfId="0" applyNumberFormat="1" applyFont="1" applyFill="1" applyBorder="1" applyAlignment="1">
      <alignment horizontal="right" vertical="center"/>
    </xf>
    <xf numFmtId="166" fontId="12" fillId="4" borderId="1" xfId="0" applyNumberFormat="1" applyFont="1" applyFill="1" applyBorder="1"/>
    <xf numFmtId="10" fontId="12" fillId="4" borderId="1" xfId="0" applyNumberFormat="1" applyFont="1" applyFill="1" applyBorder="1"/>
    <xf numFmtId="10" fontId="12" fillId="4" borderId="1" xfId="0" applyNumberFormat="1" applyFont="1" applyFill="1" applyBorder="1" applyAlignment="1">
      <alignment horizontal="center"/>
    </xf>
    <xf numFmtId="10" fontId="29" fillId="4" borderId="1" xfId="0" applyNumberFormat="1" applyFont="1" applyFill="1" applyBorder="1" applyAlignment="1">
      <alignment horizontal="right" vertical="center"/>
    </xf>
    <xf numFmtId="10" fontId="12" fillId="4" borderId="1" xfId="0" applyNumberFormat="1" applyFont="1" applyFill="1" applyBorder="1" applyAlignment="1">
      <alignment horizontal="right" vertical="center"/>
    </xf>
    <xf numFmtId="166" fontId="12" fillId="4" borderId="1" xfId="0" applyNumberFormat="1" applyFont="1" applyFill="1" applyBorder="1" applyAlignment="1">
      <alignment horizontal="right" vertical="center"/>
    </xf>
    <xf numFmtId="164" fontId="12" fillId="4" borderId="1" xfId="1" applyFont="1" applyFill="1" applyBorder="1"/>
    <xf numFmtId="49" fontId="26" fillId="2" borderId="1" xfId="0" applyNumberFormat="1" applyFont="1" applyFill="1" applyBorder="1" applyAlignment="1">
      <alignment horizontal="center" vertical="top" wrapText="1"/>
    </xf>
    <xf numFmtId="166" fontId="27" fillId="2" borderId="1" xfId="0" applyNumberFormat="1" applyFont="1" applyFill="1" applyBorder="1" applyAlignment="1">
      <alignment horizontal="center" wrapText="1"/>
    </xf>
    <xf numFmtId="49" fontId="25" fillId="2" borderId="1" xfId="0" applyNumberFormat="1" applyFont="1" applyFill="1" applyBorder="1" applyAlignment="1">
      <alignment horizontal="center" wrapText="1"/>
    </xf>
    <xf numFmtId="167" fontId="21" fillId="2" borderId="1" xfId="0" applyNumberFormat="1" applyFont="1" applyFill="1" applyBorder="1" applyAlignment="1">
      <alignment horizontal="right"/>
    </xf>
    <xf numFmtId="49" fontId="21" fillId="2" borderId="1" xfId="0" applyNumberFormat="1" applyFont="1" applyFill="1" applyBorder="1" applyAlignment="1">
      <alignment horizontal="right"/>
    </xf>
    <xf numFmtId="0" fontId="27" fillId="2" borderId="1" xfId="0" applyFont="1" applyFill="1" applyBorder="1" applyAlignment="1">
      <alignment horizontal="center" wrapText="1"/>
    </xf>
    <xf numFmtId="167" fontId="24" fillId="2" borderId="1" xfId="0" applyNumberFormat="1" applyFont="1" applyFill="1" applyBorder="1" applyAlignment="1">
      <alignment horizontal="center" wrapText="1"/>
    </xf>
    <xf numFmtId="49" fontId="23" fillId="7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top" wrapText="1"/>
    </xf>
    <xf numFmtId="167" fontId="25" fillId="2" borderId="1" xfId="0" applyNumberFormat="1" applyFont="1" applyFill="1" applyBorder="1" applyAlignment="1">
      <alignment horizontal="center"/>
    </xf>
    <xf numFmtId="167" fontId="12" fillId="4" borderId="1" xfId="0" applyNumberFormat="1" applyFont="1" applyFill="1" applyBorder="1" applyAlignment="1">
      <alignment horizontal="right" wrapText="1"/>
    </xf>
    <xf numFmtId="167" fontId="25" fillId="2" borderId="1" xfId="0" applyNumberFormat="1" applyFont="1" applyFill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35" fillId="0" borderId="0" xfId="0" applyFont="1" applyAlignment="1">
      <alignment horizontal="right"/>
    </xf>
    <xf numFmtId="16" fontId="35" fillId="2" borderId="0" xfId="0" quotePrefix="1" applyNumberFormat="1" applyFont="1" applyFill="1" applyAlignment="1">
      <alignment horizontal="right" wrapText="1"/>
    </xf>
    <xf numFmtId="0" fontId="35" fillId="0" borderId="0" xfId="0" applyFont="1" applyAlignment="1">
      <alignment horizontal="right" wrapText="1"/>
    </xf>
    <xf numFmtId="43" fontId="36" fillId="0" borderId="0" xfId="6" applyFont="1" applyBorder="1"/>
    <xf numFmtId="16" fontId="30" fillId="2" borderId="0" xfId="0" quotePrefix="1" applyNumberFormat="1" applyFont="1" applyFill="1" applyAlignment="1">
      <alignment horizontal="right"/>
    </xf>
    <xf numFmtId="0" fontId="34" fillId="0" borderId="0" xfId="0" applyFont="1" applyAlignment="1">
      <alignment horizontal="right"/>
    </xf>
    <xf numFmtId="165" fontId="5" fillId="0" borderId="0" xfId="6" applyNumberFormat="1" applyFont="1" applyBorder="1"/>
  </cellXfs>
  <cellStyles count="8">
    <cellStyle name="Comma" xfId="1" builtinId="3"/>
    <cellStyle name="Comma 10 13" xfId="2" xr:uid="{00000000-0005-0000-0000-000001000000}"/>
    <cellStyle name="Comma 2" xfId="6" xr:uid="{00000000-0005-0000-0000-000002000000}"/>
    <cellStyle name="Comma 3 2" xfId="3" xr:uid="{00000000-0005-0000-0000-000003000000}"/>
    <cellStyle name="Normal" xfId="0" builtinId="0"/>
    <cellStyle name="Normal 2" xfId="7" xr:uid="{00000000-0005-0000-0000-000005000000}"/>
    <cellStyle name="Normal 27 2" xfId="5" xr:uid="{00000000-0005-0000-0000-000006000000}"/>
    <cellStyle name="Percent 2 2" xfId="4" xr:uid="{00000000-0005-0000-0000-000007000000}"/>
  </cellStyles>
  <dxfs count="0"/>
  <tableStyles count="0" defaultTableStyle="TableStyleMedium2" defaultPivotStyle="PivotStyleLight16"/>
  <colors>
    <mruColors>
      <color rgb="FF0C685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>
                <a:solidFill>
                  <a:sysClr val="windowText" lastClr="000000"/>
                </a:solidFill>
              </a:rPr>
              <a:t>NAV BY CLASSES OF FUND (N'Bn): JUL - SEP 2023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July 2023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21.703801741949999</c:v>
                </c:pt>
                <c:pt idx="1">
                  <c:v>849.05272954500992</c:v>
                </c:pt>
                <c:pt idx="2">
                  <c:v>304.16288626912996</c:v>
                </c:pt>
                <c:pt idx="3">
                  <c:v>559.46903968236791</c:v>
                </c:pt>
                <c:pt idx="4">
                  <c:v>93.087466919259995</c:v>
                </c:pt>
                <c:pt idx="5">
                  <c:v>38.647229545230005</c:v>
                </c:pt>
                <c:pt idx="6">
                  <c:v>3.7484993003899998</c:v>
                </c:pt>
                <c:pt idx="7">
                  <c:v>44.207333886330005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August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21.743603431120004</c:v>
                </c:pt>
                <c:pt idx="1">
                  <c:v>851.85517891960512</c:v>
                </c:pt>
                <c:pt idx="2">
                  <c:v>223.79031756769999</c:v>
                </c:pt>
                <c:pt idx="3">
                  <c:v>572.0062060636285</c:v>
                </c:pt>
                <c:pt idx="4">
                  <c:v>93.090595814179991</c:v>
                </c:pt>
                <c:pt idx="5">
                  <c:v>39.333970363309994</c:v>
                </c:pt>
                <c:pt idx="6">
                  <c:v>3.8838263025500002</c:v>
                </c:pt>
                <c:pt idx="7">
                  <c:v>45.094809998369996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ser>
          <c:idx val="2"/>
          <c:order val="2"/>
          <c:tx>
            <c:strRef>
              <c:f>'NAV Comparison'!$D$4</c:f>
              <c:strCache>
                <c:ptCount val="1"/>
                <c:pt idx="0">
                  <c:v>September 2023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Comparison'!$D$5:$D$12</c:f>
              <c:numCache>
                <c:formatCode>_(* #,##0.00_);_(* \(#,##0.00\);_(* "-"??_);_(@_)</c:formatCode>
                <c:ptCount val="8"/>
                <c:pt idx="0">
                  <c:v>22.305170580120002</c:v>
                </c:pt>
                <c:pt idx="1">
                  <c:v>895.47002369608992</c:v>
                </c:pt>
                <c:pt idx="2">
                  <c:v>300.77220794251002</c:v>
                </c:pt>
                <c:pt idx="3">
                  <c:v>590.41468159443093</c:v>
                </c:pt>
                <c:pt idx="4">
                  <c:v>92.422244214649993</c:v>
                </c:pt>
                <c:pt idx="5">
                  <c:v>39.942138650640004</c:v>
                </c:pt>
                <c:pt idx="6">
                  <c:v>3.8688455016300001</c:v>
                </c:pt>
                <c:pt idx="7">
                  <c:v>45.423108829429999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7-4D1A-8B13-AC6A61F1B0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431180958"/>
          <c:y val="1.752753154170248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September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_(* #,##0.00_);_(* \(#,##0.00\);_(* "-"??_);_(@_)</c:formatCode>
                <c:ptCount val="8"/>
                <c:pt idx="0">
                  <c:v>3868845501.6300001</c:v>
                </c:pt>
                <c:pt idx="1">
                  <c:v>22305170580.120003</c:v>
                </c:pt>
                <c:pt idx="2">
                  <c:v>39942138650.640007</c:v>
                </c:pt>
                <c:pt idx="3">
                  <c:v>45423108829.43</c:v>
                </c:pt>
                <c:pt idx="4">
                  <c:v>92422244214.649994</c:v>
                </c:pt>
                <c:pt idx="5">
                  <c:v>300772207942.51001</c:v>
                </c:pt>
                <c:pt idx="6">
                  <c:v>590414681594.43091</c:v>
                </c:pt>
                <c:pt idx="7">
                  <c:v>895470023696.08997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Calibri" panose="020F0502020204030204"/>
              </a:rPr>
              <a:t>UNITHOLDERS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41263</c:v>
                </c:pt>
                <c:pt idx="1">
                  <c:v>239117</c:v>
                </c:pt>
                <c:pt idx="2">
                  <c:v>43730</c:v>
                </c:pt>
                <c:pt idx="3">
                  <c:v>11976</c:v>
                </c:pt>
                <c:pt idx="4">
                  <c:v>216982</c:v>
                </c:pt>
                <c:pt idx="5">
                  <c:v>48639</c:v>
                </c:pt>
                <c:pt idx="6">
                  <c:v>11649</c:v>
                </c:pt>
                <c:pt idx="7">
                  <c:v>25355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8-4814-998C-E89EDACDD4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011601631"/>
        <c:axId val="1011608351"/>
      </c:barChart>
      <c:catAx>
        <c:axId val="10116016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CLASSES OF FUND</a:t>
                </a:r>
              </a:p>
            </c:rich>
          </c:tx>
          <c:layout>
            <c:manualLayout>
              <c:xMode val="edge"/>
              <c:yMode val="edge"/>
              <c:x val="0.4438504235574483"/>
              <c:y val="0.90612066471523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608351"/>
        <c:crosses val="autoZero"/>
        <c:auto val="1"/>
        <c:lblAlgn val="ctr"/>
        <c:lblOffset val="100"/>
        <c:noMultiLvlLbl val="0"/>
      </c:catAx>
      <c:valAx>
        <c:axId val="10116083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011601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539115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582705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590550</xdr:colOff>
      <xdr:row>18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376096-6B4C-F10D-2DF2-F7E5BB6744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unde%20Isaac\Monthly%20Spreadsheet%20of%20Mutual%20Funds\Monthly%20Mutal%20Fund%20Updates%202023\Update%20on%20Registered%20Mutual%20Funds%20as%20at%20August%202023.xlsx" TargetMode="External"/><Relationship Id="rId1" Type="http://schemas.openxmlformats.org/officeDocument/2006/relationships/externalLinkPath" Target="Update%20on%20Registered%20Mutual%20Funds%20as%20at%20Augus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gust 2023"/>
      <sheetName val="NAV Comparison"/>
      <sheetName val="Market Share"/>
      <sheetName val="Unitholders"/>
    </sheetNames>
    <sheetDataSet>
      <sheetData sheetId="0">
        <row r="21">
          <cell r="H21">
            <v>21703801741.949997</v>
          </cell>
          <cell r="J21">
            <v>21743603431.120003</v>
          </cell>
        </row>
        <row r="53">
          <cell r="H53">
            <v>849052729545.00989</v>
          </cell>
          <cell r="J53">
            <v>851855178919.6051</v>
          </cell>
        </row>
        <row r="85">
          <cell r="H85">
            <v>304162886269.12994</v>
          </cell>
          <cell r="J85">
            <v>223790317567.69998</v>
          </cell>
        </row>
        <row r="110">
          <cell r="H110">
            <v>559469039682.36792</v>
          </cell>
          <cell r="J110">
            <v>572006206063.62854</v>
          </cell>
        </row>
        <row r="117">
          <cell r="H117">
            <v>93087466919.259995</v>
          </cell>
          <cell r="J117">
            <v>93090595814.179993</v>
          </cell>
        </row>
        <row r="144">
          <cell r="H144">
            <v>38647229545.230003</v>
          </cell>
          <cell r="J144">
            <v>39333970363.309998</v>
          </cell>
        </row>
        <row r="150">
          <cell r="H150">
            <v>3748499300.3899999</v>
          </cell>
          <cell r="J150">
            <v>3883826302.5500002</v>
          </cell>
        </row>
        <row r="167">
          <cell r="H167">
            <v>44207333886.330002</v>
          </cell>
          <cell r="J167">
            <v>45094809998.369995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/>
  <cols>
    <col min="1" max="1" width="6.85546875" customWidth="1"/>
    <col min="2" max="2" width="43.7109375" customWidth="1"/>
    <col min="3" max="3" width="47" customWidth="1"/>
    <col min="4" max="4" width="21.5703125" customWidth="1"/>
    <col min="5" max="5" width="19.140625" customWidth="1"/>
    <col min="6" max="6" width="19.7109375" customWidth="1"/>
    <col min="7" max="7" width="20" customWidth="1"/>
    <col min="8" max="8" width="22" customWidth="1"/>
    <col min="9" max="9" width="9.140625" customWidth="1"/>
    <col min="10" max="10" width="23" customWidth="1"/>
    <col min="12" max="12" width="11.5703125" customWidth="1"/>
    <col min="13" max="13" width="12.140625" customWidth="1"/>
    <col min="14" max="14" width="12.5703125" customWidth="1"/>
    <col min="15" max="15" width="12.140625" customWidth="1"/>
    <col min="16" max="16" width="12.7109375" customWidth="1"/>
    <col min="17" max="18" width="14.42578125" customWidth="1"/>
    <col min="19" max="19" width="13.7109375" customWidth="1"/>
    <col min="20" max="21" width="20.140625" customWidth="1"/>
    <col min="24" max="24" width="13.140625" bestFit="1" customWidth="1"/>
  </cols>
  <sheetData>
    <row r="1" spans="1:21" ht="38.25" customHeight="1">
      <c r="A1" s="108" t="s">
        <v>232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</row>
    <row r="2" spans="1:21" ht="48" customHeight="1">
      <c r="A2" s="29" t="s">
        <v>10</v>
      </c>
      <c r="B2" s="29" t="s">
        <v>192</v>
      </c>
      <c r="C2" s="29" t="s">
        <v>193</v>
      </c>
      <c r="D2" s="29" t="s">
        <v>195</v>
      </c>
      <c r="E2" s="29" t="s">
        <v>194</v>
      </c>
      <c r="F2" s="29" t="s">
        <v>196</v>
      </c>
      <c r="G2" s="30" t="s">
        <v>197</v>
      </c>
      <c r="H2" s="29" t="s">
        <v>218</v>
      </c>
      <c r="I2" s="29" t="s">
        <v>238</v>
      </c>
      <c r="J2" s="29" t="s">
        <v>199</v>
      </c>
      <c r="K2" s="29" t="s">
        <v>198</v>
      </c>
      <c r="L2" s="29" t="s">
        <v>200</v>
      </c>
      <c r="M2" s="29" t="s">
        <v>201</v>
      </c>
      <c r="N2" s="29" t="s">
        <v>202</v>
      </c>
      <c r="O2" s="29" t="s">
        <v>203</v>
      </c>
      <c r="P2" s="29" t="s">
        <v>204</v>
      </c>
      <c r="Q2" s="29" t="s">
        <v>205</v>
      </c>
      <c r="R2" s="29" t="s">
        <v>206</v>
      </c>
      <c r="S2" s="29" t="s">
        <v>207</v>
      </c>
      <c r="T2" s="29" t="s">
        <v>208</v>
      </c>
      <c r="U2" s="29" t="s">
        <v>209</v>
      </c>
    </row>
    <row r="3" spans="1:21" ht="6" customHeight="1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15.75" customHeight="1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</row>
    <row r="5" spans="1:21" ht="15" customHeight="1">
      <c r="A5" s="31">
        <v>1</v>
      </c>
      <c r="B5" s="32" t="s">
        <v>11</v>
      </c>
      <c r="C5" s="32" t="s">
        <v>12</v>
      </c>
      <c r="D5" s="33">
        <v>676771501.63</v>
      </c>
      <c r="E5" s="33">
        <v>3056904.42</v>
      </c>
      <c r="F5" s="33">
        <v>1290744.3500000001</v>
      </c>
      <c r="G5" s="34">
        <v>1766160.07</v>
      </c>
      <c r="H5" s="35">
        <v>645809213.99000001</v>
      </c>
      <c r="I5" s="36">
        <f t="shared" ref="I5:I20" si="0">(H5/$H$21)</f>
        <v>2.9701112607016245E-2</v>
      </c>
      <c r="J5" s="37">
        <v>679533340.46000004</v>
      </c>
      <c r="K5" s="36">
        <f t="shared" ref="K5:K20" si="1">(J5/$J$21)</f>
        <v>3.0465283285735091E-2</v>
      </c>
      <c r="L5" s="36">
        <f>((J5-H5)/H5)</f>
        <v>5.2219952486652239E-2</v>
      </c>
      <c r="M5" s="38">
        <f t="shared" ref="M5" si="2">(F5/J5)</f>
        <v>1.8994569848864956E-3</v>
      </c>
      <c r="N5" s="39">
        <f t="shared" ref="N5" si="3">G5/J5</f>
        <v>2.5990778742429684E-3</v>
      </c>
      <c r="O5" s="40">
        <f t="shared" ref="O5" si="4">J5/U5</f>
        <v>270.79592016687161</v>
      </c>
      <c r="P5" s="40">
        <f t="shared" ref="P5" si="5">G5/U5</f>
        <v>0.70381968454098121</v>
      </c>
      <c r="Q5" s="41">
        <v>270.79590000000002</v>
      </c>
      <c r="R5" s="41">
        <v>274.46859999999998</v>
      </c>
      <c r="S5" s="42">
        <v>1724</v>
      </c>
      <c r="T5" s="42">
        <v>2421834.54</v>
      </c>
      <c r="U5" s="42">
        <v>2509392.83</v>
      </c>
    </row>
    <row r="6" spans="1:21" ht="15.75">
      <c r="A6" s="31">
        <v>2</v>
      </c>
      <c r="B6" s="32" t="s">
        <v>13</v>
      </c>
      <c r="C6" s="32" t="s">
        <v>14</v>
      </c>
      <c r="D6" s="33">
        <v>496907076.14999998</v>
      </c>
      <c r="E6" s="33">
        <v>2064641.43</v>
      </c>
      <c r="F6" s="33">
        <v>6002808.2199999997</v>
      </c>
      <c r="G6" s="34">
        <v>-3938166.79</v>
      </c>
      <c r="H6" s="35">
        <v>504805520.36000001</v>
      </c>
      <c r="I6" s="36">
        <f t="shared" si="0"/>
        <v>2.3216277005747327E-2</v>
      </c>
      <c r="J6" s="37">
        <v>493784775.63</v>
      </c>
      <c r="K6" s="36">
        <f t="shared" si="1"/>
        <v>2.2137682106322786E-2</v>
      </c>
      <c r="L6" s="36">
        <f t="shared" ref="L6:L20" si="6">((J6-H6)/H6)</f>
        <v>-2.1831664444042963E-2</v>
      </c>
      <c r="M6" s="38">
        <f t="shared" ref="M6:M20" si="7">(F6/J6)</f>
        <v>1.2156730049729175E-2</v>
      </c>
      <c r="N6" s="39">
        <f t="shared" ref="N6:N20" si="8">G6/J6</f>
        <v>-7.9754722793456984E-3</v>
      </c>
      <c r="O6" s="40">
        <f t="shared" ref="O6:O20" si="9">J6/U6</f>
        <v>182.14724919275903</v>
      </c>
      <c r="P6" s="40">
        <f t="shared" ref="P6:P20" si="10">G6/U6</f>
        <v>-1.4527103366959226</v>
      </c>
      <c r="Q6" s="41">
        <v>180.94</v>
      </c>
      <c r="R6" s="41">
        <v>183.38</v>
      </c>
      <c r="S6" s="42">
        <v>281</v>
      </c>
      <c r="T6" s="42">
        <v>2714854.11</v>
      </c>
      <c r="U6" s="42">
        <v>2710909.87</v>
      </c>
    </row>
    <row r="7" spans="1:21" ht="15.75">
      <c r="A7" s="31">
        <v>3</v>
      </c>
      <c r="B7" s="32" t="s">
        <v>15</v>
      </c>
      <c r="C7" s="43" t="s">
        <v>16</v>
      </c>
      <c r="D7" s="41">
        <v>2317560410.9400001</v>
      </c>
      <c r="E7" s="33">
        <v>28840506.129999999</v>
      </c>
      <c r="F7" s="33">
        <v>5217294.8899999997</v>
      </c>
      <c r="G7" s="34">
        <v>63154786.579999998</v>
      </c>
      <c r="H7" s="44">
        <v>3246581995</v>
      </c>
      <c r="I7" s="36">
        <f t="shared" si="0"/>
        <v>0.14931204964644493</v>
      </c>
      <c r="J7" s="37">
        <v>3224715385</v>
      </c>
      <c r="K7" s="36">
        <f t="shared" si="1"/>
        <v>0.14457254982277973</v>
      </c>
      <c r="L7" s="36">
        <f t="shared" si="6"/>
        <v>-6.7352711355130887E-3</v>
      </c>
      <c r="M7" s="38">
        <f t="shared" si="7"/>
        <v>1.6179086421916891E-3</v>
      </c>
      <c r="N7" s="39">
        <f t="shared" si="8"/>
        <v>1.9584607954478438E-2</v>
      </c>
      <c r="O7" s="40">
        <f t="shared" si="9"/>
        <v>29.099938993925328</v>
      </c>
      <c r="P7" s="40">
        <f t="shared" si="10"/>
        <v>0.56991089669526729</v>
      </c>
      <c r="Q7" s="41">
        <v>28.9544</v>
      </c>
      <c r="R7" s="41">
        <v>28.9544</v>
      </c>
      <c r="S7" s="42">
        <v>807</v>
      </c>
      <c r="T7" s="42">
        <v>110834914</v>
      </c>
      <c r="U7" s="42">
        <v>110815194</v>
      </c>
    </row>
    <row r="8" spans="1:21" ht="15.75">
      <c r="A8" s="31">
        <v>4</v>
      </c>
      <c r="B8" s="45" t="s">
        <v>17</v>
      </c>
      <c r="C8" s="45" t="s">
        <v>18</v>
      </c>
      <c r="D8" s="33">
        <v>339087712.10000002</v>
      </c>
      <c r="E8" s="33">
        <v>811052.31</v>
      </c>
      <c r="F8" s="33">
        <v>742230.31</v>
      </c>
      <c r="G8" s="34">
        <v>68822</v>
      </c>
      <c r="H8" s="35">
        <v>402919713.13</v>
      </c>
      <c r="I8" s="36">
        <f t="shared" si="0"/>
        <v>1.8530494009715563E-2</v>
      </c>
      <c r="J8" s="37">
        <v>405644735.98000002</v>
      </c>
      <c r="K8" s="36">
        <f t="shared" si="1"/>
        <v>1.8186130185506865E-2</v>
      </c>
      <c r="L8" s="36">
        <f t="shared" si="6"/>
        <v>6.7631906834025E-3</v>
      </c>
      <c r="M8" s="38">
        <f t="shared" si="7"/>
        <v>1.8297545713414486E-3</v>
      </c>
      <c r="N8" s="39">
        <f t="shared" si="8"/>
        <v>1.6966077430718393E-4</v>
      </c>
      <c r="O8" s="40">
        <f t="shared" si="9"/>
        <v>180.20484444797174</v>
      </c>
      <c r="P8" s="40">
        <f t="shared" si="10"/>
        <v>3.0573693442948524E-2</v>
      </c>
      <c r="Q8" s="41">
        <v>180.47</v>
      </c>
      <c r="R8" s="41">
        <v>180.47</v>
      </c>
      <c r="S8" s="42">
        <v>1253</v>
      </c>
      <c r="T8" s="42">
        <v>2251020.15</v>
      </c>
      <c r="U8" s="42">
        <v>2251020.15</v>
      </c>
    </row>
    <row r="9" spans="1:21" ht="15.75">
      <c r="A9" s="31">
        <v>5</v>
      </c>
      <c r="B9" s="46" t="s">
        <v>210</v>
      </c>
      <c r="C9" s="47" t="s">
        <v>35</v>
      </c>
      <c r="D9" s="48">
        <v>103585170.2</v>
      </c>
      <c r="E9" s="48">
        <v>1989690.4</v>
      </c>
      <c r="F9" s="48">
        <v>111332.05</v>
      </c>
      <c r="G9" s="48">
        <v>1878358.35</v>
      </c>
      <c r="H9" s="42">
        <v>72486183.370000005</v>
      </c>
      <c r="I9" s="36">
        <f t="shared" si="0"/>
        <v>3.3336785045599169E-3</v>
      </c>
      <c r="J9" s="41">
        <v>122627085.97</v>
      </c>
      <c r="K9" s="36">
        <f t="shared" si="1"/>
        <v>5.4976977436475742E-3</v>
      </c>
      <c r="L9" s="36">
        <f t="shared" si="6"/>
        <v>0.69173048253982017</v>
      </c>
      <c r="M9" s="38">
        <f t="shared" si="7"/>
        <v>9.0789118178374341E-4</v>
      </c>
      <c r="N9" s="39">
        <f t="shared" si="8"/>
        <v>1.5317646465639162E-2</v>
      </c>
      <c r="O9" s="40">
        <f t="shared" si="9"/>
        <v>128.09612304314106</v>
      </c>
      <c r="P9" s="40">
        <f t="shared" si="10"/>
        <v>1.962131126393849</v>
      </c>
      <c r="Q9" s="48">
        <v>127.9221</v>
      </c>
      <c r="R9" s="48">
        <v>128.51669999999999</v>
      </c>
      <c r="S9" s="49">
        <v>48</v>
      </c>
      <c r="T9" s="49">
        <v>564450.92000000004</v>
      </c>
      <c r="U9" s="49">
        <v>957305.21</v>
      </c>
    </row>
    <row r="10" spans="1:21" ht="15.75">
      <c r="A10" s="31">
        <v>6</v>
      </c>
      <c r="B10" s="32" t="s">
        <v>19</v>
      </c>
      <c r="C10" s="32" t="s">
        <v>20</v>
      </c>
      <c r="D10" s="33">
        <v>674845093.59000003</v>
      </c>
      <c r="E10" s="33">
        <v>1620593.89</v>
      </c>
      <c r="F10" s="33">
        <v>1222191.6299999999</v>
      </c>
      <c r="G10" s="34">
        <v>-20212384.48</v>
      </c>
      <c r="H10" s="35">
        <v>618647276.27999997</v>
      </c>
      <c r="I10" s="36">
        <f t="shared" si="0"/>
        <v>2.8451920503414631E-2</v>
      </c>
      <c r="J10" s="37">
        <v>674845093.59000003</v>
      </c>
      <c r="K10" s="36">
        <f t="shared" si="1"/>
        <v>3.0255096734901066E-2</v>
      </c>
      <c r="L10" s="36">
        <f t="shared" si="6"/>
        <v>9.08398363085412E-2</v>
      </c>
      <c r="M10" s="38">
        <f t="shared" si="7"/>
        <v>1.8110698908667454E-3</v>
      </c>
      <c r="N10" s="39">
        <f t="shared" si="8"/>
        <v>-2.9951146821673373E-2</v>
      </c>
      <c r="O10" s="40">
        <f t="shared" si="9"/>
        <v>247.96673919331619</v>
      </c>
      <c r="P10" s="40">
        <f t="shared" si="10"/>
        <v>-7.4268882124706028</v>
      </c>
      <c r="Q10" s="41">
        <v>247.98</v>
      </c>
      <c r="R10" s="41">
        <v>251.31</v>
      </c>
      <c r="S10" s="42">
        <v>1553</v>
      </c>
      <c r="T10" s="42">
        <v>2543027.15</v>
      </c>
      <c r="U10" s="42">
        <v>2721514.57</v>
      </c>
    </row>
    <row r="11" spans="1:21" ht="15.75">
      <c r="A11" s="31">
        <v>7</v>
      </c>
      <c r="B11" s="32" t="s">
        <v>21</v>
      </c>
      <c r="C11" s="43" t="s">
        <v>22</v>
      </c>
      <c r="D11" s="33">
        <v>326586741.00999999</v>
      </c>
      <c r="E11" s="33">
        <v>6952720.7699999996</v>
      </c>
      <c r="F11" s="33">
        <v>1073210.68</v>
      </c>
      <c r="G11" s="34">
        <v>5879510.0899999999</v>
      </c>
      <c r="H11" s="35">
        <v>314174390.39999998</v>
      </c>
      <c r="I11" s="36">
        <f t="shared" si="0"/>
        <v>1.4449048953419814E-2</v>
      </c>
      <c r="J11" s="37">
        <v>311981154.79000002</v>
      </c>
      <c r="K11" s="36">
        <f t="shared" si="1"/>
        <v>1.3986943236742624E-2</v>
      </c>
      <c r="L11" s="36">
        <f t="shared" si="6"/>
        <v>-6.9809496795953836E-3</v>
      </c>
      <c r="M11" s="38">
        <f t="shared" si="7"/>
        <v>3.4399856001635638E-3</v>
      </c>
      <c r="N11" s="39">
        <f t="shared" si="8"/>
        <v>1.8845721928164541E-2</v>
      </c>
      <c r="O11" s="40">
        <f t="shared" si="9"/>
        <v>156.92924970209307</v>
      </c>
      <c r="P11" s="40">
        <f t="shared" si="10"/>
        <v>2.9574450022811445</v>
      </c>
      <c r="Q11" s="41">
        <v>156.93</v>
      </c>
      <c r="R11" s="41">
        <v>160.94</v>
      </c>
      <c r="S11" s="42">
        <v>2470</v>
      </c>
      <c r="T11" s="42">
        <v>1988037</v>
      </c>
      <c r="U11" s="42">
        <v>1988037</v>
      </c>
    </row>
    <row r="12" spans="1:21" ht="15.75">
      <c r="A12" s="31">
        <v>8</v>
      </c>
      <c r="B12" s="32" t="s">
        <v>23</v>
      </c>
      <c r="C12" s="32" t="s">
        <v>24</v>
      </c>
      <c r="D12" s="33">
        <v>30304205.949999999</v>
      </c>
      <c r="E12" s="33">
        <v>152783.1</v>
      </c>
      <c r="F12" s="33">
        <v>58668.83</v>
      </c>
      <c r="G12" s="34">
        <v>94114.27</v>
      </c>
      <c r="H12" s="35">
        <v>33049333.91</v>
      </c>
      <c r="I12" s="36">
        <f t="shared" si="0"/>
        <v>1.5199566168825056E-3</v>
      </c>
      <c r="J12" s="37">
        <v>33049333.91</v>
      </c>
      <c r="K12" s="36">
        <f t="shared" si="1"/>
        <v>1.481689359482235E-3</v>
      </c>
      <c r="L12" s="36">
        <f t="shared" si="6"/>
        <v>0</v>
      </c>
      <c r="M12" s="38">
        <f t="shared" si="7"/>
        <v>1.7751894836902631E-3</v>
      </c>
      <c r="N12" s="39">
        <f t="shared" si="8"/>
        <v>2.8476903727104497E-3</v>
      </c>
      <c r="O12" s="40">
        <f t="shared" si="9"/>
        <v>130.62977830039526</v>
      </c>
      <c r="P12" s="40">
        <f t="shared" si="10"/>
        <v>0.371993162055336</v>
      </c>
      <c r="Q12" s="41">
        <v>128.06</v>
      </c>
      <c r="R12" s="41">
        <v>132.82</v>
      </c>
      <c r="S12" s="42">
        <v>2</v>
      </c>
      <c r="T12" s="42">
        <v>253000</v>
      </c>
      <c r="U12" s="42">
        <v>253000</v>
      </c>
    </row>
    <row r="13" spans="1:21" ht="15.75">
      <c r="A13" s="31">
        <v>9</v>
      </c>
      <c r="B13" s="43" t="s">
        <v>214</v>
      </c>
      <c r="C13" s="43" t="s">
        <v>216</v>
      </c>
      <c r="D13" s="33">
        <v>532053428.75</v>
      </c>
      <c r="E13" s="33">
        <v>8427790.5899999999</v>
      </c>
      <c r="F13" s="33">
        <v>1028409.08</v>
      </c>
      <c r="G13" s="34">
        <v>7399381.5099999998</v>
      </c>
      <c r="H13" s="35">
        <v>504097381.72000003</v>
      </c>
      <c r="I13" s="36">
        <f t="shared" si="0"/>
        <v>2.3183709329361799E-2</v>
      </c>
      <c r="J13" s="37">
        <v>521941763.44999999</v>
      </c>
      <c r="K13" s="36">
        <f t="shared" si="1"/>
        <v>2.3400034605213584E-2</v>
      </c>
      <c r="L13" s="36">
        <f t="shared" si="6"/>
        <v>3.5398679654145851E-2</v>
      </c>
      <c r="M13" s="38">
        <f t="shared" si="7"/>
        <v>1.9703521580689098E-3</v>
      </c>
      <c r="N13" s="39">
        <f t="shared" si="8"/>
        <v>1.4176641970725977E-2</v>
      </c>
      <c r="O13" s="40">
        <f t="shared" si="9"/>
        <v>1.6872749778964637</v>
      </c>
      <c r="P13" s="40">
        <f t="shared" si="10"/>
        <v>2.3919893267802753E-2</v>
      </c>
      <c r="Q13" s="41">
        <v>1.66</v>
      </c>
      <c r="R13" s="41">
        <v>1.71</v>
      </c>
      <c r="S13" s="42">
        <v>320</v>
      </c>
      <c r="T13" s="42">
        <v>303295863.41000003</v>
      </c>
      <c r="U13" s="42">
        <v>309340072.18000001</v>
      </c>
    </row>
    <row r="14" spans="1:21" ht="15.75">
      <c r="A14" s="31">
        <v>10</v>
      </c>
      <c r="B14" s="32" t="s">
        <v>25</v>
      </c>
      <c r="C14" s="43" t="s">
        <v>26</v>
      </c>
      <c r="D14" s="33">
        <v>1269399919.05</v>
      </c>
      <c r="E14" s="34">
        <v>7752239.9500000002</v>
      </c>
      <c r="F14" s="33">
        <v>2009633.71</v>
      </c>
      <c r="G14" s="34">
        <v>5742606.2400000002</v>
      </c>
      <c r="H14" s="35">
        <v>1291091914.71</v>
      </c>
      <c r="I14" s="36">
        <f t="shared" si="0"/>
        <v>5.9378010585961857E-2</v>
      </c>
      <c r="J14" s="37">
        <v>1261941637.1199999</v>
      </c>
      <c r="K14" s="36">
        <f t="shared" si="1"/>
        <v>5.6576193066406516E-2</v>
      </c>
      <c r="L14" s="36">
        <f t="shared" si="6"/>
        <v>-2.2578003361246185E-2</v>
      </c>
      <c r="M14" s="38">
        <f t="shared" si="7"/>
        <v>1.5924933854994919E-3</v>
      </c>
      <c r="N14" s="39">
        <f t="shared" si="8"/>
        <v>4.5506115901728719E-3</v>
      </c>
      <c r="O14" s="40">
        <f t="shared" si="9"/>
        <v>2.5686979134016834</v>
      </c>
      <c r="P14" s="40">
        <f t="shared" si="10"/>
        <v>1.1689146496378573E-2</v>
      </c>
      <c r="Q14" s="41">
        <v>2.54</v>
      </c>
      <c r="R14" s="41">
        <v>2.59</v>
      </c>
      <c r="S14" s="42">
        <v>3674</v>
      </c>
      <c r="T14" s="42">
        <v>491307881</v>
      </c>
      <c r="U14" s="42">
        <v>491276779</v>
      </c>
    </row>
    <row r="15" spans="1:21" ht="15.75">
      <c r="A15" s="31">
        <v>11</v>
      </c>
      <c r="B15" s="32" t="s">
        <v>27</v>
      </c>
      <c r="C15" s="32" t="s">
        <v>28</v>
      </c>
      <c r="D15" s="33">
        <v>400242835.86000001</v>
      </c>
      <c r="E15" s="33">
        <v>11216254.210000001</v>
      </c>
      <c r="F15" s="33">
        <v>722447.82</v>
      </c>
      <c r="G15" s="34">
        <v>-1377455.98</v>
      </c>
      <c r="H15" s="35">
        <v>414917746.88</v>
      </c>
      <c r="I15" s="36">
        <f t="shared" si="0"/>
        <v>1.9082290025863841E-2</v>
      </c>
      <c r="J15" s="37">
        <v>425576238.39999998</v>
      </c>
      <c r="K15" s="36">
        <f t="shared" si="1"/>
        <v>1.9079712341644434E-2</v>
      </c>
      <c r="L15" s="36">
        <f t="shared" si="6"/>
        <v>2.5688203505748249E-2</v>
      </c>
      <c r="M15" s="38">
        <f t="shared" si="7"/>
        <v>1.6975755571225519E-3</v>
      </c>
      <c r="N15" s="39">
        <f t="shared" si="8"/>
        <v>-3.2366844191740948E-3</v>
      </c>
      <c r="O15" s="40">
        <f t="shared" si="9"/>
        <v>16.113022382798061</v>
      </c>
      <c r="P15" s="40">
        <f t="shared" si="10"/>
        <v>-5.2152768492205924E-2</v>
      </c>
      <c r="Q15" s="41">
        <v>16.12</v>
      </c>
      <c r="R15" s="41">
        <v>16.23</v>
      </c>
      <c r="S15" s="42">
        <v>240</v>
      </c>
      <c r="T15" s="42">
        <v>25602334.239999998</v>
      </c>
      <c r="U15" s="42">
        <v>26411943.600000001</v>
      </c>
    </row>
    <row r="16" spans="1:21" ht="15.75">
      <c r="A16" s="31">
        <v>12</v>
      </c>
      <c r="B16" s="45" t="s">
        <v>217</v>
      </c>
      <c r="C16" s="45" t="s">
        <v>29</v>
      </c>
      <c r="D16" s="33">
        <v>344538736.99000001</v>
      </c>
      <c r="E16" s="33">
        <v>1604379.54</v>
      </c>
      <c r="F16" s="33">
        <v>478184.57</v>
      </c>
      <c r="G16" s="34">
        <v>1126194.97</v>
      </c>
      <c r="H16" s="35">
        <v>356048099.72000003</v>
      </c>
      <c r="I16" s="36">
        <f t="shared" si="0"/>
        <v>1.6374843334863939E-2</v>
      </c>
      <c r="J16" s="37">
        <v>349450779.36000001</v>
      </c>
      <c r="K16" s="36">
        <f t="shared" si="1"/>
        <v>1.5666805958949093E-2</v>
      </c>
      <c r="L16" s="36">
        <f t="shared" si="6"/>
        <v>-1.8529295241817654E-2</v>
      </c>
      <c r="M16" s="38">
        <f t="shared" si="7"/>
        <v>1.3683889069464057E-3</v>
      </c>
      <c r="N16" s="39">
        <f t="shared" si="8"/>
        <v>3.2227570705739002E-3</v>
      </c>
      <c r="O16" s="40">
        <f t="shared" si="9"/>
        <v>1.9389351444092038</v>
      </c>
      <c r="P16" s="40">
        <f t="shared" si="10"/>
        <v>6.2487169460289883E-3</v>
      </c>
      <c r="Q16" s="41">
        <v>1.8</v>
      </c>
      <c r="R16" s="41">
        <v>1.82</v>
      </c>
      <c r="S16" s="42">
        <v>17</v>
      </c>
      <c r="T16" s="42">
        <v>180228194</v>
      </c>
      <c r="U16" s="42">
        <v>180228194</v>
      </c>
    </row>
    <row r="17" spans="1:21" ht="15.75">
      <c r="A17" s="31">
        <v>13</v>
      </c>
      <c r="B17" s="32" t="s">
        <v>30</v>
      </c>
      <c r="C17" s="32" t="s">
        <v>31</v>
      </c>
      <c r="D17" s="33">
        <v>1005043577.72</v>
      </c>
      <c r="E17" s="33">
        <v>7210104.5</v>
      </c>
      <c r="F17" s="33">
        <v>1666926.48</v>
      </c>
      <c r="G17" s="34">
        <v>5543178.0199999996</v>
      </c>
      <c r="H17" s="35">
        <v>1000419378.03</v>
      </c>
      <c r="I17" s="36">
        <f t="shared" si="0"/>
        <v>4.6009824507660682E-2</v>
      </c>
      <c r="J17" s="37">
        <v>998918693.29999995</v>
      </c>
      <c r="K17" s="36">
        <f t="shared" si="1"/>
        <v>4.4784176373450793E-2</v>
      </c>
      <c r="L17" s="36">
        <f t="shared" si="6"/>
        <v>-1.5000556396209846E-3</v>
      </c>
      <c r="M17" s="38">
        <f t="shared" si="7"/>
        <v>1.6687308898917369E-3</v>
      </c>
      <c r="N17" s="39">
        <f t="shared" si="8"/>
        <v>5.5491783837658612E-3</v>
      </c>
      <c r="O17" s="40">
        <f t="shared" si="9"/>
        <v>24.335158049496478</v>
      </c>
      <c r="P17" s="40">
        <f t="shared" si="10"/>
        <v>0.13504013301379164</v>
      </c>
      <c r="Q17" s="41">
        <v>23.98</v>
      </c>
      <c r="R17" s="41">
        <v>24.46</v>
      </c>
      <c r="S17" s="42">
        <v>8866</v>
      </c>
      <c r="T17" s="42">
        <v>40971264</v>
      </c>
      <c r="U17" s="42">
        <v>41048375</v>
      </c>
    </row>
    <row r="18" spans="1:21" ht="15.75">
      <c r="A18" s="31">
        <v>14</v>
      </c>
      <c r="B18" s="43" t="s">
        <v>32</v>
      </c>
      <c r="C18" s="32" t="s">
        <v>33</v>
      </c>
      <c r="D18" s="48">
        <v>500047726.63</v>
      </c>
      <c r="E18" s="48">
        <v>20441892.670000002</v>
      </c>
      <c r="F18" s="48">
        <v>658481.14</v>
      </c>
      <c r="G18" s="48">
        <v>25267106.890000001</v>
      </c>
      <c r="H18" s="44" t="s">
        <v>215</v>
      </c>
      <c r="I18" s="36">
        <f t="shared" si="0"/>
        <v>2.2506291384049259E-2</v>
      </c>
      <c r="J18" s="41">
        <v>496730926.04000002</v>
      </c>
      <c r="K18" s="36">
        <f t="shared" si="1"/>
        <v>2.2269765848942795E-2</v>
      </c>
      <c r="L18" s="36">
        <f t="shared" si="6"/>
        <v>1.5046045853786948E-2</v>
      </c>
      <c r="M18" s="38">
        <f t="shared" si="7"/>
        <v>1.3256294413748154E-3</v>
      </c>
      <c r="N18" s="39">
        <f t="shared" si="8"/>
        <v>5.0866788366555879E-2</v>
      </c>
      <c r="O18" s="40">
        <f t="shared" si="9"/>
        <v>4968.5573620093364</v>
      </c>
      <c r="P18" s="40">
        <f t="shared" si="10"/>
        <v>252.73455582042209</v>
      </c>
      <c r="Q18" s="48">
        <v>4847.87</v>
      </c>
      <c r="R18" s="48">
        <v>4908.04</v>
      </c>
      <c r="S18" s="49">
        <v>20</v>
      </c>
      <c r="T18" s="49">
        <v>99974.88</v>
      </c>
      <c r="U18" s="49">
        <v>99974.88</v>
      </c>
    </row>
    <row r="19" spans="1:21" ht="15.75">
      <c r="A19" s="31">
        <v>15</v>
      </c>
      <c r="B19" s="32" t="s">
        <v>34</v>
      </c>
      <c r="C19" s="32" t="s">
        <v>33</v>
      </c>
      <c r="D19" s="48">
        <v>9867966540.5799999</v>
      </c>
      <c r="E19" s="48">
        <v>72135930.340000004</v>
      </c>
      <c r="F19" s="48">
        <v>29529907.510000002</v>
      </c>
      <c r="G19" s="48">
        <v>85464110.790000007</v>
      </c>
      <c r="H19" s="42">
        <v>9796414324.6200008</v>
      </c>
      <c r="I19" s="36">
        <f t="shared" si="0"/>
        <v>0.45054235631427686</v>
      </c>
      <c r="J19" s="41">
        <v>9869848772.1200008</v>
      </c>
      <c r="K19" s="36">
        <f t="shared" si="1"/>
        <v>0.44249151723218522</v>
      </c>
      <c r="L19" s="36">
        <f t="shared" si="6"/>
        <v>7.4960536648033711E-3</v>
      </c>
      <c r="M19" s="38">
        <f t="shared" si="7"/>
        <v>2.9919311016613588E-3</v>
      </c>
      <c r="N19" s="39">
        <f t="shared" si="8"/>
        <v>8.6591104649359971E-3</v>
      </c>
      <c r="O19" s="40">
        <f t="shared" si="9"/>
        <v>16968.011253660065</v>
      </c>
      <c r="P19" s="40">
        <f t="shared" si="10"/>
        <v>146.92788381571964</v>
      </c>
      <c r="Q19" s="48">
        <v>16844.89</v>
      </c>
      <c r="R19" s="48">
        <v>17052.39</v>
      </c>
      <c r="S19" s="49">
        <v>17112</v>
      </c>
      <c r="T19" s="49">
        <v>580401.86</v>
      </c>
      <c r="U19" s="49">
        <v>581673.87</v>
      </c>
    </row>
    <row r="20" spans="1:21" ht="15.75">
      <c r="A20" s="31">
        <v>16</v>
      </c>
      <c r="B20" s="32" t="s">
        <v>36</v>
      </c>
      <c r="C20" s="32" t="s">
        <v>37</v>
      </c>
      <c r="D20" s="33">
        <v>1797843627</v>
      </c>
      <c r="E20" s="33">
        <v>160279703</v>
      </c>
      <c r="F20" s="33">
        <v>4137083</v>
      </c>
      <c r="G20" s="34">
        <v>33971415</v>
      </c>
      <c r="H20" s="50">
        <v>2542140959</v>
      </c>
      <c r="I20" s="36">
        <f t="shared" si="0"/>
        <v>0.11691442805481003</v>
      </c>
      <c r="J20" s="37">
        <v>2434580865</v>
      </c>
      <c r="K20" s="36">
        <f t="shared" si="1"/>
        <v>0.1091487220980895</v>
      </c>
      <c r="L20" s="36">
        <f t="shared" si="6"/>
        <v>-4.231083001876923E-2</v>
      </c>
      <c r="M20" s="38">
        <f t="shared" si="7"/>
        <v>1.6992998916057775E-3</v>
      </c>
      <c r="N20" s="39">
        <f t="shared" si="8"/>
        <v>1.3953701636441638E-2</v>
      </c>
      <c r="O20" s="40">
        <f t="shared" si="9"/>
        <v>1.2046635324360091</v>
      </c>
      <c r="P20" s="40">
        <f t="shared" si="10"/>
        <v>1.6809515503913904E-2</v>
      </c>
      <c r="Q20" s="41">
        <v>1.2</v>
      </c>
      <c r="R20" s="41">
        <v>1.22</v>
      </c>
      <c r="S20" s="42">
        <v>2876</v>
      </c>
      <c r="T20" s="42">
        <v>2023161432</v>
      </c>
      <c r="U20" s="42">
        <v>2020963364</v>
      </c>
    </row>
    <row r="21" spans="1:21" ht="16.5" customHeight="1">
      <c r="A21" s="104" t="s">
        <v>39</v>
      </c>
      <c r="B21" s="104"/>
      <c r="C21" s="104"/>
      <c r="D21" s="104"/>
      <c r="E21" s="104"/>
      <c r="F21" s="104"/>
      <c r="G21" s="104"/>
      <c r="H21" s="51">
        <f>SUM(H5:H20)</f>
        <v>21743603431.120003</v>
      </c>
      <c r="I21" s="62">
        <f>(H21/$H$168)</f>
        <v>1.1748228308875624E-2</v>
      </c>
      <c r="J21" s="51">
        <f>SUM(J5:J20)</f>
        <v>22305170580.120003</v>
      </c>
      <c r="K21" s="62">
        <f>(J21/$J$168)</f>
        <v>1.1205146272487724E-2</v>
      </c>
      <c r="L21" s="52">
        <f>((J21-H21)/H21)</f>
        <v>2.582677479282347E-2</v>
      </c>
      <c r="M21" s="38"/>
      <c r="N21" s="39"/>
      <c r="O21" s="40"/>
      <c r="P21" s="40"/>
      <c r="Q21" s="53"/>
      <c r="R21" s="53"/>
      <c r="S21" s="54">
        <f>SUM(S5:S20)</f>
        <v>41263</v>
      </c>
      <c r="T21" s="54"/>
      <c r="U21" s="54"/>
    </row>
    <row r="22" spans="1:21" ht="6.75" customHeight="1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</row>
    <row r="23" spans="1:21">
      <c r="A23" s="101" t="s">
        <v>1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</row>
    <row r="24" spans="1:21" ht="18" customHeight="1">
      <c r="A24" s="31">
        <v>17</v>
      </c>
      <c r="B24" s="32" t="s">
        <v>40</v>
      </c>
      <c r="C24" s="32" t="s">
        <v>12</v>
      </c>
      <c r="D24" s="41">
        <v>836651198.26999998</v>
      </c>
      <c r="E24" s="41">
        <v>6923963.2699999996</v>
      </c>
      <c r="F24" s="41">
        <v>1626697.38</v>
      </c>
      <c r="G24" s="34">
        <v>5297265.8899999997</v>
      </c>
      <c r="H24" s="41">
        <v>767871149.19000006</v>
      </c>
      <c r="I24" s="36">
        <f t="shared" ref="I24:I52" si="11">(H24/$H$53)</f>
        <v>9.0141043711664611E-4</v>
      </c>
      <c r="J24" s="41">
        <v>825270814.30999994</v>
      </c>
      <c r="K24" s="36">
        <f t="shared" ref="K24:K52" si="12">(J24/$J$53)</f>
        <v>9.2160629889503182E-4</v>
      </c>
      <c r="L24" s="36">
        <f t="shared" ref="L24:L52" si="13">((J24-H24)/H24)</f>
        <v>7.4751688718281376E-2</v>
      </c>
      <c r="M24" s="38">
        <f t="shared" ref="M24" si="14">(F24/J24)</f>
        <v>1.9711073647503989E-3</v>
      </c>
      <c r="N24" s="39">
        <f t="shared" ref="N24" si="15">G24/J24</f>
        <v>6.4188213107099715E-3</v>
      </c>
      <c r="O24" s="40">
        <f t="shared" ref="O24" si="16">J24/U24</f>
        <v>101.40554983215209</v>
      </c>
      <c r="P24" s="40">
        <f t="shared" ref="P24" si="17">G24/U24</f>
        <v>0.65090410428687984</v>
      </c>
      <c r="Q24" s="41">
        <v>100</v>
      </c>
      <c r="R24" s="41">
        <v>100</v>
      </c>
      <c r="S24" s="42">
        <v>730</v>
      </c>
      <c r="T24" s="42">
        <v>7562820</v>
      </c>
      <c r="U24" s="42">
        <v>8138320</v>
      </c>
    </row>
    <row r="25" spans="1:21" ht="15.75">
      <c r="A25" s="31">
        <v>18</v>
      </c>
      <c r="B25" s="32" t="s">
        <v>41</v>
      </c>
      <c r="C25" s="32" t="s">
        <v>42</v>
      </c>
      <c r="D25" s="41">
        <v>3709291102.9699998</v>
      </c>
      <c r="E25" s="41">
        <v>42351396.560000002</v>
      </c>
      <c r="F25" s="41">
        <v>6044091.04</v>
      </c>
      <c r="G25" s="34">
        <v>36775250.229999997</v>
      </c>
      <c r="H25" s="41">
        <v>3558053301.3499999</v>
      </c>
      <c r="I25" s="36">
        <f t="shared" si="11"/>
        <v>4.1768288664543012E-3</v>
      </c>
      <c r="J25" s="41">
        <v>3694234651.1700001</v>
      </c>
      <c r="K25" s="36">
        <f t="shared" si="12"/>
        <v>4.1254699246345422E-3</v>
      </c>
      <c r="L25" s="36">
        <f t="shared" si="13"/>
        <v>3.8274117413679587E-2</v>
      </c>
      <c r="M25" s="38">
        <f t="shared" ref="M25:M52" si="18">(F25/J25)</f>
        <v>1.6360874743259141E-3</v>
      </c>
      <c r="N25" s="39">
        <f t="shared" ref="N25:N52" si="19">G25/J25</f>
        <v>9.9547683627386578E-3</v>
      </c>
      <c r="O25" s="40">
        <f t="shared" ref="O25:O52" si="20">J25/U25</f>
        <v>102.93596803031753</v>
      </c>
      <c r="P25" s="40">
        <f t="shared" ref="P25:P52" si="21">G25/U25</f>
        <v>1.0247037179360827</v>
      </c>
      <c r="Q25" s="41">
        <v>1</v>
      </c>
      <c r="R25" s="41">
        <v>1</v>
      </c>
      <c r="S25" s="42">
        <v>1217</v>
      </c>
      <c r="T25" s="42">
        <v>34804862.159999996</v>
      </c>
      <c r="U25" s="42">
        <v>35888666.729999997</v>
      </c>
    </row>
    <row r="26" spans="1:21" ht="15.75">
      <c r="A26" s="31">
        <v>19</v>
      </c>
      <c r="B26" s="32" t="s">
        <v>43</v>
      </c>
      <c r="C26" s="32" t="s">
        <v>14</v>
      </c>
      <c r="D26" s="41">
        <v>351178400.30000001</v>
      </c>
      <c r="E26" s="41">
        <v>3340671.93</v>
      </c>
      <c r="F26" s="41">
        <v>525555.71</v>
      </c>
      <c r="G26" s="34">
        <v>2815116.22</v>
      </c>
      <c r="H26" s="41">
        <v>394583535.06</v>
      </c>
      <c r="I26" s="36">
        <f t="shared" si="11"/>
        <v>4.632049494145757E-4</v>
      </c>
      <c r="J26" s="41">
        <v>364156687.63</v>
      </c>
      <c r="K26" s="36">
        <f t="shared" si="12"/>
        <v>4.0666541368624272E-4</v>
      </c>
      <c r="L26" s="36">
        <f t="shared" si="13"/>
        <v>-7.7111295141530242E-2</v>
      </c>
      <c r="M26" s="38">
        <f t="shared" si="18"/>
        <v>1.4432131218581074E-3</v>
      </c>
      <c r="N26" s="39">
        <f t="shared" si="19"/>
        <v>7.7305080906828992E-3</v>
      </c>
      <c r="O26" s="40">
        <f t="shared" si="20"/>
        <v>103.55586791926082</v>
      </c>
      <c r="P26" s="40">
        <f t="shared" si="21"/>
        <v>0.8005394747875354</v>
      </c>
      <c r="Q26" s="41">
        <v>100</v>
      </c>
      <c r="R26" s="41">
        <v>100</v>
      </c>
      <c r="S26" s="42">
        <v>908</v>
      </c>
      <c r="T26" s="42">
        <v>3848922.2</v>
      </c>
      <c r="U26" s="42">
        <v>3516523.93</v>
      </c>
    </row>
    <row r="27" spans="1:21" ht="15.75">
      <c r="A27" s="31">
        <v>20</v>
      </c>
      <c r="B27" s="32" t="s">
        <v>44</v>
      </c>
      <c r="C27" s="43" t="s">
        <v>16</v>
      </c>
      <c r="D27" s="41">
        <v>30443186379.080002</v>
      </c>
      <c r="E27" s="41">
        <v>726088707.04999995</v>
      </c>
      <c r="F27" s="41">
        <v>190543868.66999999</v>
      </c>
      <c r="G27" s="34">
        <v>535544838.38</v>
      </c>
      <c r="H27" s="55">
        <v>78442219240</v>
      </c>
      <c r="I27" s="36">
        <f t="shared" si="11"/>
        <v>9.2083984673882083E-2</v>
      </c>
      <c r="J27" s="41">
        <v>80071215065</v>
      </c>
      <c r="K27" s="36">
        <f t="shared" si="12"/>
        <v>8.941808541452087E-2</v>
      </c>
      <c r="L27" s="36">
        <f t="shared" si="13"/>
        <v>2.0766824814274595E-2</v>
      </c>
      <c r="M27" s="38">
        <f t="shared" si="18"/>
        <v>2.3796799950559109E-3</v>
      </c>
      <c r="N27" s="39">
        <f t="shared" si="19"/>
        <v>6.6883565828900786E-3</v>
      </c>
      <c r="O27" s="40">
        <f t="shared" si="20"/>
        <v>1</v>
      </c>
      <c r="P27" s="40">
        <f t="shared" si="21"/>
        <v>6.6883565828900786E-3</v>
      </c>
      <c r="Q27" s="41">
        <v>1</v>
      </c>
      <c r="R27" s="41">
        <v>1</v>
      </c>
      <c r="S27" s="42">
        <v>34459</v>
      </c>
      <c r="T27" s="42">
        <v>78442219240</v>
      </c>
      <c r="U27" s="42">
        <v>80071215065</v>
      </c>
    </row>
    <row r="28" spans="1:21" ht="15.75">
      <c r="A28" s="31">
        <v>21</v>
      </c>
      <c r="B28" s="32" t="s">
        <v>45</v>
      </c>
      <c r="C28" s="32" t="s">
        <v>46</v>
      </c>
      <c r="D28" s="41">
        <v>11598109876.129999</v>
      </c>
      <c r="E28" s="41">
        <v>368373933.07999998</v>
      </c>
      <c r="F28" s="41">
        <v>54636068.68</v>
      </c>
      <c r="G28" s="34">
        <v>313737864.39999998</v>
      </c>
      <c r="H28" s="41">
        <v>40217404728.110001</v>
      </c>
      <c r="I28" s="36">
        <f t="shared" si="11"/>
        <v>4.7211551591571137E-2</v>
      </c>
      <c r="J28" s="41">
        <v>41417218702.470001</v>
      </c>
      <c r="K28" s="36">
        <f t="shared" si="12"/>
        <v>4.6251932065261882E-2</v>
      </c>
      <c r="L28" s="36">
        <f t="shared" si="13"/>
        <v>2.9833202377710595E-2</v>
      </c>
      <c r="M28" s="38">
        <f t="shared" si="18"/>
        <v>1.3191631498119323E-3</v>
      </c>
      <c r="N28" s="39">
        <f t="shared" si="19"/>
        <v>7.575058737135567E-3</v>
      </c>
      <c r="O28" s="40">
        <f t="shared" si="20"/>
        <v>1.0217819727402098</v>
      </c>
      <c r="P28" s="40">
        <f t="shared" si="21"/>
        <v>7.7400584600533411E-3</v>
      </c>
      <c r="Q28" s="41">
        <v>1</v>
      </c>
      <c r="R28" s="41">
        <v>1</v>
      </c>
      <c r="S28" s="42">
        <v>25904</v>
      </c>
      <c r="T28" s="42">
        <v>39617570423.129997</v>
      </c>
      <c r="U28" s="42">
        <v>40534301648.910004</v>
      </c>
    </row>
    <row r="29" spans="1:21" ht="15.75">
      <c r="A29" s="31">
        <v>22</v>
      </c>
      <c r="B29" s="43" t="s">
        <v>47</v>
      </c>
      <c r="C29" s="43" t="s">
        <v>31</v>
      </c>
      <c r="D29" s="41">
        <v>6738381114.7700005</v>
      </c>
      <c r="E29" s="41">
        <v>70519635.090000004</v>
      </c>
      <c r="F29" s="41">
        <v>10739712.050000001</v>
      </c>
      <c r="G29" s="34">
        <v>59779923.039999999</v>
      </c>
      <c r="H29" s="41">
        <v>6519318026.6800003</v>
      </c>
      <c r="I29" s="36">
        <f t="shared" si="11"/>
        <v>7.6530825755480548E-3</v>
      </c>
      <c r="J29" s="41">
        <v>6560071713.1499996</v>
      </c>
      <c r="K29" s="36">
        <f t="shared" si="12"/>
        <v>7.3258417809152661E-3</v>
      </c>
      <c r="L29" s="36">
        <f t="shared" si="13"/>
        <v>6.2512192691347133E-3</v>
      </c>
      <c r="M29" s="38">
        <f t="shared" si="18"/>
        <v>1.6371333301847444E-3</v>
      </c>
      <c r="N29" s="39">
        <f t="shared" si="19"/>
        <v>9.1126935274454517E-3</v>
      </c>
      <c r="O29" s="40">
        <f t="shared" si="20"/>
        <v>100.00000000228655</v>
      </c>
      <c r="P29" s="40">
        <f t="shared" si="21"/>
        <v>0.91126935276538179</v>
      </c>
      <c r="Q29" s="41">
        <v>100</v>
      </c>
      <c r="R29" s="41">
        <v>100</v>
      </c>
      <c r="S29" s="42">
        <v>2755</v>
      </c>
      <c r="T29" s="42">
        <v>65097009.57</v>
      </c>
      <c r="U29" s="42">
        <v>65600717.130000003</v>
      </c>
    </row>
    <row r="30" spans="1:21" ht="15.75">
      <c r="A30" s="31">
        <v>23</v>
      </c>
      <c r="B30" s="32" t="s">
        <v>48</v>
      </c>
      <c r="C30" s="32" t="s">
        <v>49</v>
      </c>
      <c r="D30" s="56">
        <v>12409175946.129999</v>
      </c>
      <c r="E30" s="41">
        <v>131102416.44</v>
      </c>
      <c r="F30" s="41">
        <v>20866537.949999999</v>
      </c>
      <c r="G30" s="34">
        <v>112307756.64</v>
      </c>
      <c r="H30" s="41">
        <v>12455410405.309999</v>
      </c>
      <c r="I30" s="36">
        <f t="shared" si="11"/>
        <v>1.4621511629602353E-2</v>
      </c>
      <c r="J30" s="41">
        <v>12648199330.35</v>
      </c>
      <c r="K30" s="36">
        <f t="shared" si="12"/>
        <v>1.4124648503747818E-2</v>
      </c>
      <c r="L30" s="36">
        <f t="shared" si="13"/>
        <v>1.5478327792218794E-2</v>
      </c>
      <c r="M30" s="38">
        <f t="shared" si="18"/>
        <v>1.6497635279932438E-3</v>
      </c>
      <c r="N30" s="39">
        <f t="shared" si="19"/>
        <v>8.8793474633588193E-3</v>
      </c>
      <c r="O30" s="40">
        <f t="shared" si="20"/>
        <v>99.999999994860929</v>
      </c>
      <c r="P30" s="40">
        <f t="shared" si="21"/>
        <v>0.88793474629025038</v>
      </c>
      <c r="Q30" s="41">
        <v>100</v>
      </c>
      <c r="R30" s="41">
        <v>100</v>
      </c>
      <c r="S30" s="42">
        <v>1681</v>
      </c>
      <c r="T30" s="42">
        <v>124554104.05</v>
      </c>
      <c r="U30" s="42">
        <v>126481993.31</v>
      </c>
    </row>
    <row r="31" spans="1:21" ht="15.75">
      <c r="A31" s="31">
        <v>24</v>
      </c>
      <c r="B31" s="32" t="s">
        <v>50</v>
      </c>
      <c r="C31" s="32" t="s">
        <v>51</v>
      </c>
      <c r="D31" s="41">
        <v>2774608499.6199999</v>
      </c>
      <c r="E31" s="41">
        <v>54958927.469999999</v>
      </c>
      <c r="F31" s="41">
        <v>7135529.0999999996</v>
      </c>
      <c r="G31" s="34">
        <v>47823398.369999997</v>
      </c>
      <c r="H31" s="41">
        <v>5655561200</v>
      </c>
      <c r="I31" s="36">
        <f t="shared" si="11"/>
        <v>6.6391111305713511E-3</v>
      </c>
      <c r="J31" s="41">
        <v>6764227400</v>
      </c>
      <c r="K31" s="36">
        <f t="shared" si="12"/>
        <v>7.5538289624485343E-3</v>
      </c>
      <c r="L31" s="36">
        <f t="shared" si="13"/>
        <v>0.19603115602391502</v>
      </c>
      <c r="M31" s="38">
        <f t="shared" si="18"/>
        <v>1.0548919600189667E-3</v>
      </c>
      <c r="N31" s="39">
        <f t="shared" si="19"/>
        <v>7.0700459257179906E-3</v>
      </c>
      <c r="O31" s="40">
        <f t="shared" si="20"/>
        <v>100</v>
      </c>
      <c r="P31" s="40">
        <f t="shared" si="21"/>
        <v>0.70700459257179904</v>
      </c>
      <c r="Q31" s="41">
        <v>100</v>
      </c>
      <c r="R31" s="41">
        <v>100</v>
      </c>
      <c r="S31" s="42">
        <v>5302</v>
      </c>
      <c r="T31" s="42">
        <v>56555612</v>
      </c>
      <c r="U31" s="42">
        <v>67642274</v>
      </c>
    </row>
    <row r="32" spans="1:21" ht="15.75">
      <c r="A32" s="31">
        <v>25</v>
      </c>
      <c r="B32" s="32" t="s">
        <v>52</v>
      </c>
      <c r="C32" s="43" t="s">
        <v>53</v>
      </c>
      <c r="D32" s="41">
        <v>39263942.280000001</v>
      </c>
      <c r="E32" s="33">
        <v>275433.01</v>
      </c>
      <c r="F32" s="33">
        <v>41437.480000000003</v>
      </c>
      <c r="G32" s="34">
        <v>233995.53</v>
      </c>
      <c r="H32" s="55">
        <v>39203248.560000002</v>
      </c>
      <c r="I32" s="36">
        <f t="shared" si="11"/>
        <v>4.6021025087528238E-5</v>
      </c>
      <c r="J32" s="41">
        <v>39203248.560000002</v>
      </c>
      <c r="K32" s="36">
        <f t="shared" si="12"/>
        <v>4.3779520835535015E-5</v>
      </c>
      <c r="L32" s="36">
        <f t="shared" si="13"/>
        <v>0</v>
      </c>
      <c r="M32" s="38">
        <f t="shared" si="18"/>
        <v>1.056990977076314E-3</v>
      </c>
      <c r="N32" s="39">
        <f t="shared" si="19"/>
        <v>5.9687790832403404E-3</v>
      </c>
      <c r="O32" s="40">
        <f t="shared" si="20"/>
        <v>101.87107246798604</v>
      </c>
      <c r="P32" s="40">
        <f t="shared" si="21"/>
        <v>0.608045926534176</v>
      </c>
      <c r="Q32" s="41">
        <v>10</v>
      </c>
      <c r="R32" s="41">
        <v>10</v>
      </c>
      <c r="S32" s="42">
        <v>86</v>
      </c>
      <c r="T32" s="42">
        <v>333972.73</v>
      </c>
      <c r="U32" s="42">
        <v>384832</v>
      </c>
    </row>
    <row r="33" spans="1:21" ht="15.75">
      <c r="A33" s="31">
        <v>26</v>
      </c>
      <c r="B33" s="32" t="s">
        <v>54</v>
      </c>
      <c r="C33" s="32" t="s">
        <v>55</v>
      </c>
      <c r="D33" s="41">
        <v>4986075900.8800001</v>
      </c>
      <c r="E33" s="41">
        <v>46376367.840000004</v>
      </c>
      <c r="F33" s="41">
        <v>6171017.0199999996</v>
      </c>
      <c r="G33" s="34">
        <v>40205350.920000002</v>
      </c>
      <c r="H33" s="41">
        <v>5101695506.9399996</v>
      </c>
      <c r="I33" s="36">
        <f t="shared" si="11"/>
        <v>5.9889235085832338E-3</v>
      </c>
      <c r="J33" s="41">
        <v>5036643663.7200003</v>
      </c>
      <c r="K33" s="36">
        <f t="shared" si="12"/>
        <v>5.6245809803113708E-3</v>
      </c>
      <c r="L33" s="36">
        <f t="shared" si="13"/>
        <v>-1.2751024268599961E-2</v>
      </c>
      <c r="M33" s="38">
        <f t="shared" si="18"/>
        <v>1.2252240642813643E-3</v>
      </c>
      <c r="N33" s="39">
        <f t="shared" si="19"/>
        <v>7.982568075960499E-3</v>
      </c>
      <c r="O33" s="40">
        <f t="shared" si="20"/>
        <v>1.0173235600883395</v>
      </c>
      <c r="P33" s="40">
        <f t="shared" si="21"/>
        <v>8.1208545736836616E-3</v>
      </c>
      <c r="Q33" s="41">
        <v>1</v>
      </c>
      <c r="R33" s="41">
        <v>1</v>
      </c>
      <c r="S33" s="42">
        <v>2005</v>
      </c>
      <c r="T33" s="42">
        <v>5055274223.6499996</v>
      </c>
      <c r="U33" s="42">
        <v>4950876851.1000004</v>
      </c>
    </row>
    <row r="34" spans="1:21" ht="15.75">
      <c r="A34" s="31">
        <v>27</v>
      </c>
      <c r="B34" s="32" t="s">
        <v>56</v>
      </c>
      <c r="C34" s="32" t="s">
        <v>57</v>
      </c>
      <c r="D34" s="41">
        <v>6111498490.4899998</v>
      </c>
      <c r="E34" s="41">
        <v>130055741.69</v>
      </c>
      <c r="F34" s="41">
        <v>21610371.670000002</v>
      </c>
      <c r="G34" s="34">
        <v>108445370.02</v>
      </c>
      <c r="H34" s="41">
        <v>14165434562.360001</v>
      </c>
      <c r="I34" s="36">
        <f t="shared" si="11"/>
        <v>1.6628923451901537E-2</v>
      </c>
      <c r="J34" s="41">
        <v>13861941739.1</v>
      </c>
      <c r="K34" s="36">
        <f t="shared" si="12"/>
        <v>1.5480073450012604E-2</v>
      </c>
      <c r="L34" s="36">
        <f t="shared" si="13"/>
        <v>-2.1424886185026255E-2</v>
      </c>
      <c r="M34" s="38">
        <f t="shared" si="18"/>
        <v>1.5589714685529386E-3</v>
      </c>
      <c r="N34" s="39">
        <f t="shared" si="19"/>
        <v>7.8232452610957886E-3</v>
      </c>
      <c r="O34" s="40">
        <f t="shared" si="20"/>
        <v>97.857511812292103</v>
      </c>
      <c r="P34" s="40">
        <f t="shared" si="21"/>
        <v>0.76556331554813939</v>
      </c>
      <c r="Q34" s="41">
        <v>100</v>
      </c>
      <c r="R34" s="41">
        <v>100</v>
      </c>
      <c r="S34" s="42">
        <v>5135</v>
      </c>
      <c r="T34" s="42">
        <v>141654345</v>
      </c>
      <c r="U34" s="42">
        <v>141654345</v>
      </c>
    </row>
    <row r="35" spans="1:21" ht="15.75">
      <c r="A35" s="31">
        <v>28</v>
      </c>
      <c r="B35" s="32" t="s">
        <v>58</v>
      </c>
      <c r="C35" s="32" t="s">
        <v>57</v>
      </c>
      <c r="D35" s="41">
        <v>419285190.69</v>
      </c>
      <c r="E35" s="41">
        <v>9932776.9499999993</v>
      </c>
      <c r="F35" s="41">
        <v>1207760.5</v>
      </c>
      <c r="G35" s="34">
        <v>8725016.4499999993</v>
      </c>
      <c r="H35" s="41">
        <v>1126234479.25</v>
      </c>
      <c r="I35" s="36">
        <f t="shared" si="11"/>
        <v>1.3220961815110239E-3</v>
      </c>
      <c r="J35" s="41">
        <v>1126234479.25</v>
      </c>
      <c r="K35" s="36">
        <f t="shared" si="12"/>
        <v>1.2577020441191544E-3</v>
      </c>
      <c r="L35" s="36">
        <f t="shared" si="13"/>
        <v>0</v>
      </c>
      <c r="M35" s="38">
        <f t="shared" si="18"/>
        <v>1.0723881414146468E-3</v>
      </c>
      <c r="N35" s="39">
        <f t="shared" si="19"/>
        <v>7.7470692033956385E-3</v>
      </c>
      <c r="O35" s="40">
        <f t="shared" si="20"/>
        <v>1000208.2408969805</v>
      </c>
      <c r="P35" s="40">
        <f t="shared" si="21"/>
        <v>7748.682460035523</v>
      </c>
      <c r="Q35" s="41">
        <v>1000000</v>
      </c>
      <c r="R35" s="41">
        <v>1000000</v>
      </c>
      <c r="S35" s="42">
        <v>18</v>
      </c>
      <c r="T35" s="42">
        <v>1126</v>
      </c>
      <c r="U35" s="42">
        <v>1126</v>
      </c>
    </row>
    <row r="36" spans="1:21" ht="15.75">
      <c r="A36" s="31">
        <v>29</v>
      </c>
      <c r="B36" s="43" t="s">
        <v>59</v>
      </c>
      <c r="C36" s="43" t="s">
        <v>60</v>
      </c>
      <c r="D36" s="41">
        <v>2811877045.2600002</v>
      </c>
      <c r="E36" s="41">
        <v>31364157.57</v>
      </c>
      <c r="F36" s="41">
        <v>4419261.95</v>
      </c>
      <c r="G36" s="34">
        <v>31763623.510000002</v>
      </c>
      <c r="H36" s="58">
        <v>2741943399.6799998</v>
      </c>
      <c r="I36" s="36">
        <f t="shared" si="11"/>
        <v>3.2187905497711063E-3</v>
      </c>
      <c r="J36" s="41">
        <v>2819650732.1700001</v>
      </c>
      <c r="K36" s="36">
        <f t="shared" si="12"/>
        <v>3.1487941053925778E-3</v>
      </c>
      <c r="L36" s="36">
        <f t="shared" si="13"/>
        <v>2.8340239444428039E-2</v>
      </c>
      <c r="M36" s="38">
        <f t="shared" si="18"/>
        <v>1.5673082838167482E-3</v>
      </c>
      <c r="N36" s="39">
        <f t="shared" si="19"/>
        <v>1.1265091504987482E-2</v>
      </c>
      <c r="O36" s="40">
        <f t="shared" si="20"/>
        <v>1.1459022667897956</v>
      </c>
      <c r="P36" s="40">
        <f t="shared" si="21"/>
        <v>1.2908693891159624E-2</v>
      </c>
      <c r="Q36" s="41">
        <v>1</v>
      </c>
      <c r="R36" s="41">
        <v>1</v>
      </c>
      <c r="S36" s="42">
        <v>427</v>
      </c>
      <c r="T36" s="42">
        <v>2633962730.6700001</v>
      </c>
      <c r="U36" s="42">
        <v>2460638061.2800002</v>
      </c>
    </row>
    <row r="37" spans="1:21" ht="15.75">
      <c r="A37" s="31">
        <v>30</v>
      </c>
      <c r="B37" s="32" t="s">
        <v>61</v>
      </c>
      <c r="C37" s="32" t="s">
        <v>62</v>
      </c>
      <c r="D37" s="41">
        <v>184474315.08000001</v>
      </c>
      <c r="E37" s="41">
        <v>2265614.9300000002</v>
      </c>
      <c r="F37" s="41">
        <v>661712.81999999995</v>
      </c>
      <c r="G37" s="34">
        <v>1603902.11</v>
      </c>
      <c r="H37" s="59">
        <v>291609520.91000003</v>
      </c>
      <c r="I37" s="36">
        <f t="shared" si="11"/>
        <v>3.4232288319223923E-4</v>
      </c>
      <c r="J37" s="41">
        <v>293443935.37</v>
      </c>
      <c r="K37" s="36">
        <f t="shared" si="12"/>
        <v>3.2769822283810004E-4</v>
      </c>
      <c r="L37" s="36">
        <f t="shared" si="13"/>
        <v>6.290653522818746E-3</v>
      </c>
      <c r="M37" s="38">
        <f t="shared" si="18"/>
        <v>2.2549889101155015E-3</v>
      </c>
      <c r="N37" s="39">
        <f t="shared" si="19"/>
        <v>5.4657872140981851E-3</v>
      </c>
      <c r="O37" s="40">
        <f t="shared" si="20"/>
        <v>1.0288139216360519</v>
      </c>
      <c r="P37" s="40">
        <f t="shared" si="21"/>
        <v>5.6232779785645448E-3</v>
      </c>
      <c r="Q37" s="41">
        <v>1</v>
      </c>
      <c r="R37" s="41">
        <v>1</v>
      </c>
      <c r="S37" s="42">
        <v>428</v>
      </c>
      <c r="T37" s="42">
        <v>292707520</v>
      </c>
      <c r="U37" s="42">
        <v>285225471</v>
      </c>
    </row>
    <row r="38" spans="1:21" ht="15.75">
      <c r="A38" s="31">
        <v>31</v>
      </c>
      <c r="B38" s="32" t="s">
        <v>63</v>
      </c>
      <c r="C38" s="32" t="s">
        <v>64</v>
      </c>
      <c r="D38" s="41">
        <v>236012541377.07001</v>
      </c>
      <c r="E38" s="33">
        <v>2000824856.5899999</v>
      </c>
      <c r="F38" s="33">
        <v>269646022.82999998</v>
      </c>
      <c r="G38" s="34">
        <v>1731178833.76</v>
      </c>
      <c r="H38" s="41">
        <v>202984195058.87</v>
      </c>
      <c r="I38" s="36">
        <f t="shared" si="11"/>
        <v>0.23828486353315564</v>
      </c>
      <c r="J38" s="41">
        <v>236012541377.07001</v>
      </c>
      <c r="K38" s="36">
        <f t="shared" si="12"/>
        <v>0.26356274931785922</v>
      </c>
      <c r="L38" s="36">
        <f t="shared" si="13"/>
        <v>0.16271388178089949</v>
      </c>
      <c r="M38" s="38">
        <f t="shared" si="18"/>
        <v>1.1425071788841712E-3</v>
      </c>
      <c r="N38" s="39">
        <f t="shared" si="19"/>
        <v>7.335113734461037E-3</v>
      </c>
      <c r="O38" s="40">
        <f t="shared" si="20"/>
        <v>121.55412707069735</v>
      </c>
      <c r="P38" s="40">
        <f t="shared" si="21"/>
        <v>0.89161334695669425</v>
      </c>
      <c r="Q38" s="41">
        <v>121.53</v>
      </c>
      <c r="R38" s="41">
        <v>121.53</v>
      </c>
      <c r="S38" s="42">
        <v>25334</v>
      </c>
      <c r="T38" s="42">
        <v>2029284567.8599999</v>
      </c>
      <c r="U38" s="42">
        <v>1941625077.3599999</v>
      </c>
    </row>
    <row r="39" spans="1:21" ht="15.75">
      <c r="A39" s="31">
        <v>32</v>
      </c>
      <c r="B39" s="32" t="s">
        <v>65</v>
      </c>
      <c r="C39" s="32" t="s">
        <v>66</v>
      </c>
      <c r="D39" s="41">
        <v>637666640.71000004</v>
      </c>
      <c r="E39" s="41">
        <v>5893170.4699999997</v>
      </c>
      <c r="F39" s="41">
        <v>1683993.33</v>
      </c>
      <c r="G39" s="34">
        <v>4209177.1399999997</v>
      </c>
      <c r="H39" s="41">
        <v>634146169.98000002</v>
      </c>
      <c r="I39" s="36">
        <f t="shared" si="11"/>
        <v>7.4442955290155994E-4</v>
      </c>
      <c r="J39" s="41">
        <v>634146169.98000002</v>
      </c>
      <c r="K39" s="36">
        <f t="shared" si="12"/>
        <v>7.0817129909333555E-4</v>
      </c>
      <c r="L39" s="36">
        <f t="shared" si="13"/>
        <v>0</v>
      </c>
      <c r="M39" s="38">
        <f t="shared" si="18"/>
        <v>2.6555286615593857E-3</v>
      </c>
      <c r="N39" s="39">
        <f t="shared" si="19"/>
        <v>6.6375503618239162E-3</v>
      </c>
      <c r="O39" s="40">
        <f t="shared" si="20"/>
        <v>9.8960755199887345</v>
      </c>
      <c r="P39" s="40">
        <f t="shared" si="21"/>
        <v>6.5685699648338022E-2</v>
      </c>
      <c r="Q39" s="41">
        <v>10</v>
      </c>
      <c r="R39" s="41">
        <v>10</v>
      </c>
      <c r="S39" s="42">
        <v>285</v>
      </c>
      <c r="T39" s="42">
        <v>64410598</v>
      </c>
      <c r="U39" s="42">
        <v>64080571</v>
      </c>
    </row>
    <row r="40" spans="1:21" ht="15.75">
      <c r="A40" s="31">
        <v>33</v>
      </c>
      <c r="B40" s="32" t="s">
        <v>67</v>
      </c>
      <c r="C40" s="32" t="s">
        <v>68</v>
      </c>
      <c r="D40" s="41">
        <v>1821956387.3299999</v>
      </c>
      <c r="E40" s="41">
        <v>26792975.100000001</v>
      </c>
      <c r="F40" s="41">
        <v>6237189.9500000002</v>
      </c>
      <c r="G40" s="34">
        <v>20555785.149999999</v>
      </c>
      <c r="H40" s="41">
        <v>2940280162.71</v>
      </c>
      <c r="I40" s="36">
        <f t="shared" si="11"/>
        <v>3.4516197535349991E-3</v>
      </c>
      <c r="J40" s="41">
        <v>3629171862.02</v>
      </c>
      <c r="K40" s="36">
        <f t="shared" si="12"/>
        <v>4.0528122281977023E-3</v>
      </c>
      <c r="L40" s="36">
        <f t="shared" si="13"/>
        <v>0.23429457779120669</v>
      </c>
      <c r="M40" s="38">
        <f t="shared" si="18"/>
        <v>1.7186262285546255E-3</v>
      </c>
      <c r="N40" s="39">
        <f t="shared" si="19"/>
        <v>5.6640429088300687E-3</v>
      </c>
      <c r="O40" s="40">
        <f t="shared" si="20"/>
        <v>102.9490969905339</v>
      </c>
      <c r="P40" s="40">
        <f t="shared" si="21"/>
        <v>0.58310810277969249</v>
      </c>
      <c r="Q40" s="41">
        <v>102.95</v>
      </c>
      <c r="R40" s="41">
        <v>102.95</v>
      </c>
      <c r="S40" s="42">
        <v>621</v>
      </c>
      <c r="T40" s="42">
        <v>34583593.130000003</v>
      </c>
      <c r="U40" s="42">
        <v>35252100</v>
      </c>
    </row>
    <row r="41" spans="1:21" ht="15.75">
      <c r="A41" s="31">
        <v>34</v>
      </c>
      <c r="B41" s="32" t="s">
        <v>211</v>
      </c>
      <c r="C41" s="43" t="s">
        <v>216</v>
      </c>
      <c r="D41" s="41">
        <v>21333139471.290001</v>
      </c>
      <c r="E41" s="41">
        <v>185590726.62</v>
      </c>
      <c r="F41" s="41">
        <v>24477335.789999999</v>
      </c>
      <c r="G41" s="34">
        <v>161113390.83000001</v>
      </c>
      <c r="H41" s="41">
        <v>20576158727.080002</v>
      </c>
      <c r="I41" s="36">
        <f t="shared" si="11"/>
        <v>2.415452677434729E-2</v>
      </c>
      <c r="J41" s="41">
        <v>20965367699.580002</v>
      </c>
      <c r="K41" s="36">
        <f t="shared" si="12"/>
        <v>2.3412696287749054E-2</v>
      </c>
      <c r="L41" s="36">
        <f t="shared" si="13"/>
        <v>1.8915531205917817E-2</v>
      </c>
      <c r="M41" s="38">
        <f t="shared" si="18"/>
        <v>1.1675128307189362E-3</v>
      </c>
      <c r="N41" s="39">
        <f t="shared" si="19"/>
        <v>7.6847395733120188E-3</v>
      </c>
      <c r="O41" s="40">
        <f t="shared" si="20"/>
        <v>99.99999999799671</v>
      </c>
      <c r="P41" s="40">
        <f t="shared" si="21"/>
        <v>0.76847395731580714</v>
      </c>
      <c r="Q41" s="41">
        <v>100</v>
      </c>
      <c r="R41" s="41">
        <v>100</v>
      </c>
      <c r="S41" s="42">
        <v>10575</v>
      </c>
      <c r="T41" s="42">
        <v>205761587.27000001</v>
      </c>
      <c r="U41" s="42">
        <v>209653677</v>
      </c>
    </row>
    <row r="42" spans="1:21" ht="15.75">
      <c r="A42" s="31">
        <v>35</v>
      </c>
      <c r="B42" s="32" t="s">
        <v>69</v>
      </c>
      <c r="C42" s="32" t="s">
        <v>26</v>
      </c>
      <c r="D42" s="41">
        <v>3026552839.9499998</v>
      </c>
      <c r="E42" s="41">
        <v>25661433.800000001</v>
      </c>
      <c r="F42" s="41">
        <v>3591807.02</v>
      </c>
      <c r="G42" s="34">
        <v>22069626.780000001</v>
      </c>
      <c r="H42" s="41">
        <v>3159061089.1399999</v>
      </c>
      <c r="I42" s="36">
        <f t="shared" si="11"/>
        <v>3.7084485336422897E-3</v>
      </c>
      <c r="J42" s="41">
        <v>3008949322.21</v>
      </c>
      <c r="K42" s="36">
        <f t="shared" si="12"/>
        <v>3.3601898919970942E-3</v>
      </c>
      <c r="L42" s="36">
        <f t="shared" si="13"/>
        <v>-4.7517842388690612E-2</v>
      </c>
      <c r="M42" s="38">
        <f t="shared" si="18"/>
        <v>1.1937080473531888E-3</v>
      </c>
      <c r="N42" s="39">
        <f t="shared" si="19"/>
        <v>7.3346621749649137E-3</v>
      </c>
      <c r="O42" s="40">
        <f t="shared" si="20"/>
        <v>0.99368862823243864</v>
      </c>
      <c r="P42" s="40">
        <f t="shared" si="21"/>
        <v>7.2883703951892396E-3</v>
      </c>
      <c r="Q42" s="41">
        <v>1</v>
      </c>
      <c r="R42" s="41">
        <v>1</v>
      </c>
      <c r="S42" s="42">
        <v>808</v>
      </c>
      <c r="T42" s="42">
        <v>3208868442</v>
      </c>
      <c r="U42" s="42">
        <v>3028060538</v>
      </c>
    </row>
    <row r="43" spans="1:21" ht="15.75">
      <c r="A43" s="31">
        <v>36</v>
      </c>
      <c r="B43" s="32" t="s">
        <v>70</v>
      </c>
      <c r="C43" s="32" t="s">
        <v>28</v>
      </c>
      <c r="D43" s="41">
        <v>3216806883.4499998</v>
      </c>
      <c r="E43" s="41">
        <v>28554519.309999999</v>
      </c>
      <c r="F43" s="41">
        <v>4855898.05</v>
      </c>
      <c r="G43" s="34">
        <v>23698621.260000002</v>
      </c>
      <c r="H43" s="59">
        <v>3270546834.79</v>
      </c>
      <c r="I43" s="36">
        <f t="shared" si="11"/>
        <v>3.8393225934694494E-3</v>
      </c>
      <c r="J43" s="41">
        <v>3209845967.3899999</v>
      </c>
      <c r="K43" s="36">
        <f t="shared" si="12"/>
        <v>3.5845375975191514E-3</v>
      </c>
      <c r="L43" s="36">
        <f t="shared" si="13"/>
        <v>-1.8559852668765607E-2</v>
      </c>
      <c r="M43" s="38">
        <f t="shared" si="18"/>
        <v>1.5128134182552202E-3</v>
      </c>
      <c r="N43" s="39">
        <f t="shared" si="19"/>
        <v>7.3831023359883837E-3</v>
      </c>
      <c r="O43" s="40">
        <f t="shared" si="20"/>
        <v>9.9992318822373356</v>
      </c>
      <c r="P43" s="40">
        <f t="shared" si="21"/>
        <v>7.3825352267836E-2</v>
      </c>
      <c r="Q43" s="41">
        <v>10</v>
      </c>
      <c r="R43" s="41">
        <v>10</v>
      </c>
      <c r="S43" s="42">
        <v>1874</v>
      </c>
      <c r="T43" s="42">
        <v>323073529.36000001</v>
      </c>
      <c r="U43" s="42">
        <v>321009254.02999997</v>
      </c>
    </row>
    <row r="44" spans="1:21" ht="16.5" customHeight="1">
      <c r="A44" s="31">
        <v>37</v>
      </c>
      <c r="B44" s="32" t="s">
        <v>71</v>
      </c>
      <c r="C44" s="32" t="s">
        <v>72</v>
      </c>
      <c r="D44" s="41">
        <v>3538637636</v>
      </c>
      <c r="E44" s="41">
        <v>55578392</v>
      </c>
      <c r="F44" s="41">
        <v>8512541</v>
      </c>
      <c r="G44" s="34">
        <v>47065851</v>
      </c>
      <c r="H44" s="41">
        <v>4883262605</v>
      </c>
      <c r="I44" s="36">
        <f t="shared" si="11"/>
        <v>5.7325032773685395E-3</v>
      </c>
      <c r="J44" s="41">
        <v>5417927605</v>
      </c>
      <c r="K44" s="36">
        <f t="shared" si="12"/>
        <v>6.0503729456372838E-3</v>
      </c>
      <c r="L44" s="36">
        <f t="shared" si="13"/>
        <v>0.10948929911173598</v>
      </c>
      <c r="M44" s="38">
        <f t="shared" si="18"/>
        <v>1.5711802778878216E-3</v>
      </c>
      <c r="N44" s="39">
        <f t="shared" si="19"/>
        <v>8.6870579364265975E-3</v>
      </c>
      <c r="O44" s="40">
        <f t="shared" si="20"/>
        <v>615.63063724871927</v>
      </c>
      <c r="P44" s="40">
        <f t="shared" si="21"/>
        <v>5.3480190132188508</v>
      </c>
      <c r="Q44" s="41">
        <v>100</v>
      </c>
      <c r="R44" s="41">
        <v>100</v>
      </c>
      <c r="S44" s="42">
        <v>1781</v>
      </c>
      <c r="T44" s="42">
        <v>48832626</v>
      </c>
      <c r="U44" s="42">
        <v>8800614</v>
      </c>
    </row>
    <row r="45" spans="1:21" ht="15.75">
      <c r="A45" s="31">
        <v>38</v>
      </c>
      <c r="B45" s="32" t="s">
        <v>73</v>
      </c>
      <c r="C45" s="43" t="s">
        <v>74</v>
      </c>
      <c r="D45" s="41">
        <v>168884167.41999999</v>
      </c>
      <c r="E45" s="41">
        <v>568410.74</v>
      </c>
      <c r="F45" s="41">
        <v>63062.94</v>
      </c>
      <c r="G45" s="34">
        <v>505347.8</v>
      </c>
      <c r="H45" s="41">
        <v>162642550.02000001</v>
      </c>
      <c r="I45" s="36">
        <f t="shared" si="11"/>
        <v>1.9092746518988951E-4</v>
      </c>
      <c r="J45" s="41">
        <v>158434146.56</v>
      </c>
      <c r="K45" s="36">
        <f t="shared" si="12"/>
        <v>1.7692847595953735E-4</v>
      </c>
      <c r="L45" s="36">
        <f t="shared" si="13"/>
        <v>-2.5875168948608494E-2</v>
      </c>
      <c r="M45" s="38">
        <f t="shared" si="18"/>
        <v>3.9803881530120575E-4</v>
      </c>
      <c r="N45" s="39">
        <f t="shared" si="19"/>
        <v>3.1896394241541968E-3</v>
      </c>
      <c r="O45" s="40">
        <f t="shared" si="20"/>
        <v>0.98726733622365836</v>
      </c>
      <c r="P45" s="40">
        <f t="shared" si="21"/>
        <v>3.1490268177986774E-3</v>
      </c>
      <c r="Q45" s="41">
        <v>1</v>
      </c>
      <c r="R45" s="41">
        <v>1</v>
      </c>
      <c r="S45" s="42">
        <v>60</v>
      </c>
      <c r="T45" s="42">
        <v>162528670</v>
      </c>
      <c r="U45" s="42">
        <v>160477452</v>
      </c>
    </row>
    <row r="46" spans="1:21" ht="16.5" customHeight="1">
      <c r="A46" s="31">
        <v>39</v>
      </c>
      <c r="B46" s="43" t="s">
        <v>75</v>
      </c>
      <c r="C46" s="43" t="s">
        <v>29</v>
      </c>
      <c r="D46" s="41">
        <v>574609326.10000002</v>
      </c>
      <c r="E46" s="41">
        <v>11416746.369999999</v>
      </c>
      <c r="F46" s="41">
        <v>720041.73</v>
      </c>
      <c r="G46" s="34">
        <v>10696704.640000001</v>
      </c>
      <c r="H46" s="41">
        <v>729392385.75999999</v>
      </c>
      <c r="I46" s="36">
        <f t="shared" si="11"/>
        <v>8.5623989125132422E-4</v>
      </c>
      <c r="J46" s="41">
        <v>597009409.24000001</v>
      </c>
      <c r="K46" s="36">
        <f t="shared" si="12"/>
        <v>6.6669949126361451E-4</v>
      </c>
      <c r="L46" s="36">
        <f t="shared" si="13"/>
        <v>-0.18149761240249554</v>
      </c>
      <c r="M46" s="38">
        <f t="shared" si="18"/>
        <v>1.2060810413635215E-3</v>
      </c>
      <c r="N46" s="39">
        <f t="shared" si="19"/>
        <v>1.791714581788088E-2</v>
      </c>
      <c r="O46" s="40">
        <f t="shared" si="20"/>
        <v>7.6914076900146373</v>
      </c>
      <c r="P46" s="40">
        <f t="shared" si="21"/>
        <v>0.13780807312676258</v>
      </c>
      <c r="Q46" s="41">
        <v>10</v>
      </c>
      <c r="R46" s="41">
        <v>10</v>
      </c>
      <c r="S46" s="42">
        <v>614</v>
      </c>
      <c r="T46" s="42">
        <v>71979504.799999997</v>
      </c>
      <c r="U46" s="42">
        <v>77620304.799999997</v>
      </c>
    </row>
    <row r="47" spans="1:21" ht="15.75">
      <c r="A47" s="31">
        <v>40</v>
      </c>
      <c r="B47" s="32" t="s">
        <v>76</v>
      </c>
      <c r="C47" s="32" t="s">
        <v>33</v>
      </c>
      <c r="D47" s="41">
        <v>369640726336.90002</v>
      </c>
      <c r="E47" s="41">
        <v>3433622898.73</v>
      </c>
      <c r="F47" s="41">
        <v>580503750.12</v>
      </c>
      <c r="G47" s="34">
        <v>2853119148.6100001</v>
      </c>
      <c r="H47" s="56">
        <v>367421402244</v>
      </c>
      <c r="I47" s="36">
        <f t="shared" si="11"/>
        <v>0.43131909194940266</v>
      </c>
      <c r="J47" s="41">
        <v>369951382704.98999</v>
      </c>
      <c r="K47" s="36">
        <f t="shared" si="12"/>
        <v>0.4131365349093431</v>
      </c>
      <c r="L47" s="36">
        <f t="shared" si="13"/>
        <v>6.8857732443954409E-3</v>
      </c>
      <c r="M47" s="38">
        <f t="shared" si="18"/>
        <v>1.5691352357585608E-3</v>
      </c>
      <c r="N47" s="39">
        <f t="shared" si="19"/>
        <v>7.7121461953966004E-3</v>
      </c>
      <c r="O47" s="40">
        <f t="shared" si="20"/>
        <v>1</v>
      </c>
      <c r="P47" s="40">
        <f t="shared" si="21"/>
        <v>7.7121461953966004E-3</v>
      </c>
      <c r="Q47" s="41">
        <v>100</v>
      </c>
      <c r="R47" s="41">
        <v>100</v>
      </c>
      <c r="S47" s="60">
        <v>107471</v>
      </c>
      <c r="T47" s="42">
        <v>367421402243.97998</v>
      </c>
      <c r="U47" s="42">
        <v>369951382704.98999</v>
      </c>
    </row>
    <row r="48" spans="1:21" ht="15.75">
      <c r="A48" s="31">
        <v>41</v>
      </c>
      <c r="B48" s="32" t="s">
        <v>77</v>
      </c>
      <c r="C48" s="32" t="s">
        <v>78</v>
      </c>
      <c r="D48" s="41">
        <v>2572069747.1700001</v>
      </c>
      <c r="E48" s="41">
        <v>29217191.52</v>
      </c>
      <c r="F48" s="41">
        <v>3569603.43</v>
      </c>
      <c r="G48" s="34">
        <v>25647588.09</v>
      </c>
      <c r="H48" s="41">
        <v>2310808690.9200001</v>
      </c>
      <c r="I48" s="36">
        <f t="shared" si="11"/>
        <v>2.7126778683798851E-3</v>
      </c>
      <c r="J48" s="41">
        <v>2550614704.6900001</v>
      </c>
      <c r="K48" s="36">
        <f t="shared" si="12"/>
        <v>2.8483529735168927E-3</v>
      </c>
      <c r="L48" s="36">
        <f t="shared" si="13"/>
        <v>0.1037757970671844</v>
      </c>
      <c r="M48" s="38">
        <f t="shared" si="18"/>
        <v>1.3995071162399839E-3</v>
      </c>
      <c r="N48" s="39">
        <f t="shared" si="19"/>
        <v>1.0055453708017883E-2</v>
      </c>
      <c r="O48" s="40">
        <f t="shared" si="20"/>
        <v>1.0218751799819292</v>
      </c>
      <c r="P48" s="40">
        <f t="shared" si="21"/>
        <v>1.0275418567680734E-2</v>
      </c>
      <c r="Q48" s="41">
        <v>1</v>
      </c>
      <c r="R48" s="41">
        <v>1</v>
      </c>
      <c r="S48" s="42">
        <v>296</v>
      </c>
      <c r="T48" s="42">
        <v>2276859379.29</v>
      </c>
      <c r="U48" s="42">
        <v>2496013950.29</v>
      </c>
    </row>
    <row r="49" spans="1:24" ht="15.75">
      <c r="A49" s="31">
        <v>42</v>
      </c>
      <c r="B49" s="32" t="s">
        <v>79</v>
      </c>
      <c r="C49" s="32" t="s">
        <v>37</v>
      </c>
      <c r="D49" s="41">
        <v>14970011985</v>
      </c>
      <c r="E49" s="41">
        <v>383362147</v>
      </c>
      <c r="F49" s="41">
        <v>53925042</v>
      </c>
      <c r="G49" s="34">
        <v>329437105</v>
      </c>
      <c r="H49" s="61">
        <v>42786675591.315208</v>
      </c>
      <c r="I49" s="36">
        <f t="shared" si="11"/>
        <v>5.0227640390213858E-2</v>
      </c>
      <c r="J49" s="41">
        <v>43920968213</v>
      </c>
      <c r="K49" s="36">
        <f t="shared" si="12"/>
        <v>4.9047949178370444E-2</v>
      </c>
      <c r="L49" s="36">
        <f t="shared" si="13"/>
        <v>2.6510417227063768E-2</v>
      </c>
      <c r="M49" s="38">
        <f t="shared" si="18"/>
        <v>1.2277744365398332E-3</v>
      </c>
      <c r="N49" s="39">
        <f t="shared" si="19"/>
        <v>7.5006794796133652E-3</v>
      </c>
      <c r="O49" s="40">
        <f t="shared" si="20"/>
        <v>1.0612115976023446</v>
      </c>
      <c r="P49" s="40">
        <f t="shared" si="21"/>
        <v>7.9598080536636209E-3</v>
      </c>
      <c r="Q49" s="41">
        <v>1</v>
      </c>
      <c r="R49" s="41">
        <v>1</v>
      </c>
      <c r="S49" s="42">
        <v>5058</v>
      </c>
      <c r="T49" s="42">
        <v>42269876691.339996</v>
      </c>
      <c r="U49" s="42">
        <v>41387568994</v>
      </c>
      <c r="X49" s="23"/>
    </row>
    <row r="50" spans="1:24" ht="15.75">
      <c r="A50" s="31">
        <v>43</v>
      </c>
      <c r="B50" s="45" t="s">
        <v>80</v>
      </c>
      <c r="C50" s="32" t="s">
        <v>81</v>
      </c>
      <c r="D50" s="41">
        <v>997622495.47000003</v>
      </c>
      <c r="E50" s="41">
        <v>13687265</v>
      </c>
      <c r="F50" s="41">
        <v>2246032.02</v>
      </c>
      <c r="G50" s="34">
        <v>11441232.98</v>
      </c>
      <c r="H50" s="41">
        <v>1958460119.0699999</v>
      </c>
      <c r="I50" s="36">
        <f t="shared" si="11"/>
        <v>2.2990528995244061E-3</v>
      </c>
      <c r="J50" s="41">
        <v>2000628713.1199999</v>
      </c>
      <c r="K50" s="36">
        <f t="shared" si="12"/>
        <v>2.2341660359129849E-3</v>
      </c>
      <c r="L50" s="36">
        <f t="shared" si="13"/>
        <v>2.1531505104134697E-2</v>
      </c>
      <c r="M50" s="38">
        <f t="shared" si="18"/>
        <v>1.122663093491891E-3</v>
      </c>
      <c r="N50" s="39">
        <f t="shared" si="19"/>
        <v>5.7188187418130603E-3</v>
      </c>
      <c r="O50" s="40">
        <f t="shared" si="20"/>
        <v>1.0154780383664432</v>
      </c>
      <c r="P50" s="40">
        <f t="shared" si="21"/>
        <v>5.8073348377095779E-3</v>
      </c>
      <c r="Q50" s="41">
        <v>1</v>
      </c>
      <c r="R50" s="41">
        <v>1.01</v>
      </c>
      <c r="S50" s="42">
        <v>59</v>
      </c>
      <c r="T50" s="42">
        <v>1939317150.99</v>
      </c>
      <c r="U50" s="42">
        <v>1970134889.71</v>
      </c>
      <c r="X50" s="23"/>
    </row>
    <row r="51" spans="1:24" ht="15.75">
      <c r="A51" s="31">
        <v>44</v>
      </c>
      <c r="B51" s="32" t="s">
        <v>82</v>
      </c>
      <c r="C51" s="32" t="s">
        <v>83</v>
      </c>
      <c r="D51" s="41">
        <v>1031559856.6</v>
      </c>
      <c r="E51" s="33">
        <v>9365755.2699999996</v>
      </c>
      <c r="F51" s="33">
        <v>1669677.46</v>
      </c>
      <c r="G51" s="34">
        <v>7696077.8099999996</v>
      </c>
      <c r="H51" s="41">
        <v>1064093195.61</v>
      </c>
      <c r="I51" s="36">
        <f t="shared" si="11"/>
        <v>1.249148003020388E-3</v>
      </c>
      <c r="J51" s="41">
        <v>1027751014.51</v>
      </c>
      <c r="K51" s="36">
        <f t="shared" si="12"/>
        <v>1.1477224109277435E-3</v>
      </c>
      <c r="L51" s="36">
        <f t="shared" si="13"/>
        <v>-3.4153193770933357E-2</v>
      </c>
      <c r="M51" s="38">
        <f t="shared" si="18"/>
        <v>1.6245933464692816E-3</v>
      </c>
      <c r="N51" s="39">
        <f t="shared" si="19"/>
        <v>7.4882707011184532E-3</v>
      </c>
      <c r="O51" s="40">
        <f t="shared" si="20"/>
        <v>1.0226711034060643</v>
      </c>
      <c r="P51" s="40">
        <f t="shared" si="21"/>
        <v>7.6580380605161119E-3</v>
      </c>
      <c r="Q51" s="41">
        <v>100</v>
      </c>
      <c r="R51" s="41">
        <v>100</v>
      </c>
      <c r="S51" s="42">
        <v>191</v>
      </c>
      <c r="T51" s="42">
        <v>1047787671.62</v>
      </c>
      <c r="U51" s="42">
        <v>1004967297</v>
      </c>
    </row>
    <row r="52" spans="1:24" ht="15.75">
      <c r="A52" s="31">
        <v>45</v>
      </c>
      <c r="B52" s="32" t="s">
        <v>84</v>
      </c>
      <c r="C52" s="32" t="s">
        <v>85</v>
      </c>
      <c r="D52" s="41">
        <v>26811536864.59</v>
      </c>
      <c r="E52" s="41">
        <v>217896650.72</v>
      </c>
      <c r="F52" s="41">
        <v>30177905.960000001</v>
      </c>
      <c r="G52" s="34">
        <v>187718744.75999999</v>
      </c>
      <c r="H52" s="41">
        <v>25497511191.939999</v>
      </c>
      <c r="I52" s="36">
        <f t="shared" si="11"/>
        <v>2.9931744060390762E-2</v>
      </c>
      <c r="J52" s="41">
        <v>26863572624.48</v>
      </c>
      <c r="K52" s="36">
        <f t="shared" si="12"/>
        <v>2.9999410269033328E-2</v>
      </c>
      <c r="L52" s="36">
        <f t="shared" si="13"/>
        <v>5.357626563065597E-2</v>
      </c>
      <c r="M52" s="38">
        <f t="shared" si="18"/>
        <v>1.1233764913494695E-3</v>
      </c>
      <c r="N52" s="39">
        <f t="shared" si="19"/>
        <v>6.9878547944489449E-3</v>
      </c>
      <c r="O52" s="40">
        <f t="shared" si="20"/>
        <v>1.0207563287839416</v>
      </c>
      <c r="P52" s="40">
        <f t="shared" si="21"/>
        <v>7.1328970060569692E-3</v>
      </c>
      <c r="Q52" s="41">
        <v>1</v>
      </c>
      <c r="R52" s="41">
        <v>1</v>
      </c>
      <c r="S52" s="42">
        <v>3035</v>
      </c>
      <c r="T52" s="42">
        <v>25130386425.509998</v>
      </c>
      <c r="U52" s="42">
        <v>26317321643.73</v>
      </c>
      <c r="X52" s="24"/>
    </row>
    <row r="53" spans="1:24">
      <c r="A53" s="104" t="s">
        <v>39</v>
      </c>
      <c r="B53" s="104"/>
      <c r="C53" s="104"/>
      <c r="D53" s="104"/>
      <c r="E53" s="104"/>
      <c r="F53" s="104"/>
      <c r="G53" s="104"/>
      <c r="H53" s="53">
        <f>SUM(H24:H52)</f>
        <v>851855178919.6051</v>
      </c>
      <c r="I53" s="62">
        <f>(H53/$H$168)</f>
        <v>0.46026359705044151</v>
      </c>
      <c r="J53" s="53">
        <f>SUM(J24:J52)</f>
        <v>895470023696.08997</v>
      </c>
      <c r="K53" s="62">
        <f>(J53/$J$168)</f>
        <v>0.4498451407085699</v>
      </c>
      <c r="L53" s="52">
        <f>((J53-H53)/H53)</f>
        <v>5.1199835201801443E-2</v>
      </c>
      <c r="M53" s="38"/>
      <c r="N53" s="63"/>
      <c r="O53" s="64"/>
      <c r="P53" s="64"/>
      <c r="Q53" s="53"/>
      <c r="R53" s="53"/>
      <c r="S53" s="54">
        <f>SUM(S24:S52)</f>
        <v>239117</v>
      </c>
      <c r="T53" s="54"/>
      <c r="U53" s="54"/>
    </row>
    <row r="54" spans="1:24" ht="7.5" customHeight="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</row>
    <row r="55" spans="1:24">
      <c r="A55" s="101" t="s">
        <v>86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</row>
    <row r="56" spans="1:24" ht="15.75">
      <c r="A56" s="31">
        <v>46</v>
      </c>
      <c r="B56" s="32" t="s">
        <v>87</v>
      </c>
      <c r="C56" s="32" t="s">
        <v>14</v>
      </c>
      <c r="D56" s="48">
        <v>457550317.75</v>
      </c>
      <c r="E56" s="48">
        <v>5461018.2000000002</v>
      </c>
      <c r="F56" s="48">
        <v>649143.69999999995</v>
      </c>
      <c r="G56" s="65">
        <v>4811874.5</v>
      </c>
      <c r="H56" s="42">
        <v>462659483.47000003</v>
      </c>
      <c r="I56" s="66">
        <f t="shared" ref="I56:I84" si="22">(H56/$H$85)</f>
        <v>2.0673793598332889E-3</v>
      </c>
      <c r="J56" s="48">
        <v>463292034.08999997</v>
      </c>
      <c r="K56" s="66">
        <f t="shared" ref="K56:K84" si="23">(J56/$J$85)</f>
        <v>1.5403418994701604E-3</v>
      </c>
      <c r="L56" s="66">
        <f>((J56-H56)/H56)</f>
        <v>1.3672055639187201E-3</v>
      </c>
      <c r="M56" s="38">
        <f t="shared" ref="M56" si="24">(F56/J56)</f>
        <v>1.4011544603287872E-3</v>
      </c>
      <c r="N56" s="67">
        <f t="shared" ref="N56" si="25">G56/J56</f>
        <v>1.038626642793784E-2</v>
      </c>
      <c r="O56" s="68">
        <f t="shared" ref="O56" si="26">J56/U56</f>
        <v>1.2934108670579332</v>
      </c>
      <c r="P56" s="68">
        <f t="shared" ref="P56" si="27">G56/U56</f>
        <v>1.3433709866053785E-2</v>
      </c>
      <c r="Q56" s="69">
        <v>1.28</v>
      </c>
      <c r="R56" s="69">
        <v>1.28</v>
      </c>
      <c r="S56" s="49">
        <v>296</v>
      </c>
      <c r="T56" s="49">
        <v>358630224.23000002</v>
      </c>
      <c r="U56" s="49">
        <v>358194016.99000001</v>
      </c>
    </row>
    <row r="57" spans="1:24" ht="15.75" customHeight="1">
      <c r="A57" s="31">
        <v>47</v>
      </c>
      <c r="B57" s="32" t="s">
        <v>88</v>
      </c>
      <c r="C57" s="43" t="s">
        <v>16</v>
      </c>
      <c r="D57" s="48">
        <v>723419527.25999999</v>
      </c>
      <c r="E57" s="48">
        <v>4616411.08</v>
      </c>
      <c r="F57" s="48">
        <v>1428399.92</v>
      </c>
      <c r="G57" s="65">
        <v>3188011.16</v>
      </c>
      <c r="H57" s="42">
        <v>660643987</v>
      </c>
      <c r="I57" s="66">
        <f t="shared" si="22"/>
        <v>2.9520668909196446E-3</v>
      </c>
      <c r="J57" s="48">
        <v>862726432</v>
      </c>
      <c r="K57" s="66">
        <f t="shared" si="23"/>
        <v>2.8683715091286049E-3</v>
      </c>
      <c r="L57" s="66">
        <f t="shared" ref="L57:L85" si="28">((J57-H57)/H57)</f>
        <v>0.30588705713899128</v>
      </c>
      <c r="M57" s="38">
        <f t="shared" ref="M57:M84" si="29">(F57/J57)</f>
        <v>1.6556811835342028E-3</v>
      </c>
      <c r="N57" s="67">
        <f t="shared" ref="N57:N84" si="30">G57/J57</f>
        <v>3.6952747032561071E-3</v>
      </c>
      <c r="O57" s="68">
        <f t="shared" ref="O57:O84" si="31">J57/U57</f>
        <v>1.1408907517215752</v>
      </c>
      <c r="P57" s="68">
        <f t="shared" ref="P57:P84" si="32">G57/U57</f>
        <v>4.2159047340155804E-3</v>
      </c>
      <c r="Q57" s="69">
        <v>1.1409</v>
      </c>
      <c r="R57" s="69">
        <v>1.1409</v>
      </c>
      <c r="S57" s="49">
        <v>423</v>
      </c>
      <c r="T57" s="49">
        <v>581374641</v>
      </c>
      <c r="U57" s="49">
        <v>756186717</v>
      </c>
    </row>
    <row r="58" spans="1:24" ht="15" customHeight="1">
      <c r="A58" s="31">
        <v>48</v>
      </c>
      <c r="B58" s="32" t="s">
        <v>89</v>
      </c>
      <c r="C58" s="32" t="s">
        <v>90</v>
      </c>
      <c r="D58" s="48">
        <v>784825859.59000003</v>
      </c>
      <c r="E58" s="48">
        <v>7366671.8499999996</v>
      </c>
      <c r="F58" s="48">
        <v>1832664.58</v>
      </c>
      <c r="G58" s="65">
        <v>5534007.2699999996</v>
      </c>
      <c r="H58" s="42">
        <v>858935416</v>
      </c>
      <c r="I58" s="66">
        <f t="shared" si="22"/>
        <v>3.8381259088215865E-3</v>
      </c>
      <c r="J58" s="48">
        <v>1007608954</v>
      </c>
      <c r="K58" s="66">
        <f t="shared" si="23"/>
        <v>3.3500733358734916E-3</v>
      </c>
      <c r="L58" s="66">
        <f t="shared" si="28"/>
        <v>0.17309047366140973</v>
      </c>
      <c r="M58" s="38">
        <f t="shared" si="29"/>
        <v>1.8188252225475956E-3</v>
      </c>
      <c r="N58" s="67">
        <f t="shared" si="30"/>
        <v>5.4922172416502759E-3</v>
      </c>
      <c r="O58" s="68">
        <f t="shared" si="31"/>
        <v>1.0470197348425303</v>
      </c>
      <c r="P58" s="68">
        <f t="shared" si="32"/>
        <v>5.7504598400502441E-3</v>
      </c>
      <c r="Q58" s="69">
        <v>1.0512999999999999</v>
      </c>
      <c r="R58" s="69">
        <v>1.0512999999999999</v>
      </c>
      <c r="S58" s="49">
        <v>70</v>
      </c>
      <c r="T58" s="49">
        <v>825026109</v>
      </c>
      <c r="U58" s="49">
        <v>962359085</v>
      </c>
    </row>
    <row r="59" spans="1:24" ht="15.75">
      <c r="A59" s="31">
        <v>49</v>
      </c>
      <c r="B59" s="32" t="s">
        <v>91</v>
      </c>
      <c r="C59" s="43" t="s">
        <v>92</v>
      </c>
      <c r="D59" s="70">
        <v>218328815.44999999</v>
      </c>
      <c r="E59" s="70">
        <v>4822687.74</v>
      </c>
      <c r="F59" s="48">
        <v>395767.18</v>
      </c>
      <c r="G59" s="65">
        <v>4426920.5</v>
      </c>
      <c r="H59" s="42">
        <v>257192339.91</v>
      </c>
      <c r="I59" s="66">
        <f t="shared" si="22"/>
        <v>1.1492558869630068E-3</v>
      </c>
      <c r="J59" s="48">
        <v>254984993.5</v>
      </c>
      <c r="K59" s="66">
        <f t="shared" si="23"/>
        <v>8.4776780156741794E-4</v>
      </c>
      <c r="L59" s="66">
        <f t="shared" si="28"/>
        <v>-8.5824733768214839E-3</v>
      </c>
      <c r="M59" s="38">
        <f t="shared" si="29"/>
        <v>1.5521194975734915E-3</v>
      </c>
      <c r="N59" s="67">
        <f t="shared" si="30"/>
        <v>1.7361494255935497E-2</v>
      </c>
      <c r="O59" s="68">
        <f t="shared" si="31"/>
        <v>1116.6410926209767</v>
      </c>
      <c r="P59" s="68">
        <f t="shared" si="32"/>
        <v>19.386557915480623</v>
      </c>
      <c r="Q59" s="69">
        <v>1131.55</v>
      </c>
      <c r="R59" s="69">
        <v>1131.55</v>
      </c>
      <c r="S59" s="49">
        <v>109</v>
      </c>
      <c r="T59" s="49">
        <v>230430</v>
      </c>
      <c r="U59" s="49">
        <v>228350</v>
      </c>
    </row>
    <row r="60" spans="1:24" ht="15.75">
      <c r="A60" s="31">
        <v>50</v>
      </c>
      <c r="B60" s="32" t="s">
        <v>93</v>
      </c>
      <c r="C60" s="43" t="s">
        <v>94</v>
      </c>
      <c r="D60" s="48">
        <v>1433653641.05</v>
      </c>
      <c r="E60" s="48">
        <v>10458835.560000001</v>
      </c>
      <c r="F60" s="48">
        <v>1945735.71</v>
      </c>
      <c r="G60" s="65">
        <v>8513099.8499999996</v>
      </c>
      <c r="H60" s="42">
        <v>1424350225.4100001</v>
      </c>
      <c r="I60" s="66">
        <f t="shared" si="22"/>
        <v>6.3646642128702127E-3</v>
      </c>
      <c r="J60" s="48">
        <v>1454845476.8</v>
      </c>
      <c r="K60" s="66">
        <f t="shared" si="23"/>
        <v>4.8370342683991636E-3</v>
      </c>
      <c r="L60" s="66">
        <f t="shared" si="28"/>
        <v>2.1409938964429755E-2</v>
      </c>
      <c r="M60" s="38">
        <f t="shared" si="29"/>
        <v>1.3374174378159636E-3</v>
      </c>
      <c r="N60" s="67">
        <f t="shared" si="30"/>
        <v>5.8515491753288861E-3</v>
      </c>
      <c r="O60" s="68">
        <f t="shared" si="31"/>
        <v>1.0291651547842688</v>
      </c>
      <c r="P60" s="68">
        <f t="shared" si="32"/>
        <v>6.0222105127551136E-3</v>
      </c>
      <c r="Q60" s="65">
        <v>1.0287999999999999</v>
      </c>
      <c r="R60" s="65">
        <v>1.0287999999999999</v>
      </c>
      <c r="S60" s="49">
        <v>769</v>
      </c>
      <c r="T60" s="49">
        <v>1392629664.6300001</v>
      </c>
      <c r="U60" s="49">
        <v>1413617114.8399999</v>
      </c>
    </row>
    <row r="61" spans="1:24" ht="15.75">
      <c r="A61" s="31">
        <v>51</v>
      </c>
      <c r="B61" s="32" t="s">
        <v>221</v>
      </c>
      <c r="C61" s="32" t="s">
        <v>95</v>
      </c>
      <c r="D61" s="48">
        <v>431406081.94999999</v>
      </c>
      <c r="E61" s="48">
        <v>4022766.02</v>
      </c>
      <c r="F61" s="48">
        <v>947543.59</v>
      </c>
      <c r="G61" s="65">
        <v>3075222.43</v>
      </c>
      <c r="H61" s="42">
        <v>433493812.36000001</v>
      </c>
      <c r="I61" s="66">
        <f t="shared" si="22"/>
        <v>1.937053475197208E-3</v>
      </c>
      <c r="J61" s="48">
        <v>434558911.99000001</v>
      </c>
      <c r="K61" s="66">
        <f t="shared" si="23"/>
        <v>1.4448107255742931E-3</v>
      </c>
      <c r="L61" s="66">
        <f t="shared" si="28"/>
        <v>2.4570123024396729E-3</v>
      </c>
      <c r="M61" s="38">
        <f t="shared" si="29"/>
        <v>2.1804721151865475E-3</v>
      </c>
      <c r="N61" s="67">
        <f t="shared" si="30"/>
        <v>7.0766525438805562E-3</v>
      </c>
      <c r="O61" s="68">
        <f t="shared" si="31"/>
        <v>2.2562810783516785</v>
      </c>
      <c r="P61" s="68">
        <f t="shared" si="32"/>
        <v>1.596691723282697E-2</v>
      </c>
      <c r="Q61" s="69">
        <v>2.2624</v>
      </c>
      <c r="R61" s="69">
        <v>2.2624</v>
      </c>
      <c r="S61" s="49">
        <v>1402</v>
      </c>
      <c r="T61" s="49">
        <v>193523983.97710001</v>
      </c>
      <c r="U61" s="49">
        <v>192599634.93000001</v>
      </c>
    </row>
    <row r="62" spans="1:24" ht="15.75">
      <c r="A62" s="31">
        <v>52</v>
      </c>
      <c r="B62" s="32" t="s">
        <v>96</v>
      </c>
      <c r="C62" s="32" t="s">
        <v>31</v>
      </c>
      <c r="D62" s="48">
        <v>1911069691.3900001</v>
      </c>
      <c r="E62" s="48">
        <v>16409278</v>
      </c>
      <c r="F62" s="48">
        <v>6801429</v>
      </c>
      <c r="G62" s="65">
        <v>9607848</v>
      </c>
      <c r="H62" s="42">
        <v>1573890429</v>
      </c>
      <c r="I62" s="66">
        <f t="shared" si="22"/>
        <v>7.032879912348639E-3</v>
      </c>
      <c r="J62" s="48">
        <v>1910626928</v>
      </c>
      <c r="K62" s="66">
        <f t="shared" si="23"/>
        <v>6.3524051675851638E-3</v>
      </c>
      <c r="L62" s="66">
        <f t="shared" si="28"/>
        <v>0.21395167846210977</v>
      </c>
      <c r="M62" s="38">
        <f t="shared" si="29"/>
        <v>3.5597891458169586E-3</v>
      </c>
      <c r="N62" s="67">
        <f t="shared" si="30"/>
        <v>5.0286363387839787E-3</v>
      </c>
      <c r="O62" s="68">
        <f t="shared" si="31"/>
        <v>100.72237622593209</v>
      </c>
      <c r="P62" s="68">
        <f t="shared" si="32"/>
        <v>0.50649620121839356</v>
      </c>
      <c r="Q62" s="69">
        <v>100.72</v>
      </c>
      <c r="R62" s="69">
        <v>100.72</v>
      </c>
      <c r="S62" s="49">
        <v>117</v>
      </c>
      <c r="T62" s="49">
        <v>15680327</v>
      </c>
      <c r="U62" s="49">
        <v>18969240</v>
      </c>
    </row>
    <row r="63" spans="1:24" ht="15.75">
      <c r="A63" s="31">
        <v>53</v>
      </c>
      <c r="B63" s="43" t="s">
        <v>97</v>
      </c>
      <c r="C63" s="32" t="s">
        <v>49</v>
      </c>
      <c r="D63" s="48">
        <v>2374700798.3200002</v>
      </c>
      <c r="E63" s="48">
        <v>18382788.379999999</v>
      </c>
      <c r="F63" s="48">
        <v>4379792</v>
      </c>
      <c r="G63" s="65">
        <v>14002996.380000001</v>
      </c>
      <c r="H63" s="42">
        <v>2788157918.0500002</v>
      </c>
      <c r="I63" s="66">
        <f t="shared" si="22"/>
        <v>1.2458796020996485E-2</v>
      </c>
      <c r="J63" s="48">
        <v>2354491492.6599998</v>
      </c>
      <c r="K63" s="66">
        <f t="shared" si="23"/>
        <v>7.8281550970628264E-3</v>
      </c>
      <c r="L63" s="66">
        <f t="shared" si="28"/>
        <v>-0.15553868831551004</v>
      </c>
      <c r="M63" s="38">
        <f t="shared" si="29"/>
        <v>1.860185952531052E-3</v>
      </c>
      <c r="N63" s="67">
        <f t="shared" si="30"/>
        <v>5.9473548422891258E-3</v>
      </c>
      <c r="O63" s="68">
        <f t="shared" si="31"/>
        <v>3922.7880766937915</v>
      </c>
      <c r="P63" s="68">
        <f t="shared" si="32"/>
        <v>23.330212663198864</v>
      </c>
      <c r="Q63" s="49">
        <v>3922.79</v>
      </c>
      <c r="R63" s="49">
        <v>3922.79</v>
      </c>
      <c r="S63" s="49">
        <v>1027</v>
      </c>
      <c r="T63" s="49">
        <v>714670.38</v>
      </c>
      <c r="U63" s="49">
        <v>600208.68999999994</v>
      </c>
    </row>
    <row r="64" spans="1:24" ht="15.75">
      <c r="A64" s="31">
        <v>54</v>
      </c>
      <c r="B64" s="32" t="s">
        <v>98</v>
      </c>
      <c r="C64" s="32" t="s">
        <v>51</v>
      </c>
      <c r="D64" s="48">
        <v>306467299.85000002</v>
      </c>
      <c r="E64" s="48">
        <v>3249883.11</v>
      </c>
      <c r="F64" s="48">
        <v>664025.56000000006</v>
      </c>
      <c r="G64" s="65">
        <v>2585857.5499999998</v>
      </c>
      <c r="H64" s="42">
        <v>334323586.37</v>
      </c>
      <c r="I64" s="66">
        <f t="shared" si="22"/>
        <v>1.493914437423603E-3</v>
      </c>
      <c r="J64" s="48">
        <v>329355321.43000001</v>
      </c>
      <c r="K64" s="66">
        <f t="shared" si="23"/>
        <v>1.095032428970144E-3</v>
      </c>
      <c r="L64" s="66">
        <f t="shared" si="28"/>
        <v>-1.48606474163075E-2</v>
      </c>
      <c r="M64" s="38">
        <f t="shared" si="29"/>
        <v>2.0161373349515763E-3</v>
      </c>
      <c r="N64" s="67">
        <f t="shared" si="30"/>
        <v>7.851269986386385E-3</v>
      </c>
      <c r="O64" s="68">
        <f t="shared" si="31"/>
        <v>109.97507074887356</v>
      </c>
      <c r="P64" s="68">
        <f t="shared" si="32"/>
        <v>0.86344397222135028</v>
      </c>
      <c r="Q64" s="69">
        <v>108.67</v>
      </c>
      <c r="R64" s="69">
        <v>108.67</v>
      </c>
      <c r="S64" s="49">
        <v>119</v>
      </c>
      <c r="T64" s="49">
        <v>3110502</v>
      </c>
      <c r="U64" s="49">
        <v>2994818</v>
      </c>
    </row>
    <row r="65" spans="1:21" ht="15.75">
      <c r="A65" s="31">
        <v>55</v>
      </c>
      <c r="B65" s="43" t="s">
        <v>99</v>
      </c>
      <c r="C65" s="43" t="s">
        <v>55</v>
      </c>
      <c r="D65" s="48">
        <v>348683611.70999998</v>
      </c>
      <c r="E65" s="48">
        <v>2865232.84</v>
      </c>
      <c r="F65" s="48">
        <v>714847.07</v>
      </c>
      <c r="G65" s="65">
        <v>-1500581.31</v>
      </c>
      <c r="H65" s="42">
        <v>331544999.63</v>
      </c>
      <c r="I65" s="66">
        <f t="shared" si="22"/>
        <v>1.4814984099108871E-3</v>
      </c>
      <c r="J65" s="48">
        <v>348936448.31999999</v>
      </c>
      <c r="K65" s="66">
        <f t="shared" si="23"/>
        <v>1.1601352754862782E-3</v>
      </c>
      <c r="L65" s="66">
        <f t="shared" si="28"/>
        <v>5.2455771341472904E-2</v>
      </c>
      <c r="M65" s="38">
        <f t="shared" si="29"/>
        <v>2.0486454580532481E-3</v>
      </c>
      <c r="N65" s="67">
        <f t="shared" si="30"/>
        <v>-4.3004430096791101E-3</v>
      </c>
      <c r="O65" s="68">
        <f t="shared" si="31"/>
        <v>1.3889173380794351</v>
      </c>
      <c r="P65" s="68">
        <f t="shared" si="32"/>
        <v>-5.9729598575658238E-3</v>
      </c>
      <c r="Q65" s="69">
        <v>1.3875999999999999</v>
      </c>
      <c r="R65" s="69">
        <v>1.3875999999999999</v>
      </c>
      <c r="S65" s="49">
        <v>299</v>
      </c>
      <c r="T65" s="49">
        <v>251450213.28</v>
      </c>
      <c r="U65" s="49">
        <v>251229096.75999999</v>
      </c>
    </row>
    <row r="66" spans="1:21" ht="15.75">
      <c r="A66" s="31">
        <v>56</v>
      </c>
      <c r="B66" s="32" t="s">
        <v>220</v>
      </c>
      <c r="C66" s="32" t="s">
        <v>35</v>
      </c>
      <c r="D66" s="48">
        <f>55626880.38+16471341.6+1501109.58</f>
        <v>73599331.560000002</v>
      </c>
      <c r="E66" s="48">
        <v>1373212.41</v>
      </c>
      <c r="F66" s="48">
        <v>91956.01</v>
      </c>
      <c r="G66" s="65">
        <v>1281256.3999999999</v>
      </c>
      <c r="H66" s="42">
        <v>71456856.540000007</v>
      </c>
      <c r="I66" s="66">
        <f t="shared" si="22"/>
        <v>3.1930271745730563E-4</v>
      </c>
      <c r="J66" s="48">
        <v>72450607.120000005</v>
      </c>
      <c r="K66" s="66">
        <f t="shared" si="23"/>
        <v>2.4088198712112494E-4</v>
      </c>
      <c r="L66" s="66">
        <f t="shared" si="28"/>
        <v>1.3907001064953342E-2</v>
      </c>
      <c r="M66" s="38">
        <f t="shared" si="29"/>
        <v>1.2692234565777091E-3</v>
      </c>
      <c r="N66" s="67">
        <f t="shared" si="30"/>
        <v>1.76845502188526E-2</v>
      </c>
      <c r="O66" s="68">
        <f t="shared" si="31"/>
        <v>110.24385892452776</v>
      </c>
      <c r="P66" s="68">
        <f t="shared" si="32"/>
        <v>1.9496130594709127</v>
      </c>
      <c r="Q66" s="69">
        <v>109.16889999999999</v>
      </c>
      <c r="R66" s="69">
        <v>109.16889999999999</v>
      </c>
      <c r="S66" s="49">
        <v>72</v>
      </c>
      <c r="T66" s="49">
        <v>663655.9</v>
      </c>
      <c r="U66" s="49">
        <v>657184.97</v>
      </c>
    </row>
    <row r="67" spans="1:21" ht="15.75">
      <c r="A67" s="31">
        <v>57</v>
      </c>
      <c r="B67" s="32" t="s">
        <v>100</v>
      </c>
      <c r="C67" s="32" t="s">
        <v>101</v>
      </c>
      <c r="D67" s="48">
        <v>1010319685.16</v>
      </c>
      <c r="E67" s="48">
        <v>13622057.220000001</v>
      </c>
      <c r="F67" s="48">
        <v>11006120.42</v>
      </c>
      <c r="G67" s="65">
        <v>2615936.81</v>
      </c>
      <c r="H67" s="42">
        <v>835521622.13999999</v>
      </c>
      <c r="I67" s="66">
        <f t="shared" si="22"/>
        <v>3.7335021068873632E-3</v>
      </c>
      <c r="J67" s="48">
        <v>889644177.76999998</v>
      </c>
      <c r="K67" s="66">
        <f t="shared" si="23"/>
        <v>2.9578669646899282E-3</v>
      </c>
      <c r="L67" s="66">
        <f t="shared" si="28"/>
        <v>6.4776965904697101E-2</v>
      </c>
      <c r="M67" s="38">
        <f t="shared" si="29"/>
        <v>1.2371373516531253E-2</v>
      </c>
      <c r="N67" s="67">
        <f t="shared" si="30"/>
        <v>2.9404304275414471E-3</v>
      </c>
      <c r="O67" s="68">
        <f t="shared" si="31"/>
        <v>1113.9683375107368</v>
      </c>
      <c r="P67" s="68">
        <f t="shared" si="32"/>
        <v>3.2755463949343304</v>
      </c>
      <c r="Q67" s="69">
        <v>1000</v>
      </c>
      <c r="R67" s="69">
        <v>1000</v>
      </c>
      <c r="S67" s="49">
        <v>245</v>
      </c>
      <c r="T67" s="49">
        <v>751041.09</v>
      </c>
      <c r="U67" s="49">
        <v>798626.09</v>
      </c>
    </row>
    <row r="68" spans="1:21" ht="15.75">
      <c r="A68" s="31">
        <v>58</v>
      </c>
      <c r="B68" s="32" t="s">
        <v>102</v>
      </c>
      <c r="C68" s="32" t="s">
        <v>57</v>
      </c>
      <c r="D68" s="48">
        <v>236927933.68000001</v>
      </c>
      <c r="E68" s="48">
        <v>2410773.7999999998</v>
      </c>
      <c r="F68" s="48">
        <v>572806.21</v>
      </c>
      <c r="G68" s="65">
        <v>1837967.59</v>
      </c>
      <c r="H68" s="42">
        <v>238940724.22</v>
      </c>
      <c r="I68" s="66">
        <f t="shared" si="22"/>
        <v>1.0676991159267505E-3</v>
      </c>
      <c r="J68" s="48">
        <v>239242758.90000001</v>
      </c>
      <c r="K68" s="66">
        <f t="shared" si="23"/>
        <v>7.9542840921568514E-4</v>
      </c>
      <c r="L68" s="66">
        <f t="shared" si="28"/>
        <v>1.2640569370749651E-3</v>
      </c>
      <c r="M68" s="38">
        <f t="shared" si="29"/>
        <v>2.3942468003364924E-3</v>
      </c>
      <c r="N68" s="67">
        <f t="shared" si="30"/>
        <v>7.6824376982220135E-3</v>
      </c>
      <c r="O68" s="68">
        <f t="shared" si="31"/>
        <v>1111.3045689122589</v>
      </c>
      <c r="P68" s="68">
        <f t="shared" si="32"/>
        <v>8.5375281144179009</v>
      </c>
      <c r="Q68" s="48">
        <v>1102.94</v>
      </c>
      <c r="R68" s="69">
        <v>1111.3</v>
      </c>
      <c r="S68" s="49">
        <v>281</v>
      </c>
      <c r="T68" s="49">
        <v>248101</v>
      </c>
      <c r="U68" s="49">
        <v>215281</v>
      </c>
    </row>
    <row r="69" spans="1:21" ht="15.75">
      <c r="A69" s="31">
        <v>59</v>
      </c>
      <c r="B69" s="32" t="s">
        <v>103</v>
      </c>
      <c r="C69" s="43" t="s">
        <v>60</v>
      </c>
      <c r="D69" s="48">
        <v>722115785.69000006</v>
      </c>
      <c r="E69" s="48">
        <v>6254637.9800000004</v>
      </c>
      <c r="F69" s="48">
        <v>1442132.26</v>
      </c>
      <c r="G69" s="65">
        <v>4812505.72</v>
      </c>
      <c r="H69" s="42">
        <v>733304847.96000004</v>
      </c>
      <c r="I69" s="66">
        <f t="shared" si="22"/>
        <v>3.2767496642841314E-3</v>
      </c>
      <c r="J69" s="48">
        <v>736175749.63</v>
      </c>
      <c r="K69" s="66">
        <f t="shared" si="23"/>
        <v>2.447618929507987E-3</v>
      </c>
      <c r="L69" s="66">
        <f t="shared" si="28"/>
        <v>3.9150179873849106E-3</v>
      </c>
      <c r="M69" s="38">
        <f t="shared" si="29"/>
        <v>1.9589510530940634E-3</v>
      </c>
      <c r="N69" s="67">
        <f t="shared" si="30"/>
        <v>6.5371695854132012E-3</v>
      </c>
      <c r="O69" s="68">
        <f t="shared" si="31"/>
        <v>1.0844192949452069</v>
      </c>
      <c r="P69" s="68">
        <f t="shared" si="32"/>
        <v>7.0890328327510342E-3</v>
      </c>
      <c r="Q69" s="69">
        <v>109</v>
      </c>
      <c r="R69" s="69">
        <v>109</v>
      </c>
      <c r="S69" s="49">
        <v>41</v>
      </c>
      <c r="T69" s="49">
        <v>680663967.14999998</v>
      </c>
      <c r="U69" s="49">
        <v>678866332.48000002</v>
      </c>
    </row>
    <row r="70" spans="1:21" ht="15.75">
      <c r="A70" s="31">
        <v>60</v>
      </c>
      <c r="B70" s="32" t="s">
        <v>219</v>
      </c>
      <c r="C70" s="32" t="s">
        <v>20</v>
      </c>
      <c r="D70" s="48">
        <v>68361486560.720001</v>
      </c>
      <c r="E70" s="48">
        <v>745741334.20000005</v>
      </c>
      <c r="F70" s="48">
        <v>75953932.590000004</v>
      </c>
      <c r="G70" s="65">
        <v>669787401.61000001</v>
      </c>
      <c r="H70" s="42">
        <v>68642815231.970001</v>
      </c>
      <c r="I70" s="66">
        <f t="shared" si="22"/>
        <v>0.30672826232173561</v>
      </c>
      <c r="J70" s="48">
        <v>68361486560.720001</v>
      </c>
      <c r="K70" s="66">
        <f t="shared" si="23"/>
        <v>0.22728658019422693</v>
      </c>
      <c r="L70" s="66">
        <f t="shared" si="28"/>
        <v>-4.098443082488446E-3</v>
      </c>
      <c r="M70" s="38">
        <f t="shared" si="29"/>
        <v>1.1110632084124772E-3</v>
      </c>
      <c r="N70" s="67">
        <f t="shared" si="30"/>
        <v>9.7977302031763431E-3</v>
      </c>
      <c r="O70" s="68">
        <f t="shared" si="31"/>
        <v>1601.6247671832421</v>
      </c>
      <c r="P70" s="68">
        <f t="shared" si="32"/>
        <v>15.692287355586528</v>
      </c>
      <c r="Q70" s="65">
        <v>1601.62</v>
      </c>
      <c r="R70" s="65">
        <v>1601.62</v>
      </c>
      <c r="S70" s="49">
        <v>2454</v>
      </c>
      <c r="T70" s="49">
        <v>43248384.109999999</v>
      </c>
      <c r="U70" s="49">
        <v>42682585.810000002</v>
      </c>
    </row>
    <row r="71" spans="1:21" ht="15.75">
      <c r="A71" s="31">
        <v>61</v>
      </c>
      <c r="B71" s="32" t="s">
        <v>104</v>
      </c>
      <c r="C71" s="32" t="s">
        <v>66</v>
      </c>
      <c r="D71" s="48">
        <v>22999137.690000001</v>
      </c>
      <c r="E71" s="48">
        <v>265332.65999999997</v>
      </c>
      <c r="F71" s="48">
        <v>254593.85</v>
      </c>
      <c r="G71" s="65">
        <v>10738.81</v>
      </c>
      <c r="H71" s="42">
        <v>24320763.870000001</v>
      </c>
      <c r="I71" s="66">
        <f t="shared" si="22"/>
        <v>1.0867656891653769E-4</v>
      </c>
      <c r="J71" s="48">
        <v>24737968.940000001</v>
      </c>
      <c r="K71" s="66">
        <f t="shared" si="23"/>
        <v>8.2248187454634933E-5</v>
      </c>
      <c r="L71" s="66">
        <f t="shared" si="28"/>
        <v>1.7154274932730567E-2</v>
      </c>
      <c r="M71" s="38">
        <f t="shared" si="29"/>
        <v>1.0291622995303186E-2</v>
      </c>
      <c r="N71" s="67">
        <f t="shared" si="30"/>
        <v>4.3410233176564085E-4</v>
      </c>
      <c r="O71" s="68">
        <f t="shared" si="31"/>
        <v>0.7535061343443028</v>
      </c>
      <c r="P71" s="68">
        <f t="shared" si="32"/>
        <v>3.2709876991857611E-4</v>
      </c>
      <c r="Q71" s="65">
        <v>0.75</v>
      </c>
      <c r="R71" s="65">
        <v>0.75</v>
      </c>
      <c r="S71" s="49">
        <v>748</v>
      </c>
      <c r="T71" s="65">
        <v>32830481.149999999</v>
      </c>
      <c r="U71" s="65">
        <v>32830481.149999999</v>
      </c>
    </row>
    <row r="72" spans="1:21" ht="15.75">
      <c r="A72" s="31">
        <v>62</v>
      </c>
      <c r="B72" s="43" t="s">
        <v>105</v>
      </c>
      <c r="C72" s="43" t="s">
        <v>106</v>
      </c>
      <c r="D72" s="48">
        <v>1081614523.46</v>
      </c>
      <c r="E72" s="48">
        <v>41186017.600000001</v>
      </c>
      <c r="F72" s="48">
        <v>14318621.33</v>
      </c>
      <c r="G72" s="65">
        <v>26867396.27</v>
      </c>
      <c r="H72" s="42">
        <v>1105604970.48</v>
      </c>
      <c r="I72" s="66">
        <f t="shared" si="22"/>
        <v>4.9403610598369061E-3</v>
      </c>
      <c r="J72" s="48">
        <v>1074869107.5799999</v>
      </c>
      <c r="K72" s="66">
        <f t="shared" si="23"/>
        <v>3.5736982314052493E-3</v>
      </c>
      <c r="L72" s="66">
        <f t="shared" si="28"/>
        <v>-2.7800040449036761E-2</v>
      </c>
      <c r="M72" s="38">
        <f t="shared" si="29"/>
        <v>1.3321269751846785E-2</v>
      </c>
      <c r="N72" s="67">
        <f t="shared" si="30"/>
        <v>2.4995970281898091E-2</v>
      </c>
      <c r="O72" s="68">
        <f t="shared" si="31"/>
        <v>207.16933780776711</v>
      </c>
      <c r="P72" s="68">
        <f t="shared" si="32"/>
        <v>5.1783986111634537</v>
      </c>
      <c r="Q72" s="65">
        <v>207.16929999999999</v>
      </c>
      <c r="R72" s="65">
        <v>208.46940000000001</v>
      </c>
      <c r="S72" s="49">
        <v>486</v>
      </c>
      <c r="T72" s="49">
        <v>5343922.91</v>
      </c>
      <c r="U72" s="49">
        <v>5188360.01</v>
      </c>
    </row>
    <row r="73" spans="1:21" ht="15.75">
      <c r="A73" s="31">
        <v>63</v>
      </c>
      <c r="B73" s="32" t="s">
        <v>107</v>
      </c>
      <c r="C73" s="43" t="s">
        <v>26</v>
      </c>
      <c r="D73" s="48">
        <v>1253738869.1199999</v>
      </c>
      <c r="E73" s="48">
        <v>10059646.199999999</v>
      </c>
      <c r="F73" s="48">
        <v>1528617.61</v>
      </c>
      <c r="G73" s="65">
        <v>8531028.5899999999</v>
      </c>
      <c r="H73" s="42">
        <v>1239521834.0699999</v>
      </c>
      <c r="I73" s="66">
        <f t="shared" si="22"/>
        <v>5.5387643555893599E-3</v>
      </c>
      <c r="J73" s="48">
        <v>1242268314.51</v>
      </c>
      <c r="K73" s="66">
        <f t="shared" si="23"/>
        <v>4.1302629754523352E-3</v>
      </c>
      <c r="L73" s="66">
        <f t="shared" si="28"/>
        <v>2.215758016122977E-3</v>
      </c>
      <c r="M73" s="38">
        <f t="shared" si="29"/>
        <v>1.2305051913063948E-3</v>
      </c>
      <c r="N73" s="67">
        <f t="shared" si="30"/>
        <v>6.8672995119938938E-3</v>
      </c>
      <c r="O73" s="68">
        <f t="shared" si="31"/>
        <v>3.1203576936684527</v>
      </c>
      <c r="P73" s="68">
        <f t="shared" si="32"/>
        <v>2.1428430866975757E-2</v>
      </c>
      <c r="Q73" s="65">
        <v>3.54</v>
      </c>
      <c r="R73" s="65">
        <v>3.54</v>
      </c>
      <c r="S73" s="49">
        <v>785</v>
      </c>
      <c r="T73" s="49">
        <v>399041718</v>
      </c>
      <c r="U73" s="49">
        <v>398117279</v>
      </c>
    </row>
    <row r="74" spans="1:21" ht="15.75">
      <c r="A74" s="31">
        <v>64</v>
      </c>
      <c r="B74" s="32" t="s">
        <v>110</v>
      </c>
      <c r="C74" s="32" t="s">
        <v>12</v>
      </c>
      <c r="D74" s="48">
        <v>1615276654.27</v>
      </c>
      <c r="E74" s="48">
        <v>15874354.93</v>
      </c>
      <c r="F74" s="48">
        <v>2060043.14</v>
      </c>
      <c r="G74" s="65">
        <v>13814311.789999999</v>
      </c>
      <c r="H74" s="42">
        <v>1611850740.3399999</v>
      </c>
      <c r="I74" s="66">
        <f t="shared" si="22"/>
        <v>7.2025043704242947E-3</v>
      </c>
      <c r="J74" s="48">
        <v>1634212524.79</v>
      </c>
      <c r="K74" s="66">
        <f t="shared" si="23"/>
        <v>5.4333893944827688E-3</v>
      </c>
      <c r="L74" s="66">
        <f t="shared" si="28"/>
        <v>1.3873359294597654E-2</v>
      </c>
      <c r="M74" s="38">
        <f t="shared" si="29"/>
        <v>1.260572360540879E-3</v>
      </c>
      <c r="N74" s="67">
        <f t="shared" si="30"/>
        <v>8.4531917241150566E-3</v>
      </c>
      <c r="O74" s="68">
        <f t="shared" si="31"/>
        <v>337.93477785516046</v>
      </c>
      <c r="P74" s="68">
        <f t="shared" si="32"/>
        <v>2.856627467455902</v>
      </c>
      <c r="Q74" s="69">
        <v>337.9348</v>
      </c>
      <c r="R74" s="69">
        <v>337.9348</v>
      </c>
      <c r="S74" s="49">
        <v>102</v>
      </c>
      <c r="T74" s="49">
        <v>4811856.5429999996</v>
      </c>
      <c r="U74" s="49">
        <v>4835881.4537000004</v>
      </c>
    </row>
    <row r="75" spans="1:21" ht="15.75">
      <c r="A75" s="31">
        <v>65</v>
      </c>
      <c r="B75" s="43" t="s">
        <v>111</v>
      </c>
      <c r="C75" s="43" t="s">
        <v>29</v>
      </c>
      <c r="D75" s="48">
        <v>54977923.979999997</v>
      </c>
      <c r="E75" s="48">
        <v>920817.24</v>
      </c>
      <c r="F75" s="48">
        <v>153987.60999999999</v>
      </c>
      <c r="G75" s="65">
        <v>766829.63</v>
      </c>
      <c r="H75" s="42">
        <v>55075612.289999999</v>
      </c>
      <c r="I75" s="66">
        <f t="shared" si="22"/>
        <v>2.4610364241222716E-4</v>
      </c>
      <c r="J75" s="48">
        <v>55777840.960000001</v>
      </c>
      <c r="K75" s="66">
        <f t="shared" si="23"/>
        <v>1.854487864472553E-4</v>
      </c>
      <c r="L75" s="66">
        <f t="shared" si="28"/>
        <v>1.2750265331639435E-2</v>
      </c>
      <c r="M75" s="38">
        <f t="shared" si="29"/>
        <v>2.7607309166095047E-3</v>
      </c>
      <c r="N75" s="67">
        <f t="shared" si="30"/>
        <v>1.3747926000755695E-2</v>
      </c>
      <c r="O75" s="68">
        <f t="shared" si="31"/>
        <v>12.174726875196875</v>
      </c>
      <c r="P75" s="68">
        <f t="shared" si="32"/>
        <v>0.16737724415961824</v>
      </c>
      <c r="Q75" s="69">
        <v>12.05</v>
      </c>
      <c r="R75" s="69">
        <v>12.34</v>
      </c>
      <c r="S75" s="49">
        <v>51</v>
      </c>
      <c r="T75" s="49">
        <v>4515142.95</v>
      </c>
      <c r="U75" s="49">
        <v>4581444.95</v>
      </c>
    </row>
    <row r="76" spans="1:21" ht="15.75">
      <c r="A76" s="31">
        <v>66</v>
      </c>
      <c r="B76" s="32" t="s">
        <v>112</v>
      </c>
      <c r="C76" s="32" t="s">
        <v>113</v>
      </c>
      <c r="D76" s="48">
        <v>6885833783.9300003</v>
      </c>
      <c r="E76" s="48">
        <v>66348174.740000002</v>
      </c>
      <c r="F76" s="48">
        <v>9252811</v>
      </c>
      <c r="G76" s="65">
        <v>57095363.740000002</v>
      </c>
      <c r="H76" s="42">
        <v>6824743134</v>
      </c>
      <c r="I76" s="66">
        <f t="shared" si="22"/>
        <v>3.0496150182795157E-2</v>
      </c>
      <c r="J76" s="48">
        <v>6889434792</v>
      </c>
      <c r="K76" s="66">
        <f t="shared" si="23"/>
        <v>2.2905822446590063E-2</v>
      </c>
      <c r="L76" s="66">
        <f t="shared" si="28"/>
        <v>9.4789879603987444E-3</v>
      </c>
      <c r="M76" s="38">
        <f t="shared" si="29"/>
        <v>1.3430435557274377E-3</v>
      </c>
      <c r="N76" s="67">
        <f t="shared" si="30"/>
        <v>8.2873799467989805E-3</v>
      </c>
      <c r="O76" s="68">
        <f t="shared" si="31"/>
        <v>1.0799999999811887</v>
      </c>
      <c r="P76" s="68">
        <f t="shared" si="32"/>
        <v>8.9503703423870016E-3</v>
      </c>
      <c r="Q76" s="69">
        <v>1.08</v>
      </c>
      <c r="R76" s="69">
        <v>1.08</v>
      </c>
      <c r="S76" s="49">
        <v>3492</v>
      </c>
      <c r="T76" s="49">
        <v>6378264611</v>
      </c>
      <c r="U76" s="49">
        <v>6379106289</v>
      </c>
    </row>
    <row r="77" spans="1:21" ht="15.75">
      <c r="A77" s="31">
        <v>67</v>
      </c>
      <c r="B77" s="43" t="s">
        <v>114</v>
      </c>
      <c r="C77" s="32" t="s">
        <v>33</v>
      </c>
      <c r="D77" s="48">
        <v>22567480665.57</v>
      </c>
      <c r="E77" s="48">
        <v>214644643.27000001</v>
      </c>
      <c r="F77" s="48">
        <v>26318528.969999999</v>
      </c>
      <c r="G77" s="65">
        <v>188326114.30000001</v>
      </c>
      <c r="H77" s="71" t="s">
        <v>222</v>
      </c>
      <c r="I77" s="66">
        <f t="shared" si="22"/>
        <v>0.10545827658893453</v>
      </c>
      <c r="J77" s="48">
        <v>23134172112.360001</v>
      </c>
      <c r="K77" s="66">
        <f t="shared" si="23"/>
        <v>7.6915923417970503E-2</v>
      </c>
      <c r="L77" s="66">
        <f t="shared" si="28"/>
        <v>-1.9760949187991782E-2</v>
      </c>
      <c r="M77" s="38">
        <f t="shared" si="29"/>
        <v>1.1376473228509733E-3</v>
      </c>
      <c r="N77" s="67">
        <f t="shared" si="30"/>
        <v>8.1406031469516971E-3</v>
      </c>
      <c r="O77" s="68">
        <f t="shared" si="31"/>
        <v>4885.316571102182</v>
      </c>
      <c r="P77" s="68">
        <f t="shared" si="32"/>
        <v>39.769423452569697</v>
      </c>
      <c r="Q77" s="69">
        <v>4885.32</v>
      </c>
      <c r="R77" s="69">
        <v>4885.32</v>
      </c>
      <c r="S77" s="49">
        <v>436</v>
      </c>
      <c r="T77" s="49">
        <v>4868617.66</v>
      </c>
      <c r="U77" s="49">
        <v>4735449.95</v>
      </c>
    </row>
    <row r="78" spans="1:21" ht="15.75">
      <c r="A78" s="31">
        <v>68</v>
      </c>
      <c r="B78" s="32" t="s">
        <v>115</v>
      </c>
      <c r="C78" s="32" t="s">
        <v>33</v>
      </c>
      <c r="D78" s="48">
        <v>39336123720.900002</v>
      </c>
      <c r="E78" s="48">
        <v>285087705.51999998</v>
      </c>
      <c r="F78" s="48">
        <v>64781512.009999998</v>
      </c>
      <c r="G78" s="65">
        <v>220306193.50999999</v>
      </c>
      <c r="H78" s="44" t="s">
        <v>223</v>
      </c>
      <c r="I78" s="66">
        <f t="shared" si="22"/>
        <v>0.18399056701983474</v>
      </c>
      <c r="J78" s="48">
        <v>39108555672.959999</v>
      </c>
      <c r="K78" s="66">
        <f t="shared" si="23"/>
        <v>0.13002715889373415</v>
      </c>
      <c r="L78" s="66">
        <f t="shared" si="28"/>
        <v>-5.019396039102976E-2</v>
      </c>
      <c r="M78" s="38">
        <f t="shared" si="29"/>
        <v>1.656453706747102E-3</v>
      </c>
      <c r="N78" s="67">
        <f t="shared" si="30"/>
        <v>5.6331968726301401E-3</v>
      </c>
      <c r="O78" s="68">
        <f t="shared" si="31"/>
        <v>254.01899075163044</v>
      </c>
      <c r="P78" s="68">
        <f t="shared" si="32"/>
        <v>1.4309389842907492</v>
      </c>
      <c r="Q78" s="69">
        <v>254.02</v>
      </c>
      <c r="R78" s="69">
        <v>254.02</v>
      </c>
      <c r="S78" s="49">
        <v>6692</v>
      </c>
      <c r="T78" s="49">
        <v>162636814.22</v>
      </c>
      <c r="U78" s="49">
        <v>153959180.59999999</v>
      </c>
    </row>
    <row r="79" spans="1:21" ht="15.75">
      <c r="A79" s="31">
        <v>69</v>
      </c>
      <c r="B79" s="43" t="s">
        <v>116</v>
      </c>
      <c r="C79" s="32" t="s">
        <v>33</v>
      </c>
      <c r="D79" s="48">
        <v>263706505.15000001</v>
      </c>
      <c r="E79" s="48">
        <v>2309567.1800000002</v>
      </c>
      <c r="F79" s="48">
        <v>304493.38</v>
      </c>
      <c r="G79" s="65">
        <v>2189479.56</v>
      </c>
      <c r="H79" s="44" t="s">
        <v>224</v>
      </c>
      <c r="I79" s="66">
        <f t="shared" si="22"/>
        <v>1.1840753562979243E-3</v>
      </c>
      <c r="J79" s="48">
        <v>266897677.49000001</v>
      </c>
      <c r="K79" s="66">
        <f t="shared" si="23"/>
        <v>8.8737479874142881E-4</v>
      </c>
      <c r="L79" s="66">
        <f t="shared" si="28"/>
        <v>7.2195798545569186E-3</v>
      </c>
      <c r="M79" s="38">
        <f t="shared" si="29"/>
        <v>1.1408618571115464E-3</v>
      </c>
      <c r="N79" s="67">
        <f t="shared" si="30"/>
        <v>8.2034417855960332E-3</v>
      </c>
      <c r="O79" s="68">
        <f t="shared" si="31"/>
        <v>5093.4117222388995</v>
      </c>
      <c r="P79" s="68">
        <f t="shared" si="32"/>
        <v>41.783506553459247</v>
      </c>
      <c r="Q79" s="69">
        <v>5078.3</v>
      </c>
      <c r="R79" s="69">
        <v>5103.7700000000004</v>
      </c>
      <c r="S79" s="49">
        <v>15</v>
      </c>
      <c r="T79" s="49">
        <v>52400.57</v>
      </c>
      <c r="U79" s="49">
        <v>52400.57</v>
      </c>
    </row>
    <row r="80" spans="1:21" ht="16.5" customHeight="1">
      <c r="A80" s="31">
        <v>70</v>
      </c>
      <c r="B80" s="32" t="s">
        <v>117</v>
      </c>
      <c r="C80" s="32" t="s">
        <v>33</v>
      </c>
      <c r="D80" s="48">
        <v>18500100886.970001</v>
      </c>
      <c r="E80" s="48">
        <v>169215596.37</v>
      </c>
      <c r="F80" s="48">
        <v>26341533.699999999</v>
      </c>
      <c r="G80" s="65">
        <v>142874062.66999999</v>
      </c>
      <c r="H80" s="50">
        <v>18896980661.959999</v>
      </c>
      <c r="I80" s="66">
        <f t="shared" si="22"/>
        <v>8.4440564128711135E-2</v>
      </c>
      <c r="J80" s="48">
        <v>18993145008.619999</v>
      </c>
      <c r="K80" s="66">
        <f t="shared" si="23"/>
        <v>6.3147938895505837E-2</v>
      </c>
      <c r="L80" s="66">
        <f t="shared" si="28"/>
        <v>5.088873634378036E-3</v>
      </c>
      <c r="M80" s="38">
        <f t="shared" si="29"/>
        <v>1.3868968876952685E-3</v>
      </c>
      <c r="N80" s="67">
        <f t="shared" si="30"/>
        <v>7.52240150881578E-3</v>
      </c>
      <c r="O80" s="68">
        <f t="shared" si="31"/>
        <v>123.09272781346952</v>
      </c>
      <c r="P80" s="68">
        <f t="shared" si="32"/>
        <v>0.92595292142829333</v>
      </c>
      <c r="Q80" s="65">
        <v>123.09</v>
      </c>
      <c r="R80" s="65">
        <v>123.09</v>
      </c>
      <c r="S80" s="49">
        <v>4151</v>
      </c>
      <c r="T80" s="49">
        <v>154682388.74000001</v>
      </c>
      <c r="U80" s="49">
        <v>154299489.06</v>
      </c>
    </row>
    <row r="81" spans="1:21" ht="15.75">
      <c r="A81" s="31">
        <v>71</v>
      </c>
      <c r="B81" s="32" t="s">
        <v>118</v>
      </c>
      <c r="C81" s="32" t="s">
        <v>33</v>
      </c>
      <c r="D81" s="48">
        <v>13806479169.18</v>
      </c>
      <c r="E81" s="48">
        <v>95611261.219999999</v>
      </c>
      <c r="F81" s="48">
        <v>24475932.629999999</v>
      </c>
      <c r="G81" s="65">
        <v>71135328.590000004</v>
      </c>
      <c r="H81" s="44" t="s">
        <v>225</v>
      </c>
      <c r="I81" s="66">
        <f t="shared" si="22"/>
        <v>6.26333129110902E-2</v>
      </c>
      <c r="J81" s="48">
        <v>14025714512.610001</v>
      </c>
      <c r="K81" s="66">
        <f t="shared" si="23"/>
        <v>4.6632348808274514E-2</v>
      </c>
      <c r="L81" s="66">
        <f t="shared" si="28"/>
        <v>6.4105726297002303E-4</v>
      </c>
      <c r="M81" s="38">
        <f t="shared" si="29"/>
        <v>1.7450756329023091E-3</v>
      </c>
      <c r="N81" s="67">
        <f t="shared" si="30"/>
        <v>5.07177930408072E-3</v>
      </c>
      <c r="O81" s="68">
        <f t="shared" si="31"/>
        <v>346.64435056288778</v>
      </c>
      <c r="P81" s="68">
        <f t="shared" si="32"/>
        <v>1.7581036430613561</v>
      </c>
      <c r="Q81" s="69">
        <v>346.58</v>
      </c>
      <c r="R81" s="69">
        <v>346.69</v>
      </c>
      <c r="S81" s="49">
        <v>10192</v>
      </c>
      <c r="T81" s="49">
        <v>40589474.890000001</v>
      </c>
      <c r="U81" s="49">
        <v>40461396.5</v>
      </c>
    </row>
    <row r="82" spans="1:21" ht="15.75">
      <c r="A82" s="31">
        <v>72</v>
      </c>
      <c r="B82" s="32" t="s">
        <v>119</v>
      </c>
      <c r="C82" s="32" t="s">
        <v>37</v>
      </c>
      <c r="D82" s="48">
        <v>88484159129</v>
      </c>
      <c r="E82" s="48">
        <v>811516251</v>
      </c>
      <c r="F82" s="48">
        <v>152031438</v>
      </c>
      <c r="G82" s="65">
        <v>659484813</v>
      </c>
      <c r="H82" s="42">
        <v>102060236707</v>
      </c>
      <c r="I82" s="66">
        <f t="shared" si="22"/>
        <v>0.45605295982532945</v>
      </c>
      <c r="J82" s="48">
        <v>102639275310</v>
      </c>
      <c r="K82" s="66">
        <f t="shared" si="23"/>
        <v>0.34125252466683559</v>
      </c>
      <c r="L82" s="66">
        <f t="shared" si="28"/>
        <v>5.6734985306994244E-3</v>
      </c>
      <c r="M82" s="38">
        <f t="shared" si="29"/>
        <v>1.4812208829497434E-3</v>
      </c>
      <c r="N82" s="67">
        <f t="shared" si="30"/>
        <v>6.4252676278955308E-3</v>
      </c>
      <c r="O82" s="68">
        <f t="shared" si="31"/>
        <v>1.9228706803381739</v>
      </c>
      <c r="P82" s="68">
        <f t="shared" si="32"/>
        <v>1.2354958735006324E-2</v>
      </c>
      <c r="Q82" s="69">
        <v>1.92</v>
      </c>
      <c r="R82" s="69">
        <v>1.92</v>
      </c>
      <c r="S82" s="49">
        <v>2039</v>
      </c>
      <c r="T82" s="49">
        <v>53871448013</v>
      </c>
      <c r="U82" s="49">
        <v>53378147766</v>
      </c>
    </row>
    <row r="83" spans="1:21" ht="15.75">
      <c r="A83" s="31">
        <v>73</v>
      </c>
      <c r="B83" s="32" t="s">
        <v>120</v>
      </c>
      <c r="C83" s="32" t="s">
        <v>38</v>
      </c>
      <c r="D83" s="48">
        <v>10965583998.24</v>
      </c>
      <c r="E83" s="48">
        <v>57136857.409999996</v>
      </c>
      <c r="F83" s="48">
        <v>2141837</v>
      </c>
      <c r="G83" s="48">
        <v>54995020.399999999</v>
      </c>
      <c r="H83" s="42">
        <v>9759243528.5900002</v>
      </c>
      <c r="I83" s="66">
        <f t="shared" si="22"/>
        <v>4.3608872960456298E-2</v>
      </c>
      <c r="J83" s="48">
        <v>9386752014</v>
      </c>
      <c r="K83" s="66">
        <f t="shared" si="23"/>
        <v>3.1208840997018567E-2</v>
      </c>
      <c r="L83" s="66">
        <f t="shared" si="28"/>
        <v>-3.8168072504674667E-2</v>
      </c>
      <c r="M83" s="38">
        <f t="shared" si="29"/>
        <v>2.2817658299756165E-4</v>
      </c>
      <c r="N83" s="67">
        <f t="shared" si="30"/>
        <v>5.8587912323641786E-3</v>
      </c>
      <c r="O83" s="68">
        <f t="shared" si="31"/>
        <v>1</v>
      </c>
      <c r="P83" s="68">
        <f t="shared" si="32"/>
        <v>5.8587912323641786E-3</v>
      </c>
      <c r="Q83" s="69">
        <v>1</v>
      </c>
      <c r="R83" s="69">
        <v>1</v>
      </c>
      <c r="S83" s="49">
        <v>5498</v>
      </c>
      <c r="T83" s="49">
        <v>9759243528.5900002</v>
      </c>
      <c r="U83" s="49">
        <v>9386752014</v>
      </c>
    </row>
    <row r="84" spans="1:21" ht="15.75">
      <c r="A84" s="31">
        <v>74</v>
      </c>
      <c r="B84" s="43" t="s">
        <v>121</v>
      </c>
      <c r="C84" s="43" t="s">
        <v>85</v>
      </c>
      <c r="D84" s="48">
        <v>2570823268.8400002</v>
      </c>
      <c r="E84" s="48">
        <v>21816338.239999998</v>
      </c>
      <c r="F84" s="48">
        <v>4324576.54</v>
      </c>
      <c r="G84" s="48">
        <v>17491761.699999999</v>
      </c>
      <c r="H84" s="42">
        <v>2565508135.0700002</v>
      </c>
      <c r="I84" s="66">
        <f t="shared" si="22"/>
        <v>1.146389246395298E-2</v>
      </c>
      <c r="J84" s="48">
        <v>2575968238.7600002</v>
      </c>
      <c r="K84" s="66">
        <f t="shared" si="23"/>
        <v>8.5645155062078551E-3</v>
      </c>
      <c r="L84" s="66">
        <f t="shared" si="28"/>
        <v>4.0772054264854836E-3</v>
      </c>
      <c r="M84" s="38">
        <f t="shared" si="29"/>
        <v>1.678815939936329E-3</v>
      </c>
      <c r="N84" s="67">
        <f t="shared" si="30"/>
        <v>6.7903638860159427E-3</v>
      </c>
      <c r="O84" s="68">
        <f t="shared" si="31"/>
        <v>24.910727417809575</v>
      </c>
      <c r="P84" s="68">
        <f t="shared" si="32"/>
        <v>0.16915290383228132</v>
      </c>
      <c r="Q84" s="69">
        <v>24.910799999999998</v>
      </c>
      <c r="R84" s="69">
        <v>24.910799999999998</v>
      </c>
      <c r="S84" s="49">
        <v>1319</v>
      </c>
      <c r="T84" s="49">
        <v>103661983.25</v>
      </c>
      <c r="U84" s="49">
        <v>103407989.48</v>
      </c>
    </row>
    <row r="85" spans="1:21" ht="15.75">
      <c r="A85" s="104" t="s">
        <v>39</v>
      </c>
      <c r="B85" s="104"/>
      <c r="C85" s="104"/>
      <c r="D85" s="104"/>
      <c r="E85" s="104"/>
      <c r="F85" s="104"/>
      <c r="G85" s="104"/>
      <c r="H85" s="53">
        <f>SUM(H56:H84)</f>
        <v>223790317567.69998</v>
      </c>
      <c r="I85" s="62">
        <f>(H85/$H$168)</f>
        <v>0.12091554890751119</v>
      </c>
      <c r="J85" s="53">
        <f>SUM(J56:J84)</f>
        <v>300772207942.51001</v>
      </c>
      <c r="K85" s="62">
        <f>(J85/$J$168)</f>
        <v>0.15109485814462606</v>
      </c>
      <c r="L85" s="66">
        <f t="shared" si="28"/>
        <v>0.34399115748840131</v>
      </c>
      <c r="M85" s="72"/>
      <c r="N85" s="72"/>
      <c r="O85" s="64"/>
      <c r="P85" s="64"/>
      <c r="Q85" s="53"/>
      <c r="R85" s="53"/>
      <c r="S85" s="54">
        <f>SUM(S56:S84)</f>
        <v>43730</v>
      </c>
      <c r="T85" s="54"/>
      <c r="U85" s="42"/>
    </row>
    <row r="86" spans="1:21" ht="6.75" customHeight="1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</row>
    <row r="87" spans="1:21">
      <c r="A87" s="101" t="s">
        <v>122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</row>
    <row r="88" spans="1:21">
      <c r="A88" s="102" t="s">
        <v>123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</row>
    <row r="89" spans="1:21" ht="15.75">
      <c r="A89" s="73">
        <v>75</v>
      </c>
      <c r="B89" s="32" t="s">
        <v>124</v>
      </c>
      <c r="C89" s="32" t="s">
        <v>12</v>
      </c>
      <c r="D89" s="33">
        <v>1336928183.52</v>
      </c>
      <c r="E89" s="33">
        <v>8892554.4199999999</v>
      </c>
      <c r="F89" s="33">
        <v>2563645.4700000002</v>
      </c>
      <c r="G89" s="65">
        <v>6328908.9500000002</v>
      </c>
      <c r="H89" s="37">
        <v>1300312418.5</v>
      </c>
      <c r="I89" s="36">
        <f>(H89/$H$110)</f>
        <v>2.2732487947086303E-3</v>
      </c>
      <c r="J89" s="37">
        <v>1330324850.3099999</v>
      </c>
      <c r="K89" s="36">
        <f>(J89/$J$110)</f>
        <v>2.2532042169368513E-3</v>
      </c>
      <c r="L89" s="36">
        <f>((J89-H89)/H89)</f>
        <v>2.3080939152008831E-2</v>
      </c>
      <c r="M89" s="38">
        <f t="shared" ref="M89" si="33">(F89/J89)</f>
        <v>1.927082298284216E-3</v>
      </c>
      <c r="N89" s="39">
        <f t="shared" ref="N89" si="34">G89/J89</f>
        <v>4.7574161668296295E-3</v>
      </c>
      <c r="O89" s="40">
        <f t="shared" ref="O89" si="35">J89/U89</f>
        <v>83516.429276974552</v>
      </c>
      <c r="P89" s="40">
        <f t="shared" ref="P89" si="36">G89/U89</f>
        <v>397.32241083816211</v>
      </c>
      <c r="Q89" s="41">
        <f>108.6378*769.26</f>
        <v>83570.714028000002</v>
      </c>
      <c r="R89" s="37">
        <f>108.6378*769.26</f>
        <v>83570.714028000002</v>
      </c>
      <c r="S89" s="42">
        <v>225</v>
      </c>
      <c r="T89" s="42">
        <v>15888.302</v>
      </c>
      <c r="U89" s="42">
        <v>15928.9</v>
      </c>
    </row>
    <row r="90" spans="1:21" ht="15" customHeight="1">
      <c r="A90" s="73">
        <v>76</v>
      </c>
      <c r="B90" s="32" t="s">
        <v>125</v>
      </c>
      <c r="C90" s="43" t="s">
        <v>16</v>
      </c>
      <c r="D90" s="41">
        <f>8729705.26*769.26</f>
        <v>6715413068.3076</v>
      </c>
      <c r="E90" s="37">
        <f>218636.65*769.26</f>
        <v>168188429.37900001</v>
      </c>
      <c r="F90" s="37">
        <f>19855.01*769.26</f>
        <v>15273664.992599998</v>
      </c>
      <c r="G90" s="35">
        <f>198781.64*769.26</f>
        <v>152914764.38640001</v>
      </c>
      <c r="H90" s="37">
        <f>10636501*757.523</f>
        <v>8057394147.0230007</v>
      </c>
      <c r="I90" s="36">
        <f t="shared" ref="I90:I98" si="37">(H90/$H$110)</f>
        <v>1.4086200571968473E-2</v>
      </c>
      <c r="J90" s="37">
        <f>10314800*769.26</f>
        <v>7934763048</v>
      </c>
      <c r="K90" s="36">
        <f t="shared" ref="K90:K98" si="38">(J90/$J$110)</f>
        <v>1.3439305111065255E-2</v>
      </c>
      <c r="L90" s="36">
        <f t="shared" ref="L90:L98" si="39">((J90-H90)/H90)</f>
        <v>-1.5219697185635352E-2</v>
      </c>
      <c r="M90" s="38">
        <f t="shared" ref="M90:M98" si="40">(F90/J90)</f>
        <v>1.9249049908868806E-3</v>
      </c>
      <c r="N90" s="39">
        <f t="shared" ref="N90:N98" si="41">G90/J90</f>
        <v>1.9271497266064298E-2</v>
      </c>
      <c r="O90" s="40">
        <f t="shared" ref="O90:O98" si="42">J90/U90</f>
        <v>890.78783898520578</v>
      </c>
      <c r="P90" s="40">
        <f t="shared" ref="P90:P98" si="43">G90/U90</f>
        <v>17.166815403646716</v>
      </c>
      <c r="Q90" s="41">
        <f>1.158*769.26</f>
        <v>890.80307999999991</v>
      </c>
      <c r="R90" s="41">
        <f>1.158*769.26</f>
        <v>890.80307999999991</v>
      </c>
      <c r="S90" s="42">
        <v>353</v>
      </c>
      <c r="T90" s="42">
        <v>9252273</v>
      </c>
      <c r="U90" s="42">
        <v>8907579</v>
      </c>
    </row>
    <row r="91" spans="1:21" ht="15" customHeight="1">
      <c r="A91" s="73">
        <v>77</v>
      </c>
      <c r="B91" s="32" t="s">
        <v>126</v>
      </c>
      <c r="C91" s="43" t="s">
        <v>60</v>
      </c>
      <c r="D91" s="41">
        <v>1958043987.46</v>
      </c>
      <c r="E91" s="37">
        <v>12723575.789999999</v>
      </c>
      <c r="F91" s="37">
        <v>3304094.78</v>
      </c>
      <c r="G91" s="35">
        <v>9419481</v>
      </c>
      <c r="H91" s="37">
        <v>1924439790.8599999</v>
      </c>
      <c r="I91" s="36">
        <f t="shared" si="37"/>
        <v>3.3643687261776492E-3</v>
      </c>
      <c r="J91" s="37">
        <v>1948619929.3599999</v>
      </c>
      <c r="K91" s="36">
        <f t="shared" si="38"/>
        <v>3.3004259380842271E-3</v>
      </c>
      <c r="L91" s="36">
        <f t="shared" si="39"/>
        <v>1.2564767479264343E-2</v>
      </c>
      <c r="M91" s="38">
        <f t="shared" si="40"/>
        <v>1.6956076093736702E-3</v>
      </c>
      <c r="N91" s="39">
        <f t="shared" si="41"/>
        <v>4.8339241829953531E-3</v>
      </c>
      <c r="O91" s="40">
        <f t="shared" si="42"/>
        <v>81781.425547389808</v>
      </c>
      <c r="P91" s="40">
        <f t="shared" si="43"/>
        <v>395.3252106733616</v>
      </c>
      <c r="Q91" s="37">
        <v>105.78</v>
      </c>
      <c r="R91" s="37">
        <v>105.78</v>
      </c>
      <c r="S91" s="42">
        <v>39</v>
      </c>
      <c r="T91" s="42">
        <v>24055.81</v>
      </c>
      <c r="U91" s="42">
        <v>23827.17</v>
      </c>
    </row>
    <row r="92" spans="1:21" ht="15" customHeight="1">
      <c r="A92" s="73">
        <v>78</v>
      </c>
      <c r="B92" s="32" t="s">
        <v>127</v>
      </c>
      <c r="C92" s="32" t="s">
        <v>128</v>
      </c>
      <c r="D92" s="33">
        <v>22413074636.669998</v>
      </c>
      <c r="E92" s="33">
        <v>131315255.73</v>
      </c>
      <c r="F92" s="33">
        <v>21735045.309999999</v>
      </c>
      <c r="G92" s="35">
        <v>34604306.719999999</v>
      </c>
      <c r="H92" s="37">
        <v>22418493292.98</v>
      </c>
      <c r="I92" s="36">
        <f t="shared" si="37"/>
        <v>3.9192744860684643E-2</v>
      </c>
      <c r="J92" s="37">
        <v>22413074636.669998</v>
      </c>
      <c r="K92" s="36">
        <f t="shared" si="38"/>
        <v>3.7961580792914701E-2</v>
      </c>
      <c r="L92" s="36">
        <f t="shared" si="39"/>
        <v>-2.4170474969868473E-4</v>
      </c>
      <c r="M92" s="38">
        <f t="shared" si="40"/>
        <v>9.6974849110792341E-4</v>
      </c>
      <c r="N92" s="39">
        <f t="shared" si="41"/>
        <v>1.5439339439571554E-3</v>
      </c>
      <c r="O92" s="40">
        <f t="shared" si="42"/>
        <v>97631.727956780291</v>
      </c>
      <c r="P92" s="40">
        <f t="shared" si="43"/>
        <v>150.73693879966387</v>
      </c>
      <c r="Q92" s="56">
        <v>1515.47</v>
      </c>
      <c r="R92" s="56">
        <v>1515.47</v>
      </c>
      <c r="S92" s="42">
        <v>1931</v>
      </c>
      <c r="T92" s="42">
        <v>234121.74</v>
      </c>
      <c r="U92" s="42">
        <v>229567.53</v>
      </c>
    </row>
    <row r="93" spans="1:21" ht="15.75">
      <c r="A93" s="73">
        <v>79</v>
      </c>
      <c r="B93" s="32" t="s">
        <v>129</v>
      </c>
      <c r="C93" s="32" t="s">
        <v>128</v>
      </c>
      <c r="D93" s="33">
        <v>17562141743.82</v>
      </c>
      <c r="E93" s="33">
        <v>103838339.93000001</v>
      </c>
      <c r="F93" s="33">
        <v>26578073.890000001</v>
      </c>
      <c r="G93" s="35">
        <v>77260266.040000007</v>
      </c>
      <c r="H93" s="37">
        <v>16392630159.25</v>
      </c>
      <c r="I93" s="36">
        <f t="shared" si="37"/>
        <v>2.8658133400438185E-2</v>
      </c>
      <c r="J93" s="37">
        <v>17562141743.82</v>
      </c>
      <c r="K93" s="36">
        <f t="shared" si="38"/>
        <v>2.9745435354678103E-2</v>
      </c>
      <c r="L93" s="36">
        <f t="shared" si="39"/>
        <v>7.1343742475033514E-2</v>
      </c>
      <c r="M93" s="38">
        <f t="shared" si="40"/>
        <v>1.5133731567422662E-3</v>
      </c>
      <c r="N93" s="39">
        <f t="shared" si="41"/>
        <v>4.3992507956603514E-3</v>
      </c>
      <c r="O93" s="40">
        <f t="shared" si="42"/>
        <v>86609.188113322685</v>
      </c>
      <c r="P93" s="40">
        <f t="shared" si="43"/>
        <v>381.01553971903189</v>
      </c>
      <c r="Q93" s="56">
        <v>112.01</v>
      </c>
      <c r="R93" s="56">
        <v>112.01</v>
      </c>
      <c r="S93" s="42">
        <v>143</v>
      </c>
      <c r="T93" s="42">
        <v>193391.06</v>
      </c>
      <c r="U93" s="42">
        <v>202774.58</v>
      </c>
    </row>
    <row r="94" spans="1:21" ht="15.75">
      <c r="A94" s="73">
        <v>80</v>
      </c>
      <c r="B94" s="46" t="s">
        <v>130</v>
      </c>
      <c r="C94" s="47" t="s">
        <v>131</v>
      </c>
      <c r="D94" s="33">
        <f>149189.56*769.26</f>
        <v>114765560.92559999</v>
      </c>
      <c r="E94" s="33">
        <f>3888.75*769.26</f>
        <v>2991459.8250000002</v>
      </c>
      <c r="F94" s="33">
        <f>192.19*769.26</f>
        <v>147844.07939999999</v>
      </c>
      <c r="G94" s="35">
        <f>3696.56*769.26</f>
        <v>2843615.7456</v>
      </c>
      <c r="H94" s="37">
        <f>88839.88*757.523</f>
        <v>67298252.417240009</v>
      </c>
      <c r="I94" s="36">
        <f t="shared" si="37"/>
        <v>1.1765301093560849E-4</v>
      </c>
      <c r="J94" s="37">
        <f>85242.01*769.26</f>
        <v>65573268.612599999</v>
      </c>
      <c r="K94" s="36">
        <f t="shared" si="38"/>
        <v>1.1106307254338188E-4</v>
      </c>
      <c r="L94" s="36">
        <f t="shared" si="39"/>
        <v>-2.5631925684271042E-2</v>
      </c>
      <c r="M94" s="38">
        <f t="shared" si="40"/>
        <v>2.2546394670890559E-3</v>
      </c>
      <c r="N94" s="39">
        <f t="shared" si="41"/>
        <v>4.3365472024885381E-2</v>
      </c>
      <c r="O94" s="40">
        <f t="shared" si="42"/>
        <v>79048.700604679761</v>
      </c>
      <c r="P94" s="40">
        <f t="shared" si="43"/>
        <v>3427.9842146757805</v>
      </c>
      <c r="Q94" s="56">
        <f>106.53*769.26</f>
        <v>81949.267800000001</v>
      </c>
      <c r="R94" s="56" t="s">
        <v>212</v>
      </c>
      <c r="S94" s="42">
        <v>2</v>
      </c>
      <c r="T94" s="42">
        <v>829.53</v>
      </c>
      <c r="U94" s="42">
        <v>829.53</v>
      </c>
    </row>
    <row r="95" spans="1:21" ht="15.75">
      <c r="A95" s="73">
        <v>81</v>
      </c>
      <c r="B95" s="32" t="s">
        <v>132</v>
      </c>
      <c r="C95" s="32" t="s">
        <v>133</v>
      </c>
      <c r="D95" s="34">
        <f>12993333.64*769.26</f>
        <v>9995251835.9064007</v>
      </c>
      <c r="E95" s="34">
        <f>73868.16*769.26</f>
        <v>56823820.761600003</v>
      </c>
      <c r="F95" s="34">
        <f>20549.84*769.26</f>
        <v>15808169.918400001</v>
      </c>
      <c r="G95" s="34">
        <f>53318.32*769.26</f>
        <v>41015650.843199998</v>
      </c>
      <c r="H95" s="59">
        <f>12757179.25*757.523</f>
        <v>9663856696.9977512</v>
      </c>
      <c r="I95" s="36">
        <f t="shared" si="37"/>
        <v>1.6894671062227546E-2</v>
      </c>
      <c r="J95" s="37">
        <f>12909053.97*769.26</f>
        <v>9930418856.9622002</v>
      </c>
      <c r="K95" s="36">
        <f t="shared" si="38"/>
        <v>1.6819396885837654E-2</v>
      </c>
      <c r="L95" s="36">
        <f t="shared" si="39"/>
        <v>2.7583413984942594E-2</v>
      </c>
      <c r="M95" s="38">
        <f t="shared" si="40"/>
        <v>1.5918935692543241E-3</v>
      </c>
      <c r="N95" s="39">
        <f t="shared" si="41"/>
        <v>4.1303042131444426E-3</v>
      </c>
      <c r="O95" s="40">
        <f t="shared" si="42"/>
        <v>987.28924743817197</v>
      </c>
      <c r="P95" s="40">
        <f t="shared" si="43"/>
        <v>4.0778049382860884</v>
      </c>
      <c r="Q95" s="56">
        <f>1.31*769.26</f>
        <v>1007.7306</v>
      </c>
      <c r="R95" s="56">
        <f>1.31*769.26</f>
        <v>1007.7306</v>
      </c>
      <c r="S95" s="42">
        <v>118</v>
      </c>
      <c r="T95" s="42">
        <v>10020986</v>
      </c>
      <c r="U95" s="42">
        <v>10058267</v>
      </c>
    </row>
    <row r="96" spans="1:21" ht="15.75">
      <c r="A96" s="73">
        <v>82</v>
      </c>
      <c r="B96" s="32" t="s">
        <v>134</v>
      </c>
      <c r="C96" s="32" t="s">
        <v>37</v>
      </c>
      <c r="D96" s="41">
        <f>139298142*769.26</f>
        <v>107156488714.92</v>
      </c>
      <c r="E96" s="37">
        <f>993667*769.26</f>
        <v>764388276.41999996</v>
      </c>
      <c r="F96" s="37">
        <f>250746*769.26</f>
        <v>192888867.96000001</v>
      </c>
      <c r="G96" s="35">
        <f>742921*769.26</f>
        <v>571499408.46000004</v>
      </c>
      <c r="H96" s="37">
        <f>148642900*757.523</f>
        <v>112600415536.7</v>
      </c>
      <c r="I96" s="36">
        <f t="shared" si="37"/>
        <v>0.19685173752148871</v>
      </c>
      <c r="J96" s="37">
        <f>147718622*769.26</f>
        <v>113634027159.72</v>
      </c>
      <c r="K96" s="36">
        <f t="shared" si="38"/>
        <v>0.19246477213752242</v>
      </c>
      <c r="L96" s="36">
        <f t="shared" si="39"/>
        <v>9.1794654406325699E-3</v>
      </c>
      <c r="M96" s="38">
        <f t="shared" si="40"/>
        <v>1.6974569394507351E-3</v>
      </c>
      <c r="N96" s="39">
        <f t="shared" si="41"/>
        <v>5.0292982018204854E-3</v>
      </c>
      <c r="O96" s="40">
        <f t="shared" si="42"/>
        <v>94110.206127191283</v>
      </c>
      <c r="P96" s="40">
        <f t="shared" si="43"/>
        <v>473.30829044843836</v>
      </c>
      <c r="Q96" s="37">
        <f>122*769.26</f>
        <v>93849.72</v>
      </c>
      <c r="R96" s="37">
        <f>122*769.26</f>
        <v>93849.72</v>
      </c>
      <c r="S96" s="42">
        <v>1191</v>
      </c>
      <c r="T96" s="42">
        <v>1225653</v>
      </c>
      <c r="U96" s="42">
        <v>1207457</v>
      </c>
    </row>
    <row r="97" spans="1:21" ht="15.75">
      <c r="A97" s="73">
        <v>83</v>
      </c>
      <c r="B97" s="32" t="s">
        <v>189</v>
      </c>
      <c r="C97" s="32" t="s">
        <v>184</v>
      </c>
      <c r="D97" s="34">
        <v>3641204268.4200001</v>
      </c>
      <c r="E97" s="34">
        <v>38046750.899999999</v>
      </c>
      <c r="F97" s="34">
        <v>7539557.6399999997</v>
      </c>
      <c r="G97" s="34">
        <v>30507193.260000002</v>
      </c>
      <c r="H97" s="35">
        <v>3198341843.4200001</v>
      </c>
      <c r="I97" s="36">
        <f t="shared" si="37"/>
        <v>5.5914460534091208E-3</v>
      </c>
      <c r="J97" s="37">
        <v>3797108139.96</v>
      </c>
      <c r="K97" s="36">
        <f t="shared" si="38"/>
        <v>6.4312562988877685E-3</v>
      </c>
      <c r="L97" s="36">
        <f t="shared" si="39"/>
        <v>0.18721147577512751</v>
      </c>
      <c r="M97" s="38">
        <f t="shared" si="40"/>
        <v>1.9856051927136906E-3</v>
      </c>
      <c r="N97" s="39">
        <f t="shared" si="41"/>
        <v>8.034322999376408E-3</v>
      </c>
      <c r="O97" s="40">
        <f t="shared" si="42"/>
        <v>80517.147097266701</v>
      </c>
      <c r="P97" s="40">
        <f t="shared" si="43"/>
        <v>646.90076676774322</v>
      </c>
      <c r="Q97" s="56">
        <v>80517.149999999994</v>
      </c>
      <c r="R97" s="56">
        <v>80517.149999999994</v>
      </c>
      <c r="S97" s="42">
        <v>179</v>
      </c>
      <c r="T97" s="42">
        <v>42269</v>
      </c>
      <c r="U97" s="42">
        <v>47159</v>
      </c>
    </row>
    <row r="98" spans="1:21" ht="15.75">
      <c r="A98" s="73">
        <v>84</v>
      </c>
      <c r="B98" s="32" t="s">
        <v>226</v>
      </c>
      <c r="C98" s="32" t="s">
        <v>29</v>
      </c>
      <c r="D98" s="41">
        <f>1785821.07*769.26</f>
        <v>1373760716.3082001</v>
      </c>
      <c r="E98" s="41">
        <f>5690.81*769.26</f>
        <v>4377712.5005999999</v>
      </c>
      <c r="F98" s="41">
        <f>2272.85*769.26</f>
        <v>1748412.591</v>
      </c>
      <c r="G98" s="35">
        <f>3417.96*769.26</f>
        <v>2629299.9095999999</v>
      </c>
      <c r="H98" s="37">
        <f>1789571.27*757.52</f>
        <v>1355636028.4503999</v>
      </c>
      <c r="I98" s="36">
        <f t="shared" si="37"/>
        <v>2.369967343150823E-3</v>
      </c>
      <c r="J98" s="37">
        <f>1806656.62*769.26</f>
        <v>1389788671.5012</v>
      </c>
      <c r="K98" s="36">
        <f t="shared" si="38"/>
        <v>2.3539195667493192E-3</v>
      </c>
      <c r="L98" s="36">
        <f t="shared" si="39"/>
        <v>2.519307714906285E-2</v>
      </c>
      <c r="M98" s="38">
        <f t="shared" si="40"/>
        <v>1.2580420511784914E-3</v>
      </c>
      <c r="N98" s="39">
        <f t="shared" si="41"/>
        <v>1.891870299072106E-3</v>
      </c>
      <c r="O98" s="40">
        <f t="shared" si="42"/>
        <v>101138.5030609019</v>
      </c>
      <c r="P98" s="40">
        <f t="shared" si="43"/>
        <v>191.3409300335336</v>
      </c>
      <c r="Q98" s="37">
        <f>128.86*769.26</f>
        <v>99126.843600000007</v>
      </c>
      <c r="R98" s="37">
        <f>131.61*769.26</f>
        <v>101242.3086</v>
      </c>
      <c r="S98" s="42">
        <v>40</v>
      </c>
      <c r="T98" s="42">
        <v>13549.44</v>
      </c>
      <c r="U98" s="42">
        <v>13741.44</v>
      </c>
    </row>
    <row r="99" spans="1:21" ht="15.75">
      <c r="A99" s="74"/>
      <c r="B99" s="57"/>
      <c r="C99" s="75"/>
      <c r="D99" s="37"/>
      <c r="E99" s="37"/>
      <c r="F99" s="37"/>
      <c r="G99" s="35"/>
      <c r="H99" s="41"/>
      <c r="I99" s="76"/>
      <c r="J99" s="41"/>
      <c r="K99" s="76"/>
      <c r="L99" s="76"/>
      <c r="M99" s="77"/>
      <c r="N99" s="78"/>
      <c r="O99" s="79"/>
      <c r="P99" s="79"/>
      <c r="Q99" s="41"/>
      <c r="R99" s="41"/>
      <c r="S99" s="80"/>
      <c r="T99" s="80"/>
      <c r="U99" s="33"/>
    </row>
    <row r="100" spans="1:21">
      <c r="A100" s="102" t="s">
        <v>135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</row>
    <row r="101" spans="1:21" ht="15.75">
      <c r="A101" s="31">
        <v>85</v>
      </c>
      <c r="B101" s="32" t="s">
        <v>136</v>
      </c>
      <c r="C101" s="43" t="s">
        <v>92</v>
      </c>
      <c r="D101" s="41">
        <f>723458.96*769.26</f>
        <v>556528039.56959999</v>
      </c>
      <c r="E101" s="41">
        <f>7429.05*769.26</f>
        <v>5714871.0030000005</v>
      </c>
      <c r="F101" s="41">
        <f>1384.03*769.26</f>
        <v>1064678.9177999999</v>
      </c>
      <c r="G101" s="34">
        <f>6045.02*769.26</f>
        <v>4650192.0852000006</v>
      </c>
      <c r="H101" s="41">
        <f>882233.75*757.523</f>
        <v>668312357.00125003</v>
      </c>
      <c r="I101" s="36">
        <f>(H101/$H$110)</f>
        <v>1.1683655700177992E-3</v>
      </c>
      <c r="J101" s="41">
        <f>879895.39*769.26</f>
        <v>676868327.71140003</v>
      </c>
      <c r="K101" s="66">
        <f>(J101/$J$110)</f>
        <v>1.1464286861625776E-3</v>
      </c>
      <c r="L101" s="66">
        <f>((J101-H101)/H101)</f>
        <v>1.2802353002331214E-2</v>
      </c>
      <c r="M101" s="38">
        <f t="shared" ref="M101" si="44">(F101/J101)</f>
        <v>1.5729483478712167E-3</v>
      </c>
      <c r="N101" s="67">
        <f t="shared" ref="N101" si="45">G101/J101</f>
        <v>6.8701575990754993E-3</v>
      </c>
      <c r="O101" s="40">
        <f t="shared" ref="O101" si="46">J101/U101</f>
        <v>74618.931508257083</v>
      </c>
      <c r="P101" s="40">
        <f t="shared" ref="P101" si="47">G101/U101</f>
        <v>512.64381933634661</v>
      </c>
      <c r="Q101" s="41">
        <f>97*769.26</f>
        <v>74618.22</v>
      </c>
      <c r="R101" s="41">
        <f>97*769.26</f>
        <v>74618.22</v>
      </c>
      <c r="S101" s="42">
        <v>28</v>
      </c>
      <c r="T101" s="42">
        <v>8991</v>
      </c>
      <c r="U101" s="42">
        <v>9071</v>
      </c>
    </row>
    <row r="102" spans="1:21" ht="15.75" customHeight="1">
      <c r="A102" s="31">
        <v>86</v>
      </c>
      <c r="B102" s="32" t="s">
        <v>137</v>
      </c>
      <c r="C102" s="43" t="s">
        <v>18</v>
      </c>
      <c r="D102" s="41">
        <f>5130944.97*769.26</f>
        <v>3947030727.6221995</v>
      </c>
      <c r="E102" s="41">
        <f>39893.82*769.26</f>
        <v>30688719.973200001</v>
      </c>
      <c r="F102" s="41">
        <f>6941.44*769.26</f>
        <v>5339772.1343999999</v>
      </c>
      <c r="G102" s="34">
        <f>32952.38*769.26</f>
        <v>25348947.838799998</v>
      </c>
      <c r="H102" s="41">
        <f>6340773.57*757.523</f>
        <v>4803281817.0671101</v>
      </c>
      <c r="I102" s="36">
        <f t="shared" ref="I102:I109" si="48">(H102/$H$110)</f>
        <v>8.397254725821637E-3</v>
      </c>
      <c r="J102" s="41">
        <f>6218050.66*769.26</f>
        <v>4783297650.7116003</v>
      </c>
      <c r="K102" s="66">
        <f t="shared" ref="K102:K109" si="49">(J102/$J$110)</f>
        <v>8.1015899499554695E-3</v>
      </c>
      <c r="L102" s="66">
        <f t="shared" ref="L102:L110" si="50">((J102-H102)/H102)</f>
        <v>-4.1605233914240982E-3</v>
      </c>
      <c r="M102" s="38">
        <f t="shared" ref="M102:M109" si="51">(F102/J102)</f>
        <v>1.1163369968426728E-3</v>
      </c>
      <c r="N102" s="67">
        <f t="shared" ref="N102:N109" si="52">G102/J102</f>
        <v>5.2994711368273082E-3</v>
      </c>
      <c r="O102" s="40">
        <f t="shared" ref="O102:O109" si="53">J102/U102</f>
        <v>96369.469414854335</v>
      </c>
      <c r="P102" s="40">
        <f t="shared" ref="P102:P109" si="54">G102/U102</f>
        <v>510.70722163538261</v>
      </c>
      <c r="Q102" s="41">
        <f>124.02*769.26</f>
        <v>95403.625199999995</v>
      </c>
      <c r="R102" s="41">
        <f>127.15*769.26</f>
        <v>97811.409</v>
      </c>
      <c r="S102" s="42">
        <v>318</v>
      </c>
      <c r="T102" s="42">
        <v>50566.55</v>
      </c>
      <c r="U102" s="42">
        <v>49634.99</v>
      </c>
    </row>
    <row r="103" spans="1:21" ht="15" customHeight="1">
      <c r="A103" s="31">
        <v>87</v>
      </c>
      <c r="B103" s="32" t="s">
        <v>138</v>
      </c>
      <c r="C103" s="32" t="s">
        <v>51</v>
      </c>
      <c r="D103" s="41">
        <f>10323298.38*769.26</f>
        <v>7941300511.7988005</v>
      </c>
      <c r="E103" s="41">
        <f>68649.57*769.26</f>
        <v>52809368.218200006</v>
      </c>
      <c r="F103" s="41">
        <f>18003.78*769.26</f>
        <v>13849587.8028</v>
      </c>
      <c r="G103" s="34">
        <f>50645.79*769.26</f>
        <v>38959780.415399998</v>
      </c>
      <c r="H103" s="41">
        <f>10935340.31*757.523</f>
        <v>8283771797.6521311</v>
      </c>
      <c r="I103" s="36">
        <f t="shared" si="48"/>
        <v>1.4481961401535327E-2</v>
      </c>
      <c r="J103" s="41">
        <f>10914202.09*769.26</f>
        <v>8395859099.7533998</v>
      </c>
      <c r="K103" s="66">
        <f t="shared" si="49"/>
        <v>1.4220274938082762E-2</v>
      </c>
      <c r="L103" s="66">
        <f t="shared" si="50"/>
        <v>1.353095001156812E-2</v>
      </c>
      <c r="M103" s="38">
        <f t="shared" si="51"/>
        <v>1.6495736336507583E-3</v>
      </c>
      <c r="N103" s="67">
        <f t="shared" si="52"/>
        <v>4.6403566272978916E-3</v>
      </c>
      <c r="O103" s="40">
        <f t="shared" si="53"/>
        <v>87534.370012546526</v>
      </c>
      <c r="P103" s="40">
        <f t="shared" si="54"/>
        <v>406.19069400406607</v>
      </c>
      <c r="Q103" s="41">
        <f>113.55*769.26</f>
        <v>87349.472999999998</v>
      </c>
      <c r="R103" s="41">
        <f>114.72*460.85</f>
        <v>52868.712</v>
      </c>
      <c r="S103" s="42">
        <v>521</v>
      </c>
      <c r="T103" s="42">
        <v>95904</v>
      </c>
      <c r="U103" s="42">
        <v>95915</v>
      </c>
    </row>
    <row r="104" spans="1:21" ht="15.75">
      <c r="A104" s="31">
        <v>88</v>
      </c>
      <c r="B104" s="32" t="s">
        <v>139</v>
      </c>
      <c r="C104" s="43" t="s">
        <v>49</v>
      </c>
      <c r="D104" s="41">
        <f>3636966.58*769.26</f>
        <v>2797772911.3308001</v>
      </c>
      <c r="E104" s="41">
        <f>20194.25*769.26</f>
        <v>15534628.754999999</v>
      </c>
      <c r="F104" s="41">
        <f>4806.38*769.26</f>
        <v>3697355.8788000001</v>
      </c>
      <c r="G104" s="34">
        <f>15986.29*769.26</f>
        <v>12297613.4454</v>
      </c>
      <c r="H104" s="41">
        <f>3658893.08*757.52</f>
        <v>2771684685.9615998</v>
      </c>
      <c r="I104" s="36">
        <f t="shared" si="48"/>
        <v>4.8455500247724312E-3</v>
      </c>
      <c r="J104" s="41">
        <f>3615773.89*769.26</f>
        <v>2781470222.6213999</v>
      </c>
      <c r="K104" s="66">
        <f t="shared" si="49"/>
        <v>4.7110451506896201E-3</v>
      </c>
      <c r="L104" s="66">
        <f t="shared" si="50"/>
        <v>3.5305374775720885E-3</v>
      </c>
      <c r="M104" s="38">
        <f t="shared" si="51"/>
        <v>1.329281129357345E-3</v>
      </c>
      <c r="N104" s="67">
        <f t="shared" si="52"/>
        <v>4.4212637422413603E-3</v>
      </c>
      <c r="O104" s="40">
        <f t="shared" si="53"/>
        <v>908.65534289815014</v>
      </c>
      <c r="P104" s="40">
        <f t="shared" si="54"/>
        <v>4.017404921749482</v>
      </c>
      <c r="Q104" s="41">
        <f>1.18*769.26</f>
        <v>907.72679999999991</v>
      </c>
      <c r="R104" s="41">
        <f>1.18*769.26</f>
        <v>907.72679999999991</v>
      </c>
      <c r="S104" s="42">
        <v>150</v>
      </c>
      <c r="T104" s="42">
        <v>3110711.89</v>
      </c>
      <c r="U104" s="42">
        <v>3061083.88</v>
      </c>
    </row>
    <row r="105" spans="1:21" ht="15.75">
      <c r="A105" s="31">
        <v>89</v>
      </c>
      <c r="B105" s="43" t="s">
        <v>140</v>
      </c>
      <c r="C105" s="43" t="s">
        <v>31</v>
      </c>
      <c r="D105" s="41">
        <f>10642689.04*769.26</f>
        <v>8186994970.9103994</v>
      </c>
      <c r="E105" s="41">
        <f>99528.81*769.26</f>
        <v>76563532.38059999</v>
      </c>
      <c r="F105" s="41">
        <f>38157.51*769.26</f>
        <v>29353046.1426</v>
      </c>
      <c r="G105" s="34">
        <f>61372.57*769.26</f>
        <v>47211463.198200002</v>
      </c>
      <c r="H105" s="41">
        <f>10711000*757.52</f>
        <v>8113796720</v>
      </c>
      <c r="I105" s="36">
        <f t="shared" si="48"/>
        <v>1.4184805398942546E-2</v>
      </c>
      <c r="J105" s="41">
        <f>10836179.26*769.26</f>
        <v>8335839257.5475998</v>
      </c>
      <c r="K105" s="66">
        <f t="shared" si="49"/>
        <v>1.4118617841677715E-2</v>
      </c>
      <c r="L105" s="66">
        <f t="shared" si="50"/>
        <v>2.7366046403440064E-2</v>
      </c>
      <c r="M105" s="38">
        <f t="shared" si="51"/>
        <v>3.5213066418024542E-3</v>
      </c>
      <c r="N105" s="67">
        <f t="shared" si="52"/>
        <v>5.6636724557101873E-3</v>
      </c>
      <c r="O105" s="40">
        <f t="shared" si="53"/>
        <v>794.4102079055823</v>
      </c>
      <c r="P105" s="40">
        <f t="shared" si="54"/>
        <v>4.4992792130498502</v>
      </c>
      <c r="Q105" s="41">
        <f>1.0327*769.26</f>
        <v>794.41480200000001</v>
      </c>
      <c r="R105" s="41">
        <f>1.0327*769.26</f>
        <v>794.41480200000001</v>
      </c>
      <c r="S105" s="42">
        <v>376</v>
      </c>
      <c r="T105" s="42">
        <v>10430111</v>
      </c>
      <c r="U105" s="42">
        <v>10493117</v>
      </c>
    </row>
    <row r="106" spans="1:21" ht="15.75">
      <c r="A106" s="31">
        <v>90</v>
      </c>
      <c r="B106" s="32" t="s">
        <v>141</v>
      </c>
      <c r="C106" s="43" t="s">
        <v>74</v>
      </c>
      <c r="D106" s="41">
        <f>243769.29*769.26</f>
        <v>187521964.02540001</v>
      </c>
      <c r="E106" s="41">
        <f>1426.14*769.26</f>
        <v>1097072.4564</v>
      </c>
      <c r="F106" s="41">
        <f>100.44*769.26</f>
        <v>77264.474399999992</v>
      </c>
      <c r="G106" s="34">
        <f>1325.7*769.26</f>
        <v>1019807.9820000001</v>
      </c>
      <c r="H106" s="41">
        <f>241737.67*757.52</f>
        <v>183121119.7784</v>
      </c>
      <c r="I106" s="36">
        <f t="shared" si="48"/>
        <v>3.2013834436969392E-4</v>
      </c>
      <c r="J106" s="41">
        <f>238207.05*769.26</f>
        <v>183243155.28299999</v>
      </c>
      <c r="K106" s="66">
        <f t="shared" si="49"/>
        <v>3.1036348010206463E-4</v>
      </c>
      <c r="L106" s="66">
        <f t="shared" si="50"/>
        <v>6.6641960658424899E-4</v>
      </c>
      <c r="M106" s="38">
        <f t="shared" si="51"/>
        <v>4.2164998894868977E-4</v>
      </c>
      <c r="N106" s="67">
        <f t="shared" si="52"/>
        <v>5.5653264670378153E-3</v>
      </c>
      <c r="O106" s="40">
        <f t="shared" si="53"/>
        <v>717.23645334559751</v>
      </c>
      <c r="P106" s="40">
        <f t="shared" si="54"/>
        <v>3.9916550169285872</v>
      </c>
      <c r="Q106" s="41">
        <f>0.95*769.26</f>
        <v>730.79699999999991</v>
      </c>
      <c r="R106" s="41">
        <f>0.95*769.26</f>
        <v>730.79699999999991</v>
      </c>
      <c r="S106" s="42">
        <v>3</v>
      </c>
      <c r="T106" s="42">
        <v>255485</v>
      </c>
      <c r="U106" s="42">
        <v>255485</v>
      </c>
    </row>
    <row r="107" spans="1:21" ht="15.75">
      <c r="A107" s="31">
        <v>91</v>
      </c>
      <c r="B107" s="32" t="s">
        <v>142</v>
      </c>
      <c r="C107" s="32" t="s">
        <v>33</v>
      </c>
      <c r="D107" s="41">
        <f>456036597.7*769.26</f>
        <v>350810713146.70197</v>
      </c>
      <c r="E107" s="41">
        <f>3493634.31*769.26</f>
        <v>2687513129.3105998</v>
      </c>
      <c r="F107" s="41">
        <f>711645.6*769.26</f>
        <v>547440494.25599992</v>
      </c>
      <c r="G107" s="34">
        <f>2781988.71*769.26</f>
        <v>2140072635.0546</v>
      </c>
      <c r="H107" s="41">
        <f>453504231.91*757.52</f>
        <v>343538525756.4632</v>
      </c>
      <c r="I107" s="36">
        <f t="shared" si="48"/>
        <v>0.60058531203811594</v>
      </c>
      <c r="J107" s="41">
        <f>460118829.85*769.26</f>
        <v>353951011050.41101</v>
      </c>
      <c r="K107" s="66">
        <f t="shared" si="49"/>
        <v>0.59949561229500037</v>
      </c>
      <c r="L107" s="66">
        <f t="shared" si="50"/>
        <v>3.0309512655152096E-2</v>
      </c>
      <c r="M107" s="38">
        <f t="shared" si="51"/>
        <v>1.5466561110572203E-3</v>
      </c>
      <c r="N107" s="67">
        <f t="shared" si="52"/>
        <v>6.0462396440218186E-3</v>
      </c>
      <c r="O107" s="40">
        <f t="shared" si="53"/>
        <v>1106.4148794424264</v>
      </c>
      <c r="P107" s="40">
        <f t="shared" si="54"/>
        <v>6.6896495068204205</v>
      </c>
      <c r="Q107" s="41">
        <f>1.4383*769.26</f>
        <v>1106.4266579999999</v>
      </c>
      <c r="R107" s="41">
        <v>1106.4266579999999</v>
      </c>
      <c r="S107" s="42">
        <v>5434</v>
      </c>
      <c r="T107" s="42">
        <v>317227594.68000001</v>
      </c>
      <c r="U107" s="42">
        <v>319908035.97000003</v>
      </c>
    </row>
    <row r="108" spans="1:21" ht="15.75">
      <c r="A108" s="31">
        <v>92</v>
      </c>
      <c r="B108" s="32" t="s">
        <v>190</v>
      </c>
      <c r="C108" s="32" t="s">
        <v>37</v>
      </c>
      <c r="D108" s="41">
        <f>8773918*769.26</f>
        <v>6749424160.6800003</v>
      </c>
      <c r="E108" s="41">
        <f>148075*769.26</f>
        <v>113908174.5</v>
      </c>
      <c r="F108" s="41">
        <f>32687*769.26</f>
        <v>25144801.620000001</v>
      </c>
      <c r="G108" s="34">
        <f>115388*769.26</f>
        <v>88763372.879999995</v>
      </c>
      <c r="H108" s="41">
        <f>15949741*757.52</f>
        <v>12082247802.32</v>
      </c>
      <c r="I108" s="36">
        <f t="shared" si="48"/>
        <v>2.112258166824155E-2</v>
      </c>
      <c r="J108" s="41">
        <f>17377720*769.26</f>
        <v>13367984887.200001</v>
      </c>
      <c r="K108" s="66">
        <f t="shared" si="49"/>
        <v>2.264168778984187E-2</v>
      </c>
      <c r="L108" s="66">
        <f t="shared" si="50"/>
        <v>0.10641538775865178</v>
      </c>
      <c r="M108" s="38">
        <f t="shared" si="51"/>
        <v>1.8809717270159721E-3</v>
      </c>
      <c r="N108" s="67">
        <f t="shared" si="52"/>
        <v>6.6399965012671393E-3</v>
      </c>
      <c r="O108" s="40">
        <f t="shared" si="53"/>
        <v>821.11789401449346</v>
      </c>
      <c r="P108" s="40">
        <f t="shared" si="54"/>
        <v>5.4522199433840779</v>
      </c>
      <c r="Q108" s="41">
        <f>1.07*769.26</f>
        <v>823.10820000000001</v>
      </c>
      <c r="R108" s="41">
        <f>1.06*769.26</f>
        <v>815.41560000000004</v>
      </c>
      <c r="S108" s="42">
        <v>69</v>
      </c>
      <c r="T108" s="42">
        <v>15107000</v>
      </c>
      <c r="U108" s="42">
        <v>16280226</v>
      </c>
    </row>
    <row r="109" spans="1:21" ht="15.75">
      <c r="A109" s="31">
        <v>93</v>
      </c>
      <c r="B109" s="43" t="s">
        <v>143</v>
      </c>
      <c r="C109" s="43" t="s">
        <v>38</v>
      </c>
      <c r="D109" s="41">
        <f>23193405.66*769.26</f>
        <v>17841759238.0116</v>
      </c>
      <c r="E109" s="41">
        <f>117800.68*769.26</f>
        <v>90619351.096799999</v>
      </c>
      <c r="F109" s="41">
        <f>42274.95*769.26</f>
        <v>32520428.036999997</v>
      </c>
      <c r="G109" s="34">
        <f>75525.74*769.26</f>
        <v>58098930.752400003</v>
      </c>
      <c r="H109" s="41">
        <f>19250433.11*757.523</f>
        <v>14582645840.78653</v>
      </c>
      <c r="I109" s="36">
        <f t="shared" si="48"/>
        <v>2.5493859482993778E-2</v>
      </c>
      <c r="J109" s="41">
        <f>23312362.06*769.26</f>
        <v>17933267638.2756</v>
      </c>
      <c r="K109" s="66">
        <f t="shared" si="49"/>
        <v>3.0374020493268095E-2</v>
      </c>
      <c r="L109" s="66">
        <f t="shared" si="50"/>
        <v>0.22976775504741681</v>
      </c>
      <c r="M109" s="38">
        <f t="shared" si="51"/>
        <v>1.813413410927438E-3</v>
      </c>
      <c r="N109" s="67">
        <f t="shared" si="52"/>
        <v>3.2397291962786203E-3</v>
      </c>
      <c r="O109" s="40">
        <f t="shared" si="53"/>
        <v>835.86525911025922</v>
      </c>
      <c r="P109" s="40">
        <f t="shared" si="54"/>
        <v>2.7079770840945008</v>
      </c>
      <c r="Q109" s="41">
        <f>1.11*769.26</f>
        <v>853.87860000000012</v>
      </c>
      <c r="R109" s="41">
        <f>1.11*769.26</f>
        <v>853.87860000000012</v>
      </c>
      <c r="S109" s="42">
        <v>856</v>
      </c>
      <c r="T109" s="42">
        <v>17932109.620000001</v>
      </c>
      <c r="U109" s="42">
        <v>21454735.010000002</v>
      </c>
    </row>
    <row r="110" spans="1:21" ht="15.75">
      <c r="A110" s="105" t="s">
        <v>39</v>
      </c>
      <c r="B110" s="105"/>
      <c r="C110" s="105"/>
      <c r="D110" s="105"/>
      <c r="E110" s="105"/>
      <c r="F110" s="105"/>
      <c r="G110" s="105"/>
      <c r="H110" s="53">
        <f>SUM(H89:H109)</f>
        <v>572006206063.62854</v>
      </c>
      <c r="I110" s="62">
        <f>(H110/$H$168)</f>
        <v>0.30905914579509591</v>
      </c>
      <c r="J110" s="53">
        <f>SUM(J89:J109)</f>
        <v>590414681594.43091</v>
      </c>
      <c r="K110" s="62">
        <f>(J110/$J$168)</f>
        <v>0.29659862249994373</v>
      </c>
      <c r="L110" s="66">
        <f t="shared" si="50"/>
        <v>3.2182300359088506E-2</v>
      </c>
      <c r="M110" s="38"/>
      <c r="N110" s="67"/>
      <c r="O110" s="40"/>
      <c r="P110" s="40"/>
      <c r="Q110" s="53"/>
      <c r="R110" s="53"/>
      <c r="S110" s="82">
        <f>SUM(S89:S109)</f>
        <v>11976</v>
      </c>
      <c r="T110" s="82"/>
      <c r="U110" s="54"/>
    </row>
    <row r="111" spans="1:21" ht="6.75" customHeight="1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</row>
    <row r="112" spans="1:21">
      <c r="A112" s="101" t="s">
        <v>144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</row>
    <row r="113" spans="1:21" ht="15.75">
      <c r="A113" s="31">
        <v>94</v>
      </c>
      <c r="B113" s="32" t="s">
        <v>145</v>
      </c>
      <c r="C113" s="32" t="s">
        <v>31</v>
      </c>
      <c r="D113" s="41">
        <v>36133269710</v>
      </c>
      <c r="E113" s="41">
        <v>325903086</v>
      </c>
      <c r="F113" s="33">
        <v>94995240</v>
      </c>
      <c r="G113" s="44">
        <f>E113-F113</f>
        <v>230907846</v>
      </c>
      <c r="H113" s="41">
        <v>54065858337</v>
      </c>
      <c r="I113" s="36">
        <f>(H113/$H$117)</f>
        <v>0.58078754211566064</v>
      </c>
      <c r="J113" s="41">
        <v>53769436228</v>
      </c>
      <c r="K113" s="66">
        <f>(J113/$J$117)</f>
        <v>0.58178024873666634</v>
      </c>
      <c r="L113" s="66">
        <f>((J113-H113)/H113)</f>
        <v>-5.4826117279477898E-3</v>
      </c>
      <c r="M113" s="38">
        <f>(F113/J113)</f>
        <v>1.7667144508859848E-3</v>
      </c>
      <c r="N113" s="67">
        <f>G113/J113</f>
        <v>4.2944070497759213E-3</v>
      </c>
      <c r="O113" s="40">
        <f>J113/U113</f>
        <v>101.32787879724413</v>
      </c>
      <c r="P113" s="40">
        <f>G113/U113</f>
        <v>0.4351431570457252</v>
      </c>
      <c r="Q113" s="41">
        <v>101.33</v>
      </c>
      <c r="R113" s="41">
        <v>101.33</v>
      </c>
      <c r="S113" s="42">
        <v>675</v>
      </c>
      <c r="T113" s="42">
        <v>530648000</v>
      </c>
      <c r="U113" s="42">
        <v>530648000</v>
      </c>
    </row>
    <row r="114" spans="1:21" ht="15" customHeight="1">
      <c r="A114" s="31">
        <v>95</v>
      </c>
      <c r="B114" s="32" t="s">
        <v>146</v>
      </c>
      <c r="C114" s="32" t="s">
        <v>113</v>
      </c>
      <c r="D114" s="41">
        <v>3078053898.5599999</v>
      </c>
      <c r="E114" s="41">
        <v>29610545.09</v>
      </c>
      <c r="F114" s="33">
        <v>4795234.97</v>
      </c>
      <c r="G114" s="44">
        <v>24815310.120000001</v>
      </c>
      <c r="H114" s="41">
        <v>2297008766.2199998</v>
      </c>
      <c r="I114" s="36">
        <f t="shared" ref="I114:I116" si="55">(H114/$H$117)</f>
        <v>2.4674981894036913E-2</v>
      </c>
      <c r="J114" s="41">
        <v>2317356765.9699998</v>
      </c>
      <c r="K114" s="66">
        <f t="shared" ref="K114:K116" si="56">(J114/$J$117)</f>
        <v>2.5073582508859615E-2</v>
      </c>
      <c r="L114" s="66">
        <f t="shared" ref="L114:L117" si="57">((J114-H114)/H114)</f>
        <v>8.8584771853026257E-3</v>
      </c>
      <c r="M114" s="38">
        <f t="shared" ref="M114:M116" si="58">(F114/J114)</f>
        <v>2.0692691951525251E-3</v>
      </c>
      <c r="N114" s="67">
        <f t="shared" ref="N114:N116" si="59">G114/J114</f>
        <v>1.070845477244105E-2</v>
      </c>
      <c r="O114" s="40">
        <f t="shared" ref="O114:O116" si="60">J114/U114</f>
        <v>115.86783829849999</v>
      </c>
      <c r="P114" s="40">
        <f t="shared" ref="P114:P116" si="61">G114/U114</f>
        <v>1.240765506</v>
      </c>
      <c r="Q114" s="44">
        <v>92.15</v>
      </c>
      <c r="R114" s="44">
        <v>92.15</v>
      </c>
      <c r="S114" s="42">
        <v>2743</v>
      </c>
      <c r="T114" s="42">
        <v>20000000</v>
      </c>
      <c r="U114" s="42">
        <v>20000000</v>
      </c>
    </row>
    <row r="115" spans="1:21" ht="15" customHeight="1">
      <c r="A115" s="31">
        <v>96</v>
      </c>
      <c r="B115" s="32" t="s">
        <v>147</v>
      </c>
      <c r="C115" s="32" t="s">
        <v>113</v>
      </c>
      <c r="D115" s="41">
        <v>11324766184.34</v>
      </c>
      <c r="E115" s="41">
        <v>86557333.680000007</v>
      </c>
      <c r="F115" s="83" t="s">
        <v>213</v>
      </c>
      <c r="G115" s="44">
        <v>69910193.329999998</v>
      </c>
      <c r="H115" s="41">
        <v>9971090377.2099991</v>
      </c>
      <c r="I115" s="36">
        <f t="shared" si="55"/>
        <v>0.10711168287195726</v>
      </c>
      <c r="J115" s="41">
        <v>10041000570.540001</v>
      </c>
      <c r="K115" s="66">
        <f t="shared" si="56"/>
        <v>0.10864268289373984</v>
      </c>
      <c r="L115" s="66">
        <f t="shared" si="57"/>
        <v>7.0112887041711217E-3</v>
      </c>
      <c r="M115" s="38">
        <f t="shared" si="58"/>
        <v>1.6579164828296313E-3</v>
      </c>
      <c r="N115" s="67">
        <f t="shared" si="59"/>
        <v>6.9624727972941699E-3</v>
      </c>
      <c r="O115" s="40">
        <f t="shared" si="60"/>
        <v>53.373503260503732</v>
      </c>
      <c r="P115" s="40">
        <f t="shared" si="61"/>
        <v>0.37161156454754896</v>
      </c>
      <c r="Q115" s="44">
        <v>36.6</v>
      </c>
      <c r="R115" s="44">
        <v>36.6</v>
      </c>
      <c r="S115" s="42">
        <v>5264</v>
      </c>
      <c r="T115" s="42">
        <v>188127066</v>
      </c>
      <c r="U115" s="42">
        <v>188127066</v>
      </c>
    </row>
    <row r="116" spans="1:21" ht="15.75">
      <c r="A116" s="31">
        <v>97</v>
      </c>
      <c r="B116" s="32" t="s">
        <v>148</v>
      </c>
      <c r="C116" s="43" t="s">
        <v>149</v>
      </c>
      <c r="D116" s="41">
        <v>26482141675.18</v>
      </c>
      <c r="E116" s="41">
        <v>137490581.47999999</v>
      </c>
      <c r="F116" s="84">
        <v>52591475.009999998</v>
      </c>
      <c r="G116" s="44">
        <v>84899106.469999999</v>
      </c>
      <c r="H116" s="41">
        <v>26756638333.75</v>
      </c>
      <c r="I116" s="36">
        <f t="shared" si="55"/>
        <v>0.28742579311834532</v>
      </c>
      <c r="J116" s="41">
        <v>26294450650.139999</v>
      </c>
      <c r="K116" s="66">
        <f t="shared" si="56"/>
        <v>0.28450348586073421</v>
      </c>
      <c r="L116" s="66">
        <f t="shared" si="57"/>
        <v>-1.7273757556718599E-2</v>
      </c>
      <c r="M116" s="38">
        <f t="shared" si="58"/>
        <v>2.0000978803381081E-3</v>
      </c>
      <c r="N116" s="67">
        <f t="shared" si="59"/>
        <v>3.2287841871892452E-3</v>
      </c>
      <c r="O116" s="40">
        <f t="shared" si="60"/>
        <v>9.8544958259051416</v>
      </c>
      <c r="P116" s="40">
        <f t="shared" si="61"/>
        <v>3.1818040295404942E-2</v>
      </c>
      <c r="Q116" s="44">
        <v>9.85</v>
      </c>
      <c r="R116" s="44">
        <v>9.85</v>
      </c>
      <c r="S116" s="42">
        <v>208300</v>
      </c>
      <c r="T116" s="42">
        <v>2668269500</v>
      </c>
      <c r="U116" s="42">
        <v>2668269500</v>
      </c>
    </row>
    <row r="117" spans="1:21" ht="15.75">
      <c r="A117" s="104" t="s">
        <v>39</v>
      </c>
      <c r="B117" s="104"/>
      <c r="C117" s="104"/>
      <c r="D117" s="104"/>
      <c r="E117" s="104"/>
      <c r="F117" s="104"/>
      <c r="G117" s="104"/>
      <c r="H117" s="53">
        <f t="shared" ref="H117" si="62">SUM(H113:H116)</f>
        <v>93090595814.179993</v>
      </c>
      <c r="I117" s="62">
        <f>(H117/$H$168)</f>
        <v>5.0297531248614878E-2</v>
      </c>
      <c r="J117" s="53">
        <f>SUM(J113:J116)</f>
        <v>92422244214.649994</v>
      </c>
      <c r="K117" s="62">
        <f>(J117/$J$168)</f>
        <v>4.6428910352281368E-2</v>
      </c>
      <c r="L117" s="66">
        <f t="shared" si="57"/>
        <v>-7.1795823593621515E-3</v>
      </c>
      <c r="M117" s="38"/>
      <c r="N117" s="38"/>
      <c r="O117" s="64"/>
      <c r="P117" s="64"/>
      <c r="Q117" s="53"/>
      <c r="R117" s="53"/>
      <c r="S117" s="54">
        <f>SUM(S113:S116)</f>
        <v>216982</v>
      </c>
      <c r="T117" s="54"/>
      <c r="U117" s="54"/>
    </row>
    <row r="118" spans="1:21" ht="8.25" customHeight="1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</row>
    <row r="119" spans="1:21">
      <c r="A119" s="101" t="s">
        <v>3</v>
      </c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</row>
    <row r="120" spans="1:21" ht="15.75">
      <c r="A120" s="31">
        <v>98</v>
      </c>
      <c r="B120" s="32" t="s">
        <v>150</v>
      </c>
      <c r="C120" s="32" t="s">
        <v>42</v>
      </c>
      <c r="D120" s="37">
        <v>213585963.80000001</v>
      </c>
      <c r="E120" s="37">
        <v>1193473.44</v>
      </c>
      <c r="F120" s="41">
        <v>486662.45</v>
      </c>
      <c r="G120" s="34">
        <v>706810.99</v>
      </c>
      <c r="H120" s="41">
        <v>201073370.47</v>
      </c>
      <c r="I120" s="36">
        <f>(H120/$H$144)</f>
        <v>5.1119520509314651E-3</v>
      </c>
      <c r="J120" s="41">
        <v>201393007.94999999</v>
      </c>
      <c r="K120" s="36">
        <f>(J120/$J$144)</f>
        <v>5.0421187936758862E-3</v>
      </c>
      <c r="L120" s="36">
        <f>((J120-H120)/H120)</f>
        <v>1.5896559512224367E-3</v>
      </c>
      <c r="M120" s="67">
        <f t="shared" ref="M120" si="63">(F120/J120)</f>
        <v>2.4164813612636647E-3</v>
      </c>
      <c r="N120" s="67">
        <f t="shared" ref="N120" si="64">G120/J120</f>
        <v>3.5096103742364312E-3</v>
      </c>
      <c r="O120" s="68">
        <f t="shared" ref="O120" si="65">J120/U120</f>
        <v>4.5809594940189786</v>
      </c>
      <c r="P120" s="68">
        <f t="shared" ref="P120" si="66">G120/U120</f>
        <v>1.607738296416588E-2</v>
      </c>
      <c r="Q120" s="41">
        <v>4.53</v>
      </c>
      <c r="R120" s="41">
        <v>4.62</v>
      </c>
      <c r="S120" s="42">
        <v>11826</v>
      </c>
      <c r="T120" s="42">
        <v>44155219.82</v>
      </c>
      <c r="U120" s="42">
        <v>43963062.369999997</v>
      </c>
    </row>
    <row r="121" spans="1:21" ht="15.75">
      <c r="A121" s="31">
        <v>99</v>
      </c>
      <c r="B121" s="32" t="s">
        <v>151</v>
      </c>
      <c r="C121" s="43" t="s">
        <v>16</v>
      </c>
      <c r="D121" s="37">
        <v>3614275943.3200002</v>
      </c>
      <c r="E121" s="37">
        <v>68618618.819999993</v>
      </c>
      <c r="F121" s="41">
        <v>10329581.939999999</v>
      </c>
      <c r="G121" s="34">
        <v>62814915.560000002</v>
      </c>
      <c r="H121" s="42">
        <v>5968591398</v>
      </c>
      <c r="I121" s="36">
        <f t="shared" ref="I121:I143" si="67">(H121/$H$144)</f>
        <v>0.15174139154707331</v>
      </c>
      <c r="J121" s="41">
        <v>5945521961</v>
      </c>
      <c r="K121" s="36">
        <f t="shared" ref="K121:K143" si="68">(J121/$J$144)</f>
        <v>0.14885337044677083</v>
      </c>
      <c r="L121" s="36">
        <f t="shared" ref="L121:L144" si="69">((J121-H121)/H121)</f>
        <v>-3.8651392701685491E-3</v>
      </c>
      <c r="M121" s="67">
        <f t="shared" ref="M121:M143" si="70">(F121/J121)</f>
        <v>1.7373717577291779E-3</v>
      </c>
      <c r="N121" s="67">
        <f t="shared" ref="N121:N143" si="71">G121/J121</f>
        <v>1.0565080067324303E-2</v>
      </c>
      <c r="O121" s="68">
        <f t="shared" ref="O121:O143" si="72">J121/U121</f>
        <v>638.6328035527423</v>
      </c>
      <c r="P121" s="68">
        <f t="shared" ref="P121:P143" si="73">G121/U121</f>
        <v>6.7472067031545153</v>
      </c>
      <c r="Q121" s="41">
        <v>635.43960000000004</v>
      </c>
      <c r="R121" s="41">
        <v>654.59860000000003</v>
      </c>
      <c r="S121" s="42">
        <v>2009</v>
      </c>
      <c r="T121" s="42">
        <v>9322272</v>
      </c>
      <c r="U121" s="42">
        <v>9309766</v>
      </c>
    </row>
    <row r="122" spans="1:21" ht="15.75" customHeight="1">
      <c r="A122" s="31">
        <v>100</v>
      </c>
      <c r="B122" s="32" t="s">
        <v>152</v>
      </c>
      <c r="C122" s="32" t="s">
        <v>95</v>
      </c>
      <c r="D122" s="85">
        <v>1290723587.05</v>
      </c>
      <c r="E122" s="85">
        <v>44190548.68</v>
      </c>
      <c r="F122" s="85">
        <v>3931605.33</v>
      </c>
      <c r="G122" s="34">
        <v>2198542.42</v>
      </c>
      <c r="H122" s="41">
        <v>1254260829.77</v>
      </c>
      <c r="I122" s="36">
        <f t="shared" si="67"/>
        <v>3.1887470758353735E-2</v>
      </c>
      <c r="J122" s="41">
        <v>1234993228.3199999</v>
      </c>
      <c r="K122" s="36">
        <f t="shared" si="68"/>
        <v>3.0919556890081829E-2</v>
      </c>
      <c r="L122" s="36">
        <f t="shared" si="69"/>
        <v>-1.536171822692832E-2</v>
      </c>
      <c r="M122" s="67">
        <f t="shared" si="70"/>
        <v>3.1835035527670759E-3</v>
      </c>
      <c r="N122" s="67">
        <f t="shared" si="71"/>
        <v>1.7802060526200183E-3</v>
      </c>
      <c r="O122" s="68">
        <f t="shared" si="72"/>
        <v>2.9241499904934032</v>
      </c>
      <c r="P122" s="68">
        <f t="shared" si="73"/>
        <v>5.2055895118451254E-3</v>
      </c>
      <c r="Q122" s="86">
        <v>2.8170999999999999</v>
      </c>
      <c r="R122" s="86">
        <v>2.8855</v>
      </c>
      <c r="S122" s="42">
        <v>2755</v>
      </c>
      <c r="T122" s="42">
        <v>422473443.4235</v>
      </c>
      <c r="U122" s="42">
        <v>422342640.54000002</v>
      </c>
    </row>
    <row r="123" spans="1:21" ht="15" customHeight="1">
      <c r="A123" s="31">
        <v>101</v>
      </c>
      <c r="B123" s="32" t="s">
        <v>153</v>
      </c>
      <c r="C123" s="32" t="s">
        <v>49</v>
      </c>
      <c r="D123" s="37">
        <v>2873543707.0599999</v>
      </c>
      <c r="E123" s="37">
        <v>25927747.050000001</v>
      </c>
      <c r="F123" s="41">
        <v>7544268.4100000001</v>
      </c>
      <c r="G123" s="34">
        <v>18854681.32</v>
      </c>
      <c r="H123" s="41">
        <v>2810484545.9400001</v>
      </c>
      <c r="I123" s="36">
        <f t="shared" si="67"/>
        <v>7.1451839719734178E-2</v>
      </c>
      <c r="J123" s="41">
        <v>2833717491.0599999</v>
      </c>
      <c r="K123" s="36">
        <f t="shared" si="68"/>
        <v>7.0945562425826544E-2</v>
      </c>
      <c r="L123" s="36">
        <f t="shared" si="69"/>
        <v>8.2665265509329986E-3</v>
      </c>
      <c r="M123" s="67">
        <f t="shared" si="70"/>
        <v>2.6623219970943325E-3</v>
      </c>
      <c r="N123" s="67">
        <f t="shared" si="71"/>
        <v>6.6536912657962554E-3</v>
      </c>
      <c r="O123" s="68">
        <f t="shared" si="72"/>
        <v>5255.5370972195469</v>
      </c>
      <c r="P123" s="68">
        <f t="shared" si="73"/>
        <v>34.968721280837904</v>
      </c>
      <c r="Q123" s="41">
        <v>5255.54</v>
      </c>
      <c r="R123" s="41">
        <v>5295.78</v>
      </c>
      <c r="S123" s="42">
        <v>837</v>
      </c>
      <c r="T123" s="42">
        <v>537475.19999999995</v>
      </c>
      <c r="U123" s="42">
        <v>539187.04</v>
      </c>
    </row>
    <row r="124" spans="1:21" ht="15.75">
      <c r="A124" s="31">
        <v>102</v>
      </c>
      <c r="B124" s="32" t="s">
        <v>154</v>
      </c>
      <c r="C124" s="43" t="s">
        <v>51</v>
      </c>
      <c r="D124" s="37">
        <v>290327518.57999998</v>
      </c>
      <c r="E124" s="37">
        <v>8655980.1500000004</v>
      </c>
      <c r="F124" s="41">
        <v>816934.55</v>
      </c>
      <c r="G124" s="34">
        <v>3920429.11</v>
      </c>
      <c r="H124" s="41">
        <v>384996678.5</v>
      </c>
      <c r="I124" s="36">
        <f t="shared" si="67"/>
        <v>9.7878926267539416E-3</v>
      </c>
      <c r="J124" s="41">
        <v>374868881.50999999</v>
      </c>
      <c r="K124" s="36">
        <f t="shared" si="68"/>
        <v>9.3852981881828532E-3</v>
      </c>
      <c r="L124" s="36">
        <f t="shared" si="69"/>
        <v>-2.6306193158495028E-2</v>
      </c>
      <c r="M124" s="67">
        <f t="shared" si="70"/>
        <v>2.1792541080212537E-3</v>
      </c>
      <c r="N124" s="67">
        <f t="shared" si="71"/>
        <v>1.0458134306075813E-2</v>
      </c>
      <c r="O124" s="68">
        <f t="shared" si="72"/>
        <v>147.17547313245558</v>
      </c>
      <c r="P124" s="68">
        <f t="shared" si="73"/>
        <v>1.5391808645794727</v>
      </c>
      <c r="Q124" s="41">
        <v>155.08000000000001</v>
      </c>
      <c r="R124" s="41">
        <v>156.05000000000001</v>
      </c>
      <c r="S124" s="42">
        <v>612</v>
      </c>
      <c r="T124" s="42">
        <v>2639906</v>
      </c>
      <c r="U124" s="42">
        <v>2547088</v>
      </c>
    </row>
    <row r="125" spans="1:21" ht="15.75">
      <c r="A125" s="31">
        <v>103</v>
      </c>
      <c r="B125" s="32" t="s">
        <v>155</v>
      </c>
      <c r="C125" s="43" t="s">
        <v>53</v>
      </c>
      <c r="D125" s="37">
        <v>248331135.28999999</v>
      </c>
      <c r="E125" s="37">
        <v>1956454.75</v>
      </c>
      <c r="F125" s="41">
        <v>691169.45</v>
      </c>
      <c r="G125" s="34">
        <v>3676035.92</v>
      </c>
      <c r="H125" s="42">
        <v>331444396.5</v>
      </c>
      <c r="I125" s="36">
        <f t="shared" si="67"/>
        <v>8.4264159818751797E-3</v>
      </c>
      <c r="J125" s="42">
        <v>331444396.5</v>
      </c>
      <c r="K125" s="36">
        <f t="shared" si="68"/>
        <v>8.2981134134811566E-3</v>
      </c>
      <c r="L125" s="36">
        <f t="shared" si="69"/>
        <v>0</v>
      </c>
      <c r="M125" s="67">
        <f t="shared" si="70"/>
        <v>2.0853254944076267E-3</v>
      </c>
      <c r="N125" s="67">
        <f t="shared" si="71"/>
        <v>1.1090958117917675E-2</v>
      </c>
      <c r="O125" s="68">
        <f t="shared" si="72"/>
        <v>137.41595449214111</v>
      </c>
      <c r="P125" s="68">
        <f t="shared" si="73"/>
        <v>1.5240745960060182</v>
      </c>
      <c r="Q125" s="42">
        <v>141.68</v>
      </c>
      <c r="R125" s="42">
        <v>142.58000000000001</v>
      </c>
      <c r="S125" s="42">
        <f>549+27+3</f>
        <v>579</v>
      </c>
      <c r="T125" s="42">
        <v>2411979</v>
      </c>
      <c r="U125" s="42">
        <v>2411979</v>
      </c>
    </row>
    <row r="126" spans="1:21" ht="15.75">
      <c r="A126" s="31">
        <v>104</v>
      </c>
      <c r="B126" s="32" t="s">
        <v>156</v>
      </c>
      <c r="C126" s="43" t="s">
        <v>55</v>
      </c>
      <c r="D126" s="70">
        <v>162011599.91999999</v>
      </c>
      <c r="E126" s="70">
        <v>1179901.75</v>
      </c>
      <c r="F126" s="48">
        <v>422284.93</v>
      </c>
      <c r="G126" s="65">
        <v>-1322151.19</v>
      </c>
      <c r="H126" s="41">
        <v>170594313.59999999</v>
      </c>
      <c r="I126" s="36">
        <f t="shared" si="67"/>
        <v>4.3370733242613924E-3</v>
      </c>
      <c r="J126" s="41">
        <v>162095589.53999999</v>
      </c>
      <c r="K126" s="36">
        <f t="shared" si="68"/>
        <v>4.058260148706451E-3</v>
      </c>
      <c r="L126" s="36">
        <f t="shared" si="69"/>
        <v>-4.9818331459320124E-2</v>
      </c>
      <c r="M126" s="67">
        <f t="shared" si="70"/>
        <v>2.6051599010088649E-3</v>
      </c>
      <c r="N126" s="67">
        <f t="shared" si="71"/>
        <v>-8.1566142160440173E-3</v>
      </c>
      <c r="O126" s="68">
        <f t="shared" si="72"/>
        <v>1.446323068440428</v>
      </c>
      <c r="P126" s="68">
        <f t="shared" si="73"/>
        <v>-1.1797099301033599E-2</v>
      </c>
      <c r="Q126" s="41">
        <v>1.4394</v>
      </c>
      <c r="R126" s="41">
        <v>1.4527000000000001</v>
      </c>
      <c r="S126" s="42">
        <v>248</v>
      </c>
      <c r="T126" s="42">
        <v>116927870.63</v>
      </c>
      <c r="U126" s="42">
        <v>112074261.33</v>
      </c>
    </row>
    <row r="127" spans="1:21" ht="15.75">
      <c r="A127" s="31">
        <v>105</v>
      </c>
      <c r="B127" s="46" t="s">
        <v>227</v>
      </c>
      <c r="C127" s="47" t="s">
        <v>35</v>
      </c>
      <c r="D127" s="70">
        <f>33688845.89+7105000+22571849.76</f>
        <v>63365695.650000006</v>
      </c>
      <c r="E127" s="70">
        <v>2328123.7999999998</v>
      </c>
      <c r="F127" s="48">
        <v>141218.20000000001</v>
      </c>
      <c r="G127" s="65">
        <v>2186905.6000000001</v>
      </c>
      <c r="H127" s="41">
        <v>106358499.08</v>
      </c>
      <c r="I127" s="36">
        <f t="shared" si="67"/>
        <v>2.7039858447447562E-3</v>
      </c>
      <c r="J127" s="41">
        <v>113935098.98</v>
      </c>
      <c r="K127" s="36">
        <f t="shared" si="68"/>
        <v>2.8525037173535118E-3</v>
      </c>
      <c r="L127" s="36">
        <f t="shared" si="69"/>
        <v>7.1236431178866966E-2</v>
      </c>
      <c r="M127" s="67">
        <f t="shared" si="70"/>
        <v>1.2394617748547289E-3</v>
      </c>
      <c r="N127" s="67">
        <f t="shared" si="71"/>
        <v>1.9194309914839204E-2</v>
      </c>
      <c r="O127" s="68">
        <f t="shared" si="72"/>
        <v>121.86250994453798</v>
      </c>
      <c r="P127" s="68">
        <f t="shared" si="73"/>
        <v>2.3390667828756362</v>
      </c>
      <c r="Q127" s="41">
        <v>121.7342</v>
      </c>
      <c r="R127" s="41">
        <v>122.1725</v>
      </c>
      <c r="S127" s="42">
        <v>69</v>
      </c>
      <c r="T127" s="42">
        <v>935029.5</v>
      </c>
      <c r="U127" s="42">
        <v>934947.91</v>
      </c>
    </row>
    <row r="128" spans="1:21" ht="15.75">
      <c r="A128" s="31">
        <v>106</v>
      </c>
      <c r="B128" s="46" t="s">
        <v>157</v>
      </c>
      <c r="C128" s="47" t="s">
        <v>158</v>
      </c>
      <c r="D128" s="70">
        <v>59350462.07</v>
      </c>
      <c r="E128" s="70">
        <v>1422722.86</v>
      </c>
      <c r="F128" s="48">
        <v>542783.94999999995</v>
      </c>
      <c r="G128" s="65">
        <v>879938.91</v>
      </c>
      <c r="H128" s="41">
        <v>179714807.28</v>
      </c>
      <c r="I128" s="36">
        <f t="shared" si="67"/>
        <v>4.5689465268839132E-3</v>
      </c>
      <c r="J128" s="41">
        <v>180377897.63</v>
      </c>
      <c r="K128" s="36">
        <f t="shared" si="68"/>
        <v>4.5159799581014608E-3</v>
      </c>
      <c r="L128" s="36">
        <f t="shared" si="69"/>
        <v>3.6896812234669305E-3</v>
      </c>
      <c r="M128" s="67">
        <f t="shared" si="70"/>
        <v>3.0091488875947821E-3</v>
      </c>
      <c r="N128" s="67">
        <f t="shared" si="71"/>
        <v>4.8783078279633456E-3</v>
      </c>
      <c r="O128" s="68">
        <f t="shared" si="72"/>
        <v>115.16876630453868</v>
      </c>
      <c r="P128" s="68">
        <f t="shared" si="73"/>
        <v>0.56182869420031223</v>
      </c>
      <c r="Q128" s="41">
        <v>113.31</v>
      </c>
      <c r="R128" s="41">
        <v>115.24</v>
      </c>
      <c r="S128" s="42">
        <v>49</v>
      </c>
      <c r="T128" s="42">
        <v>1591199</v>
      </c>
      <c r="U128" s="42">
        <v>1566205</v>
      </c>
    </row>
    <row r="129" spans="1:21" ht="15.75">
      <c r="A129" s="31">
        <v>107</v>
      </c>
      <c r="B129" s="32" t="s">
        <v>229</v>
      </c>
      <c r="C129" s="43" t="s">
        <v>60</v>
      </c>
      <c r="D129" s="70">
        <v>527144338.77999997</v>
      </c>
      <c r="E129" s="70">
        <v>4085634.8</v>
      </c>
      <c r="F129" s="48">
        <v>1051499.6200000001</v>
      </c>
      <c r="G129" s="65">
        <v>2250588.96</v>
      </c>
      <c r="H129" s="41">
        <v>549570455.97000003</v>
      </c>
      <c r="I129" s="36">
        <f t="shared" si="67"/>
        <v>1.3971903952076732E-2</v>
      </c>
      <c r="J129" s="41">
        <v>529420713.30000001</v>
      </c>
      <c r="K129" s="36">
        <f t="shared" si="68"/>
        <v>1.3254691190440723E-2</v>
      </c>
      <c r="L129" s="36">
        <f t="shared" si="69"/>
        <v>-3.6664530363873765E-2</v>
      </c>
      <c r="M129" s="67">
        <f t="shared" si="70"/>
        <v>1.9861323774919256E-3</v>
      </c>
      <c r="N129" s="67">
        <f t="shared" si="71"/>
        <v>4.2510406250854177E-3</v>
      </c>
      <c r="O129" s="68">
        <f t="shared" si="72"/>
        <v>1.2885817783300961</v>
      </c>
      <c r="P129" s="68">
        <f t="shared" si="73"/>
        <v>5.477813488426052E-3</v>
      </c>
      <c r="Q129" s="41">
        <v>1.27</v>
      </c>
      <c r="R129" s="41">
        <v>1.27</v>
      </c>
      <c r="S129" s="42">
        <v>109</v>
      </c>
      <c r="T129" s="42">
        <v>413240834.80000001</v>
      </c>
      <c r="U129" s="42">
        <v>410855346.70999998</v>
      </c>
    </row>
    <row r="130" spans="1:21" ht="15.75">
      <c r="A130" s="31">
        <v>108</v>
      </c>
      <c r="B130" s="43" t="s">
        <v>159</v>
      </c>
      <c r="C130" s="43" t="s">
        <v>64</v>
      </c>
      <c r="D130" s="70">
        <v>6523025934.8699999</v>
      </c>
      <c r="E130" s="70">
        <v>33537777.309999999</v>
      </c>
      <c r="F130" s="48">
        <v>10552035</v>
      </c>
      <c r="G130" s="65">
        <v>845959.22</v>
      </c>
      <c r="H130" s="41">
        <v>6372021825.2600002</v>
      </c>
      <c r="I130" s="36">
        <f t="shared" si="67"/>
        <v>0.16199793121326253</v>
      </c>
      <c r="J130" s="41">
        <v>6523025934.8699999</v>
      </c>
      <c r="K130" s="36">
        <f t="shared" si="68"/>
        <v>0.16331188452187398</v>
      </c>
      <c r="L130" s="36">
        <f t="shared" si="69"/>
        <v>2.3697990018080043E-2</v>
      </c>
      <c r="M130" s="67">
        <f t="shared" si="70"/>
        <v>1.6176595195785154E-3</v>
      </c>
      <c r="N130" s="67">
        <f t="shared" si="71"/>
        <v>1.2968815829441578E-4</v>
      </c>
      <c r="O130" s="68">
        <f t="shared" si="72"/>
        <v>268.46521203749631</v>
      </c>
      <c r="P130" s="68">
        <f t="shared" si="73"/>
        <v>3.4816758915262716E-2</v>
      </c>
      <c r="Q130" s="41">
        <v>268.47000000000003</v>
      </c>
      <c r="R130" s="41">
        <v>270.88</v>
      </c>
      <c r="S130" s="42">
        <v>5461</v>
      </c>
      <c r="T130" s="42">
        <v>24261118.23</v>
      </c>
      <c r="U130" s="42">
        <v>24297471.859999999</v>
      </c>
    </row>
    <row r="131" spans="1:21" ht="15.75">
      <c r="A131" s="31">
        <v>109</v>
      </c>
      <c r="B131" s="87" t="s">
        <v>160</v>
      </c>
      <c r="C131" s="32" t="s">
        <v>66</v>
      </c>
      <c r="D131" s="70">
        <v>2354433828.79</v>
      </c>
      <c r="E131" s="70">
        <v>17789320.399999999</v>
      </c>
      <c r="F131" s="48">
        <v>7692081.96</v>
      </c>
      <c r="G131" s="65">
        <v>10097238.439999999</v>
      </c>
      <c r="H131" s="41">
        <v>2324248093.8499999</v>
      </c>
      <c r="I131" s="36">
        <f t="shared" si="67"/>
        <v>5.9090096229340118E-2</v>
      </c>
      <c r="J131" s="41">
        <v>2310850510.7600002</v>
      </c>
      <c r="K131" s="36">
        <f t="shared" si="68"/>
        <v>5.7854951908614755E-2</v>
      </c>
      <c r="L131" s="36">
        <f t="shared" si="69"/>
        <v>-5.7642654953444549E-3</v>
      </c>
      <c r="M131" s="67">
        <f t="shared" si="70"/>
        <v>3.3286800354170041E-3</v>
      </c>
      <c r="N131" s="67">
        <f t="shared" si="71"/>
        <v>4.3694901046105253E-3</v>
      </c>
      <c r="O131" s="68">
        <f t="shared" si="72"/>
        <v>1.6233194044992834</v>
      </c>
      <c r="P131" s="68">
        <f t="shared" si="73"/>
        <v>7.0930780745818694E-3</v>
      </c>
      <c r="Q131" s="41">
        <v>1.61</v>
      </c>
      <c r="R131" s="41">
        <v>1.64</v>
      </c>
      <c r="S131" s="42">
        <v>10311</v>
      </c>
      <c r="T131" s="42">
        <v>1424212767.8699999</v>
      </c>
      <c r="U131" s="42">
        <v>1423534089.6900001</v>
      </c>
    </row>
    <row r="132" spans="1:21" ht="15.75">
      <c r="A132" s="31">
        <v>110</v>
      </c>
      <c r="B132" s="32" t="s">
        <v>191</v>
      </c>
      <c r="C132" s="43" t="s">
        <v>68</v>
      </c>
      <c r="D132" s="48">
        <v>165032617.43000001</v>
      </c>
      <c r="E132" s="70">
        <v>845867.4</v>
      </c>
      <c r="F132" s="48">
        <v>265116.58</v>
      </c>
      <c r="G132" s="65">
        <v>580750.81999999995</v>
      </c>
      <c r="H132" s="41">
        <v>152863396.78999999</v>
      </c>
      <c r="I132" s="36">
        <f t="shared" si="67"/>
        <v>3.886294604334887E-3</v>
      </c>
      <c r="J132" s="41">
        <v>164767500.84999999</v>
      </c>
      <c r="K132" s="36">
        <f t="shared" si="68"/>
        <v>4.1251546966767109E-3</v>
      </c>
      <c r="L132" s="36">
        <f t="shared" si="69"/>
        <v>7.7874130170962841E-2</v>
      </c>
      <c r="M132" s="67">
        <f t="shared" si="70"/>
        <v>1.6090344189984116E-3</v>
      </c>
      <c r="N132" s="67">
        <f t="shared" si="71"/>
        <v>3.5246684995768689E-3</v>
      </c>
      <c r="O132" s="68">
        <f t="shared" si="72"/>
        <v>214.38606696868104</v>
      </c>
      <c r="P132" s="68">
        <f t="shared" si="73"/>
        <v>0.75563981699268712</v>
      </c>
      <c r="Q132" s="41">
        <v>214.73</v>
      </c>
      <c r="R132" s="41">
        <v>214.39</v>
      </c>
      <c r="S132" s="42">
        <v>45</v>
      </c>
      <c r="T132" s="42">
        <v>768555.08</v>
      </c>
      <c r="U132" s="42">
        <v>768555.08</v>
      </c>
    </row>
    <row r="133" spans="1:21" ht="15.75">
      <c r="A133" s="31">
        <v>111</v>
      </c>
      <c r="B133" s="32" t="s">
        <v>228</v>
      </c>
      <c r="C133" s="43" t="s">
        <v>216</v>
      </c>
      <c r="D133" s="70">
        <v>2651870001.1500001</v>
      </c>
      <c r="E133" s="70">
        <v>16212627.880000001</v>
      </c>
      <c r="F133" s="48">
        <v>6655248.9199999999</v>
      </c>
      <c r="G133" s="65">
        <v>13955140.859999999</v>
      </c>
      <c r="H133" s="41">
        <v>2134409623.76</v>
      </c>
      <c r="I133" s="36">
        <f t="shared" si="67"/>
        <v>5.4263772612971155E-2</v>
      </c>
      <c r="J133" s="41">
        <v>2582245390.1199999</v>
      </c>
      <c r="K133" s="36">
        <f t="shared" si="68"/>
        <v>6.4649652656458931E-2</v>
      </c>
      <c r="L133" s="36">
        <f t="shared" si="69"/>
        <v>0.20981716038699608</v>
      </c>
      <c r="M133" s="67">
        <f t="shared" si="70"/>
        <v>2.5773107952729167E-3</v>
      </c>
      <c r="N133" s="67">
        <f t="shared" si="71"/>
        <v>5.4042659591509576E-3</v>
      </c>
      <c r="O133" s="68">
        <f t="shared" si="72"/>
        <v>3.5911902518836065</v>
      </c>
      <c r="P133" s="68">
        <f t="shared" si="73"/>
        <v>1.9407747231089328E-2</v>
      </c>
      <c r="Q133" s="41">
        <v>3.64</v>
      </c>
      <c r="R133" s="41">
        <v>3.71</v>
      </c>
      <c r="S133" s="42">
        <v>2236</v>
      </c>
      <c r="T133" s="42">
        <v>717108863.91999996</v>
      </c>
      <c r="U133" s="42">
        <v>719050011</v>
      </c>
    </row>
    <row r="134" spans="1:21" ht="15.75">
      <c r="A134" s="31">
        <v>112</v>
      </c>
      <c r="B134" s="43" t="s">
        <v>161</v>
      </c>
      <c r="C134" s="43" t="s">
        <v>106</v>
      </c>
      <c r="D134" s="70">
        <v>181741099.81999999</v>
      </c>
      <c r="E134" s="70">
        <v>2170822.37</v>
      </c>
      <c r="F134" s="48">
        <v>4586145.79</v>
      </c>
      <c r="G134" s="65">
        <v>2415323.42</v>
      </c>
      <c r="H134" s="41">
        <v>191021534.22999999</v>
      </c>
      <c r="I134" s="36">
        <f t="shared" si="67"/>
        <v>4.856401031109266E-3</v>
      </c>
      <c r="J134" s="41">
        <v>177151839.27000001</v>
      </c>
      <c r="K134" s="36">
        <f t="shared" si="68"/>
        <v>4.4352116650409118E-3</v>
      </c>
      <c r="L134" s="36">
        <f t="shared" si="69"/>
        <v>-7.2608017812798714E-2</v>
      </c>
      <c r="M134" s="67">
        <f t="shared" si="70"/>
        <v>2.5888220008882776E-2</v>
      </c>
      <c r="N134" s="67">
        <f t="shared" si="71"/>
        <v>1.3634198944549291E-2</v>
      </c>
      <c r="O134" s="68">
        <f t="shared" si="72"/>
        <v>168.83755219828214</v>
      </c>
      <c r="P134" s="68">
        <f t="shared" si="73"/>
        <v>2.3019647759821042</v>
      </c>
      <c r="Q134" s="41">
        <v>168.83750000000001</v>
      </c>
      <c r="R134" s="41">
        <v>173.2114</v>
      </c>
      <c r="S134" s="42">
        <v>138</v>
      </c>
      <c r="T134" s="42">
        <v>1108971.95</v>
      </c>
      <c r="U134" s="42">
        <v>1049244.3</v>
      </c>
    </row>
    <row r="135" spans="1:21" ht="15.75">
      <c r="A135" s="31">
        <v>113</v>
      </c>
      <c r="B135" s="32" t="s">
        <v>162</v>
      </c>
      <c r="C135" s="43" t="s">
        <v>22</v>
      </c>
      <c r="D135" s="70">
        <v>1617173964.0599999</v>
      </c>
      <c r="E135" s="70">
        <v>135008872.59999999</v>
      </c>
      <c r="F135" s="48">
        <v>3356499.52</v>
      </c>
      <c r="G135" s="65">
        <v>131652373.08</v>
      </c>
      <c r="H135" s="41">
        <v>1491038463.4400001</v>
      </c>
      <c r="I135" s="36">
        <f t="shared" si="67"/>
        <v>3.7907143613216662E-2</v>
      </c>
      <c r="J135" s="41">
        <v>1598308503.6500001</v>
      </c>
      <c r="K135" s="36">
        <f t="shared" si="68"/>
        <v>4.0015596501475514E-2</v>
      </c>
      <c r="L135" s="36">
        <f t="shared" si="69"/>
        <v>7.1943174398409221E-2</v>
      </c>
      <c r="M135" s="67">
        <f t="shared" si="70"/>
        <v>2.1000323231309113E-3</v>
      </c>
      <c r="N135" s="67">
        <f t="shared" si="71"/>
        <v>8.2369813324117441E-2</v>
      </c>
      <c r="O135" s="68">
        <f t="shared" si="72"/>
        <v>2142.6483057175415</v>
      </c>
      <c r="P135" s="68">
        <f t="shared" si="73"/>
        <v>176.48954096119041</v>
      </c>
      <c r="Q135" s="41">
        <v>552.22</v>
      </c>
      <c r="R135" s="41">
        <v>552.22</v>
      </c>
      <c r="S135" s="42">
        <v>830</v>
      </c>
      <c r="T135" s="42">
        <v>745950</v>
      </c>
      <c r="U135" s="42">
        <v>745950</v>
      </c>
    </row>
    <row r="136" spans="1:21" ht="15.75">
      <c r="A136" s="31">
        <v>114</v>
      </c>
      <c r="B136" s="32" t="s">
        <v>163</v>
      </c>
      <c r="C136" s="43" t="s">
        <v>74</v>
      </c>
      <c r="D136" s="70">
        <v>24154934.5</v>
      </c>
      <c r="E136" s="70">
        <v>132420.19</v>
      </c>
      <c r="F136" s="48">
        <v>24313.29</v>
      </c>
      <c r="G136" s="65">
        <v>108106.9</v>
      </c>
      <c r="H136" s="41">
        <v>25230348.059999999</v>
      </c>
      <c r="I136" s="36">
        <f t="shared" si="67"/>
        <v>6.414391384078126E-4</v>
      </c>
      <c r="J136" s="41">
        <v>24009843.399999999</v>
      </c>
      <c r="K136" s="36">
        <f t="shared" si="68"/>
        <v>6.0111561902094794E-4</v>
      </c>
      <c r="L136" s="36">
        <f t="shared" si="69"/>
        <v>-4.8374467807480587E-2</v>
      </c>
      <c r="M136" s="67">
        <f t="shared" si="70"/>
        <v>1.0126384247887265E-3</v>
      </c>
      <c r="N136" s="67">
        <f t="shared" si="71"/>
        <v>4.502607459738784E-3</v>
      </c>
      <c r="O136" s="68">
        <f t="shared" si="72"/>
        <v>1.5152035553982879</v>
      </c>
      <c r="P136" s="68">
        <f t="shared" si="73"/>
        <v>6.8223668315590584E-3</v>
      </c>
      <c r="Q136" s="41">
        <v>1.53</v>
      </c>
      <c r="R136" s="41">
        <v>1.53</v>
      </c>
      <c r="S136" s="42">
        <v>7</v>
      </c>
      <c r="T136" s="42">
        <v>16315952.390000001</v>
      </c>
      <c r="U136" s="42">
        <v>15845952.390000001</v>
      </c>
    </row>
    <row r="137" spans="1:21" ht="15.75">
      <c r="A137" s="31">
        <v>115</v>
      </c>
      <c r="B137" s="43" t="s">
        <v>164</v>
      </c>
      <c r="C137" s="43" t="s">
        <v>29</v>
      </c>
      <c r="D137" s="70">
        <v>200940019.44</v>
      </c>
      <c r="E137" s="70">
        <v>1678127.91</v>
      </c>
      <c r="F137" s="48">
        <v>308221.27</v>
      </c>
      <c r="G137" s="65">
        <v>1369906.64</v>
      </c>
      <c r="H137" s="41">
        <v>201678648.03999999</v>
      </c>
      <c r="I137" s="36">
        <f t="shared" si="67"/>
        <v>5.1273402145063426E-3</v>
      </c>
      <c r="J137" s="41">
        <v>202692283.53999999</v>
      </c>
      <c r="K137" s="36">
        <f t="shared" si="68"/>
        <v>5.0746477376406628E-3</v>
      </c>
      <c r="L137" s="36">
        <f t="shared" si="69"/>
        <v>5.0259931323962479E-3</v>
      </c>
      <c r="M137" s="67">
        <f t="shared" si="70"/>
        <v>1.5206364278745449E-3</v>
      </c>
      <c r="N137" s="67">
        <f t="shared" si="71"/>
        <v>6.7585534884442595E-3</v>
      </c>
      <c r="O137" s="68">
        <f t="shared" si="72"/>
        <v>2.0612008766137619</v>
      </c>
      <c r="P137" s="68">
        <f t="shared" si="73"/>
        <v>1.3930736375022306E-2</v>
      </c>
      <c r="Q137" s="41">
        <v>2</v>
      </c>
      <c r="R137" s="41">
        <v>2.0499999999999998</v>
      </c>
      <c r="S137" s="42">
        <v>112</v>
      </c>
      <c r="T137" s="42">
        <v>98226978.900000006</v>
      </c>
      <c r="U137" s="42">
        <v>98336986.870000005</v>
      </c>
    </row>
    <row r="138" spans="1:21" ht="15.75">
      <c r="A138" s="31">
        <v>116</v>
      </c>
      <c r="B138" s="32" t="s">
        <v>165</v>
      </c>
      <c r="C138" s="32" t="s">
        <v>33</v>
      </c>
      <c r="D138" s="70">
        <v>2030289959.6900001</v>
      </c>
      <c r="E138" s="70">
        <v>10716375.699999999</v>
      </c>
      <c r="F138" s="48">
        <v>2928585.61</v>
      </c>
      <c r="G138" s="65">
        <v>-28040821.510000002</v>
      </c>
      <c r="H138" s="41">
        <v>2057480708.6300001</v>
      </c>
      <c r="I138" s="36">
        <f t="shared" si="67"/>
        <v>5.2307984412099426E-2</v>
      </c>
      <c r="J138" s="41">
        <v>2041731802.8299999</v>
      </c>
      <c r="K138" s="36">
        <f t="shared" si="68"/>
        <v>5.1117237879731922E-2</v>
      </c>
      <c r="L138" s="36">
        <f t="shared" si="69"/>
        <v>-7.6544609793628643E-3</v>
      </c>
      <c r="M138" s="67">
        <f t="shared" si="70"/>
        <v>1.4343635172556705E-3</v>
      </c>
      <c r="N138" s="67">
        <f t="shared" si="71"/>
        <v>-1.3733841766647917E-2</v>
      </c>
      <c r="O138" s="68">
        <f t="shared" si="72"/>
        <v>4644.9418545694243</v>
      </c>
      <c r="P138" s="68">
        <f t="shared" si="73"/>
        <v>-63.792896445936599</v>
      </c>
      <c r="Q138" s="41">
        <v>4623.49</v>
      </c>
      <c r="R138" s="41">
        <v>4660.6000000000004</v>
      </c>
      <c r="S138" s="42">
        <v>1827</v>
      </c>
      <c r="T138" s="42">
        <v>436878.44</v>
      </c>
      <c r="U138" s="42">
        <v>439560.25</v>
      </c>
    </row>
    <row r="139" spans="1:21" ht="15.75">
      <c r="A139" s="31">
        <v>117</v>
      </c>
      <c r="B139" s="32" t="s">
        <v>166</v>
      </c>
      <c r="C139" s="32" t="s">
        <v>37</v>
      </c>
      <c r="D139" s="70">
        <v>1125731746</v>
      </c>
      <c r="E139" s="70">
        <v>33257429</v>
      </c>
      <c r="F139" s="70">
        <v>2970003</v>
      </c>
      <c r="G139" s="65">
        <v>-3436993</v>
      </c>
      <c r="H139" s="33">
        <v>1548589609.9100001</v>
      </c>
      <c r="I139" s="36">
        <f t="shared" si="67"/>
        <v>3.9370284657419069E-2</v>
      </c>
      <c r="J139" s="41">
        <v>1409394885.6500001</v>
      </c>
      <c r="K139" s="36">
        <f t="shared" si="68"/>
        <v>3.5285914406774435E-2</v>
      </c>
      <c r="L139" s="36">
        <f t="shared" si="69"/>
        <v>-8.9884836737403662E-2</v>
      </c>
      <c r="M139" s="67">
        <f t="shared" si="70"/>
        <v>2.1072894688632716E-3</v>
      </c>
      <c r="N139" s="67">
        <f t="shared" si="71"/>
        <v>-2.438630248338733E-3</v>
      </c>
      <c r="O139" s="68">
        <f t="shared" si="72"/>
        <v>1.563908959478082</v>
      </c>
      <c r="P139" s="68">
        <f t="shared" si="73"/>
        <v>-3.8137956942312047E-3</v>
      </c>
      <c r="Q139" s="41">
        <v>1.56</v>
      </c>
      <c r="R139" s="41">
        <v>1.57</v>
      </c>
      <c r="S139" s="42">
        <v>1391</v>
      </c>
      <c r="T139" s="42">
        <v>900057342</v>
      </c>
      <c r="U139" s="42">
        <v>901200084</v>
      </c>
    </row>
    <row r="140" spans="1:21" ht="15.75">
      <c r="A140" s="31">
        <v>118</v>
      </c>
      <c r="B140" s="88" t="s">
        <v>167</v>
      </c>
      <c r="C140" s="32" t="s">
        <v>81</v>
      </c>
      <c r="D140" s="70">
        <v>5582066947.8400002</v>
      </c>
      <c r="E140" s="70">
        <v>231084966.87</v>
      </c>
      <c r="F140" s="48">
        <v>10460699.58</v>
      </c>
      <c r="G140" s="65">
        <v>57587980.219999999</v>
      </c>
      <c r="H140" s="41">
        <v>6547307836.9499998</v>
      </c>
      <c r="I140" s="36">
        <f t="shared" si="67"/>
        <v>0.16645428306564261</v>
      </c>
      <c r="J140" s="41">
        <v>6609895817.1700001</v>
      </c>
      <c r="K140" s="36">
        <f t="shared" si="68"/>
        <v>0.16548677763563088</v>
      </c>
      <c r="L140" s="36">
        <f t="shared" si="69"/>
        <v>9.5593458836290609E-3</v>
      </c>
      <c r="M140" s="67">
        <f t="shared" si="70"/>
        <v>1.5825816123798916E-3</v>
      </c>
      <c r="N140" s="67">
        <f t="shared" si="71"/>
        <v>8.7123884873356525E-3</v>
      </c>
      <c r="O140" s="68">
        <f t="shared" si="72"/>
        <v>295.14513641754678</v>
      </c>
      <c r="P140" s="68">
        <f t="shared" si="73"/>
        <v>2.5714190886173456</v>
      </c>
      <c r="Q140" s="41">
        <v>292.98</v>
      </c>
      <c r="R140" s="41">
        <v>296.25</v>
      </c>
      <c r="S140" s="42">
        <v>29</v>
      </c>
      <c r="T140" s="42">
        <v>22378868.920000002</v>
      </c>
      <c r="U140" s="42">
        <v>22395408.23</v>
      </c>
    </row>
    <row r="141" spans="1:21" ht="15.75">
      <c r="A141" s="31">
        <v>119</v>
      </c>
      <c r="B141" s="32" t="s">
        <v>168</v>
      </c>
      <c r="C141" s="32" t="s">
        <v>37</v>
      </c>
      <c r="D141" s="70">
        <v>506956750.05000001</v>
      </c>
      <c r="E141" s="70">
        <v>5978289.0899999999</v>
      </c>
      <c r="F141" s="48">
        <v>1479362</v>
      </c>
      <c r="G141" s="65">
        <v>-9231269</v>
      </c>
      <c r="H141" s="41">
        <v>837203172</v>
      </c>
      <c r="I141" s="36">
        <f t="shared" si="67"/>
        <v>2.128448169018116E-2</v>
      </c>
      <c r="J141" s="41">
        <v>933884326</v>
      </c>
      <c r="K141" s="36">
        <f t="shared" si="68"/>
        <v>2.3380929453186303E-2</v>
      </c>
      <c r="L141" s="36">
        <f t="shared" si="69"/>
        <v>0.11548111286897991</v>
      </c>
      <c r="M141" s="67">
        <f t="shared" si="70"/>
        <v>1.5840955446124491E-3</v>
      </c>
      <c r="N141" s="67">
        <f t="shared" si="71"/>
        <v>-9.8848098666986309E-3</v>
      </c>
      <c r="O141" s="68">
        <f t="shared" si="72"/>
        <v>1.4127222980388854</v>
      </c>
      <c r="P141" s="68">
        <f t="shared" si="73"/>
        <v>-1.3964491310559938E-2</v>
      </c>
      <c r="Q141" s="41">
        <v>1.41</v>
      </c>
      <c r="R141" s="41">
        <v>1.41</v>
      </c>
      <c r="S141" s="42">
        <v>147</v>
      </c>
      <c r="T141" s="42">
        <v>607885209</v>
      </c>
      <c r="U141" s="42">
        <v>661053009</v>
      </c>
    </row>
    <row r="142" spans="1:21" ht="15.75">
      <c r="A142" s="31">
        <v>120</v>
      </c>
      <c r="B142" s="32" t="s">
        <v>169</v>
      </c>
      <c r="C142" s="32" t="s">
        <v>31</v>
      </c>
      <c r="D142" s="70">
        <v>261850045.16999999</v>
      </c>
      <c r="E142" s="70">
        <v>2666554.5</v>
      </c>
      <c r="F142" s="48">
        <v>468488.99</v>
      </c>
      <c r="G142" s="65">
        <v>2198065.5099999998</v>
      </c>
      <c r="H142" s="41">
        <v>256085477.75999999</v>
      </c>
      <c r="I142" s="36">
        <f t="shared" si="67"/>
        <v>6.5105422970184517E-3</v>
      </c>
      <c r="J142" s="41">
        <v>259928081.91</v>
      </c>
      <c r="K142" s="36">
        <f t="shared" si="68"/>
        <v>6.5076155331465976E-3</v>
      </c>
      <c r="L142" s="36">
        <f t="shared" si="69"/>
        <v>1.5005162274766885E-2</v>
      </c>
      <c r="M142" s="67">
        <f t="shared" si="70"/>
        <v>1.8023792833673667E-3</v>
      </c>
      <c r="N142" s="67">
        <f t="shared" si="71"/>
        <v>8.4564372339002575E-3</v>
      </c>
      <c r="O142" s="68">
        <f t="shared" si="72"/>
        <v>197.79356082812109</v>
      </c>
      <c r="P142" s="68">
        <f t="shared" si="73"/>
        <v>1.6726288324126386</v>
      </c>
      <c r="Q142" s="41">
        <v>187.3</v>
      </c>
      <c r="R142" s="41">
        <v>190.34</v>
      </c>
      <c r="S142" s="42">
        <v>734</v>
      </c>
      <c r="T142" s="42">
        <v>1313875</v>
      </c>
      <c r="U142" s="42">
        <v>1314138.24</v>
      </c>
    </row>
    <row r="143" spans="1:21" ht="15.75">
      <c r="A143" s="31">
        <v>121</v>
      </c>
      <c r="B143" s="32" t="s">
        <v>170</v>
      </c>
      <c r="C143" s="32" t="s">
        <v>85</v>
      </c>
      <c r="D143" s="41">
        <v>3221936362.3200002</v>
      </c>
      <c r="E143" s="41">
        <v>14416367.82</v>
      </c>
      <c r="F143" s="41">
        <v>26396479.16</v>
      </c>
      <c r="G143" s="34">
        <v>-66010406.590000004</v>
      </c>
      <c r="H143" s="41">
        <v>3237702329.52</v>
      </c>
      <c r="I143" s="36">
        <f t="shared" si="67"/>
        <v>8.2313132887801968E-2</v>
      </c>
      <c r="J143" s="41">
        <v>3196483664.8299999</v>
      </c>
      <c r="K143" s="36">
        <f t="shared" si="68"/>
        <v>8.0027854612106042E-2</v>
      </c>
      <c r="L143" s="36">
        <f t="shared" si="69"/>
        <v>-1.2730838259646575E-2</v>
      </c>
      <c r="M143" s="67">
        <f t="shared" si="70"/>
        <v>8.2579740514343771E-3</v>
      </c>
      <c r="N143" s="67">
        <f t="shared" si="71"/>
        <v>-2.0650944447579606E-2</v>
      </c>
      <c r="O143" s="68">
        <f t="shared" si="72"/>
        <v>17.935601872406234</v>
      </c>
      <c r="P143" s="68">
        <f t="shared" si="73"/>
        <v>-0.37038711790096596</v>
      </c>
      <c r="Q143" s="41">
        <v>17.935600000000001</v>
      </c>
      <c r="R143" s="41">
        <v>18.138999999999999</v>
      </c>
      <c r="S143" s="42">
        <v>6278</v>
      </c>
      <c r="T143" s="42">
        <v>178485584.31999999</v>
      </c>
      <c r="U143" s="42">
        <v>178220038.97999999</v>
      </c>
    </row>
    <row r="144" spans="1:21" ht="15.75">
      <c r="A144" s="104" t="s">
        <v>39</v>
      </c>
      <c r="B144" s="104"/>
      <c r="C144" s="104"/>
      <c r="D144" s="104"/>
      <c r="E144" s="104"/>
      <c r="F144" s="104"/>
      <c r="G144" s="104"/>
      <c r="H144" s="53">
        <f>SUM(H120:H143)</f>
        <v>39333970363.309998</v>
      </c>
      <c r="I144" s="62">
        <f>(H144/$H$168)</f>
        <v>2.1252432495220068E-2</v>
      </c>
      <c r="J144" s="53">
        <f>SUM(J120:J143)</f>
        <v>39942138650.640007</v>
      </c>
      <c r="K144" s="62">
        <f>(J144/$J$168)</f>
        <v>2.0065190912070523E-2</v>
      </c>
      <c r="L144" s="36">
        <f t="shared" si="69"/>
        <v>1.5461655198105748E-2</v>
      </c>
      <c r="M144" s="38"/>
      <c r="N144" s="38"/>
      <c r="O144" s="89"/>
      <c r="P144" s="89"/>
      <c r="Q144" s="53"/>
      <c r="R144" s="53"/>
      <c r="S144" s="54">
        <f>SUM(S120:S143)</f>
        <v>48639</v>
      </c>
      <c r="T144" s="54"/>
      <c r="U144" s="90"/>
    </row>
    <row r="145" spans="1:21" ht="5.25" customHeight="1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</row>
    <row r="146" spans="1:21">
      <c r="A146" s="101" t="s">
        <v>4</v>
      </c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</row>
    <row r="147" spans="1:21" ht="15.75">
      <c r="A147" s="31">
        <v>122</v>
      </c>
      <c r="B147" s="43" t="s">
        <v>171</v>
      </c>
      <c r="C147" s="43" t="s">
        <v>16</v>
      </c>
      <c r="D147" s="41">
        <v>472805787.45999998</v>
      </c>
      <c r="E147" s="41">
        <v>14738417.35</v>
      </c>
      <c r="F147" s="33">
        <v>1686180.46</v>
      </c>
      <c r="G147" s="34">
        <v>15712581.76</v>
      </c>
      <c r="H147" s="42">
        <v>670855166</v>
      </c>
      <c r="I147" s="36">
        <f>(H147/$H$150)</f>
        <v>0.17273047601524746</v>
      </c>
      <c r="J147" s="41">
        <v>699769016</v>
      </c>
      <c r="K147" s="36">
        <f>(J147/$J$150)</f>
        <v>0.18087282516326311</v>
      </c>
      <c r="L147" s="36">
        <f>((J147-H147)/H147)</f>
        <v>4.3099988589787502E-2</v>
      </c>
      <c r="M147" s="38">
        <f>(F147/J147)</f>
        <v>2.4096243495296452E-3</v>
      </c>
      <c r="N147" s="67">
        <f>G147/J147</f>
        <v>2.2453954663234188E-2</v>
      </c>
      <c r="O147" s="68">
        <f>J147/U147</f>
        <v>52.15236528305239</v>
      </c>
      <c r="P147" s="68">
        <f>G147/U147</f>
        <v>1.1710268456460871</v>
      </c>
      <c r="Q147" s="41">
        <v>51.891599999999997</v>
      </c>
      <c r="R147" s="41">
        <v>53.456200000000003</v>
      </c>
      <c r="S147" s="42">
        <v>281</v>
      </c>
      <c r="T147" s="42">
        <v>13186740</v>
      </c>
      <c r="U147" s="42">
        <v>13417781</v>
      </c>
    </row>
    <row r="148" spans="1:21" ht="15.75">
      <c r="A148" s="31">
        <v>123</v>
      </c>
      <c r="B148" s="43" t="s">
        <v>172</v>
      </c>
      <c r="C148" s="32" t="s">
        <v>33</v>
      </c>
      <c r="D148" s="41">
        <v>2382094792.9099998</v>
      </c>
      <c r="E148" s="41">
        <v>21158962.73</v>
      </c>
      <c r="F148" s="41">
        <v>6811665.5700000003</v>
      </c>
      <c r="G148" s="34">
        <v>-43472356.439999998</v>
      </c>
      <c r="H148" s="41">
        <v>2438346017.6100001</v>
      </c>
      <c r="I148" s="36">
        <f t="shared" ref="I148:I149" si="74">(H148/$H$150)</f>
        <v>0.62782056345029069</v>
      </c>
      <c r="J148" s="41">
        <v>2399664699</v>
      </c>
      <c r="K148" s="36">
        <f t="shared" ref="K148:K149" si="75">(J148/$J$150)</f>
        <v>0.62025343167334723</v>
      </c>
      <c r="L148" s="36">
        <f t="shared" ref="L148:L150" si="76">((J148-H148)/H148)</f>
        <v>-1.5863752859782591E-2</v>
      </c>
      <c r="M148" s="38">
        <f t="shared" ref="M148:M149" si="77">(F148/J148)</f>
        <v>2.83859056343938E-3</v>
      </c>
      <c r="N148" s="67">
        <f t="shared" ref="N148:N149" si="78">G148/J148</f>
        <v>-1.8116012815505438E-2</v>
      </c>
      <c r="O148" s="68">
        <f t="shared" ref="O148:O149" si="79">J148/U148</f>
        <v>1.9175306729271417</v>
      </c>
      <c r="P148" s="68">
        <f t="shared" ref="P148:P149" si="80">G148/U148</f>
        <v>-3.4738010244872865E-2</v>
      </c>
      <c r="Q148" s="41">
        <v>1.9</v>
      </c>
      <c r="R148" s="41">
        <v>1.93</v>
      </c>
      <c r="S148" s="42">
        <v>9847</v>
      </c>
      <c r="T148" s="42">
        <v>1242731126.5699999</v>
      </c>
      <c r="U148" s="42">
        <v>1251434844.24</v>
      </c>
    </row>
    <row r="149" spans="1:21" ht="15.75">
      <c r="A149" s="31">
        <v>124</v>
      </c>
      <c r="B149" s="43" t="s">
        <v>173</v>
      </c>
      <c r="C149" s="32" t="s">
        <v>85</v>
      </c>
      <c r="D149" s="41">
        <v>775020021.87</v>
      </c>
      <c r="E149" s="41">
        <v>4074711.35</v>
      </c>
      <c r="F149" s="33">
        <v>6699666.0499999998</v>
      </c>
      <c r="G149" s="34">
        <v>-13823654.699999999</v>
      </c>
      <c r="H149" s="41">
        <v>774625118.94000006</v>
      </c>
      <c r="I149" s="36">
        <f t="shared" si="74"/>
        <v>0.1994489605344619</v>
      </c>
      <c r="J149" s="41">
        <v>769411786.63</v>
      </c>
      <c r="K149" s="36">
        <f t="shared" si="75"/>
        <v>0.19887374316338963</v>
      </c>
      <c r="L149" s="36">
        <f t="shared" si="76"/>
        <v>-6.7301358844830718E-3</v>
      </c>
      <c r="M149" s="38">
        <f t="shared" si="77"/>
        <v>8.7075167893441441E-3</v>
      </c>
      <c r="N149" s="67">
        <f t="shared" si="78"/>
        <v>-1.7966523180710792E-2</v>
      </c>
      <c r="O149" s="68">
        <f t="shared" si="79"/>
        <v>21.203951193366052</v>
      </c>
      <c r="P149" s="68">
        <f t="shared" si="80"/>
        <v>-0.38096128063827139</v>
      </c>
      <c r="Q149" s="41">
        <v>21.204000000000001</v>
      </c>
      <c r="R149" s="41">
        <v>21.4285</v>
      </c>
      <c r="S149" s="42">
        <v>1521</v>
      </c>
      <c r="T149" s="42">
        <v>36283795.799999997</v>
      </c>
      <c r="U149" s="42">
        <v>36286245.880000003</v>
      </c>
    </row>
    <row r="150" spans="1:21" ht="15.75" customHeight="1">
      <c r="A150" s="104" t="s">
        <v>39</v>
      </c>
      <c r="B150" s="104"/>
      <c r="C150" s="104"/>
      <c r="D150" s="104"/>
      <c r="E150" s="104"/>
      <c r="F150" s="104"/>
      <c r="G150" s="104"/>
      <c r="H150" s="53">
        <f t="shared" ref="H150" si="81">SUM(H147:H149)</f>
        <v>3883826302.5500002</v>
      </c>
      <c r="I150" s="62">
        <f>(H150/$H$168)</f>
        <v>2.0984598187193562E-3</v>
      </c>
      <c r="J150" s="53">
        <f>SUM(J147:J149)</f>
        <v>3868845501.6300001</v>
      </c>
      <c r="K150" s="62">
        <f>(J150/$J$168)</f>
        <v>1.9435394854167964E-3</v>
      </c>
      <c r="L150" s="36">
        <f t="shared" si="76"/>
        <v>-3.857227319914937E-3</v>
      </c>
      <c r="M150" s="38"/>
      <c r="N150" s="38"/>
      <c r="O150" s="89"/>
      <c r="P150" s="89"/>
      <c r="Q150" s="53"/>
      <c r="R150" s="53"/>
      <c r="S150" s="54">
        <f>SUM(S147:S149)</f>
        <v>11649</v>
      </c>
      <c r="T150" s="54"/>
      <c r="U150" s="90"/>
    </row>
    <row r="151" spans="1:21" ht="7.5" customHeight="1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</row>
    <row r="152" spans="1:21" ht="15" customHeight="1">
      <c r="A152" s="101" t="s">
        <v>174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</row>
    <row r="153" spans="1:21">
      <c r="A153" s="106" t="s">
        <v>175</v>
      </c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</row>
    <row r="154" spans="1:21" ht="15.75">
      <c r="A154" s="31">
        <v>125</v>
      </c>
      <c r="B154" s="43" t="s">
        <v>176</v>
      </c>
      <c r="C154" s="32" t="s">
        <v>109</v>
      </c>
      <c r="D154" s="91">
        <v>3391367494.25</v>
      </c>
      <c r="E154" s="37">
        <v>39587001.710000001</v>
      </c>
      <c r="F154" s="33">
        <v>9958770.9399999995</v>
      </c>
      <c r="G154" s="34">
        <v>33453267.120000001</v>
      </c>
      <c r="H154" s="37">
        <v>3649588869.9000001</v>
      </c>
      <c r="I154" s="36">
        <f>(H154/$H$167)</f>
        <v>8.0931461293038354E-2</v>
      </c>
      <c r="J154" s="37">
        <v>3671308280.5500002</v>
      </c>
      <c r="K154" s="36">
        <f>(J154/$J$167)</f>
        <v>8.0824680986417416E-2</v>
      </c>
      <c r="L154" s="36">
        <f>((J154-H154)/H154)</f>
        <v>5.9511937986031875E-3</v>
      </c>
      <c r="M154" s="38">
        <f>(F154/J154)</f>
        <v>2.7125945790932252E-3</v>
      </c>
      <c r="N154" s="92">
        <f>G154/J154</f>
        <v>9.1120833674551444E-3</v>
      </c>
      <c r="O154" s="40">
        <f>J154/U154</f>
        <v>1.8159971766597833</v>
      </c>
      <c r="P154" s="40">
        <f>G154/U154</f>
        <v>1.6547517668787114E-2</v>
      </c>
      <c r="Q154" s="37">
        <v>1.8</v>
      </c>
      <c r="R154" s="37">
        <v>1.83</v>
      </c>
      <c r="S154" s="35">
        <v>14979</v>
      </c>
      <c r="T154" s="35">
        <v>2023497289.45</v>
      </c>
      <c r="U154" s="42">
        <v>2021648672</v>
      </c>
    </row>
    <row r="155" spans="1:21" ht="15.75">
      <c r="A155" s="31">
        <v>126</v>
      </c>
      <c r="B155" s="32" t="s">
        <v>177</v>
      </c>
      <c r="C155" s="32" t="s">
        <v>33</v>
      </c>
      <c r="D155" s="41">
        <v>506181084.19999999</v>
      </c>
      <c r="E155" s="41">
        <v>23987163.800000001</v>
      </c>
      <c r="F155" s="41">
        <v>1576034.74</v>
      </c>
      <c r="G155" s="34">
        <v>-6184617.0899999999</v>
      </c>
      <c r="H155" s="41">
        <v>506890587.66000003</v>
      </c>
      <c r="I155" s="36">
        <f>(H155/$H$167)</f>
        <v>1.1240552686181009E-2</v>
      </c>
      <c r="J155" s="41">
        <v>508116554.61000001</v>
      </c>
      <c r="K155" s="36">
        <f>(J155/$J$167)</f>
        <v>1.1186300711341607E-2</v>
      </c>
      <c r="L155" s="36">
        <f>((J155-H155)/H155)</f>
        <v>2.4186027119965244E-3</v>
      </c>
      <c r="M155" s="38">
        <f>(F155/J155)</f>
        <v>3.1017189377143405E-3</v>
      </c>
      <c r="N155" s="92">
        <f>G155/J155</f>
        <v>-1.2171650448875738E-2</v>
      </c>
      <c r="O155" s="40">
        <f>J155/U155</f>
        <v>372.92105276329977</v>
      </c>
      <c r="P155" s="40">
        <f>G155/U155</f>
        <v>-4.5390646992616306</v>
      </c>
      <c r="Q155" s="41">
        <v>370.16</v>
      </c>
      <c r="R155" s="41">
        <v>374.82</v>
      </c>
      <c r="S155" s="42">
        <v>668</v>
      </c>
      <c r="T155" s="42">
        <v>1341835.1100000001</v>
      </c>
      <c r="U155" s="42">
        <v>1362531.16</v>
      </c>
    </row>
    <row r="156" spans="1:21" ht="7.5" customHeight="1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</row>
    <row r="157" spans="1:21" ht="15" customHeight="1">
      <c r="A157" s="106" t="s">
        <v>135</v>
      </c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</row>
    <row r="158" spans="1:21" ht="15" customHeight="1">
      <c r="A158" s="31">
        <v>127</v>
      </c>
      <c r="B158" s="43" t="s">
        <v>178</v>
      </c>
      <c r="C158" s="32" t="s">
        <v>179</v>
      </c>
      <c r="D158" s="34">
        <v>367590878</v>
      </c>
      <c r="E158" s="41">
        <v>4868931</v>
      </c>
      <c r="F158" s="41">
        <v>755570</v>
      </c>
      <c r="G158" s="34">
        <v>4113361</v>
      </c>
      <c r="H158" s="41">
        <v>446918173</v>
      </c>
      <c r="I158" s="36">
        <f t="shared" ref="I158:I166" si="82">(H158/$H$167)</f>
        <v>9.9106343505195923E-3</v>
      </c>
      <c r="J158" s="41">
        <v>434725352</v>
      </c>
      <c r="K158" s="66">
        <f t="shared" ref="K158:K166" si="83">(J158/$J$167)</f>
        <v>9.5705768099769058E-3</v>
      </c>
      <c r="L158" s="66">
        <f>((J158-H158)/H158)</f>
        <v>-2.728199866690138E-2</v>
      </c>
      <c r="M158" s="38">
        <f t="shared" ref="M158" si="84">(F158/J158)</f>
        <v>1.7380398831674303E-3</v>
      </c>
      <c r="N158" s="67">
        <f t="shared" ref="N158" si="85">G158/J158</f>
        <v>9.4619763514505132E-3</v>
      </c>
      <c r="O158" s="68">
        <f t="shared" ref="O158" si="86">J158/U158</f>
        <v>1038.0509372239069</v>
      </c>
      <c r="P158" s="68">
        <f t="shared" ref="P158" si="87">G158/U158</f>
        <v>9.8220134196136488</v>
      </c>
      <c r="Q158" s="41">
        <v>1038.05</v>
      </c>
      <c r="R158" s="41">
        <v>1038.05</v>
      </c>
      <c r="S158" s="42">
        <v>21</v>
      </c>
      <c r="T158" s="42">
        <v>433204</v>
      </c>
      <c r="U158" s="42">
        <v>418790</v>
      </c>
    </row>
    <row r="159" spans="1:21" ht="15" customHeight="1">
      <c r="A159" s="31">
        <v>128</v>
      </c>
      <c r="B159" s="43" t="s">
        <v>180</v>
      </c>
      <c r="C159" s="47" t="s">
        <v>51</v>
      </c>
      <c r="D159" s="41">
        <v>20035010.57</v>
      </c>
      <c r="E159" s="41">
        <v>411269.81</v>
      </c>
      <c r="F159" s="41">
        <v>102170.77</v>
      </c>
      <c r="G159" s="34">
        <v>309099.03999999998</v>
      </c>
      <c r="H159" s="41">
        <v>45818335.630000003</v>
      </c>
      <c r="I159" s="36">
        <f t="shared" si="82"/>
        <v>1.0160445433001306E-3</v>
      </c>
      <c r="J159" s="41">
        <v>44979582.630000003</v>
      </c>
      <c r="K159" s="66">
        <f t="shared" si="83"/>
        <v>9.9023567054612005E-4</v>
      </c>
      <c r="L159" s="66">
        <f t="shared" ref="L159:L167" si="88">((J159-H159)/H159)</f>
        <v>-1.8306055609990737E-2</v>
      </c>
      <c r="M159" s="38">
        <f t="shared" ref="M159:M166" si="89">(F159/J159)</f>
        <v>2.2714921754710821E-3</v>
      </c>
      <c r="N159" s="67">
        <f t="shared" ref="N159:N166" si="90">G159/J159</f>
        <v>6.8719855082390296E-3</v>
      </c>
      <c r="O159" s="68">
        <f t="shared" ref="O159:O166" si="91">J159/U159</f>
        <v>109.60284470511981</v>
      </c>
      <c r="P159" s="68">
        <f t="shared" ref="P159:P166" si="92">G159/U159</f>
        <v>0.75318916047535611</v>
      </c>
      <c r="Q159" s="41">
        <v>109.79</v>
      </c>
      <c r="R159" s="41">
        <v>109.79</v>
      </c>
      <c r="S159" s="42">
        <v>55</v>
      </c>
      <c r="T159" s="42">
        <v>437091</v>
      </c>
      <c r="U159" s="42">
        <v>410387</v>
      </c>
    </row>
    <row r="160" spans="1:21" ht="15.75">
      <c r="A160" s="31">
        <v>129</v>
      </c>
      <c r="B160" s="43" t="s">
        <v>181</v>
      </c>
      <c r="C160" s="47" t="s">
        <v>158</v>
      </c>
      <c r="D160" s="41">
        <v>35388960.890000001</v>
      </c>
      <c r="E160" s="41">
        <v>596802.22</v>
      </c>
      <c r="F160" s="41">
        <v>320312.31</v>
      </c>
      <c r="G160" s="34">
        <v>276489.90999999997</v>
      </c>
      <c r="H160" s="41">
        <v>53226660.380000003</v>
      </c>
      <c r="I160" s="36">
        <f t="shared" si="82"/>
        <v>1.1803278555098456E-3</v>
      </c>
      <c r="J160" s="41">
        <v>53471446.880000003</v>
      </c>
      <c r="K160" s="66">
        <f t="shared" si="83"/>
        <v>1.1771859799555467E-3</v>
      </c>
      <c r="L160" s="66">
        <f t="shared" si="88"/>
        <v>4.5989453077161105E-3</v>
      </c>
      <c r="M160" s="38">
        <f t="shared" si="89"/>
        <v>5.9903430464270241E-3</v>
      </c>
      <c r="N160" s="67">
        <f t="shared" si="90"/>
        <v>5.1707953708545681E-3</v>
      </c>
      <c r="O160" s="68">
        <f t="shared" si="91"/>
        <v>108.74346810488062</v>
      </c>
      <c r="P160" s="68">
        <f t="shared" si="92"/>
        <v>0.56229022148738816</v>
      </c>
      <c r="Q160" s="41">
        <v>102.61</v>
      </c>
      <c r="R160" s="41">
        <v>108.74</v>
      </c>
      <c r="S160" s="42">
        <v>6</v>
      </c>
      <c r="T160" s="42">
        <v>494401</v>
      </c>
      <c r="U160" s="42">
        <v>491721</v>
      </c>
    </row>
    <row r="161" spans="1:21" ht="15.75">
      <c r="A161" s="31">
        <v>130</v>
      </c>
      <c r="B161" s="32" t="s">
        <v>182</v>
      </c>
      <c r="C161" s="32" t="s">
        <v>64</v>
      </c>
      <c r="D161" s="41">
        <v>9280432680.2000008</v>
      </c>
      <c r="E161" s="41">
        <v>123227248.11</v>
      </c>
      <c r="F161" s="41">
        <v>15381357.74</v>
      </c>
      <c r="G161" s="34">
        <v>107845890.38</v>
      </c>
      <c r="H161" s="41">
        <v>10438289813.950001</v>
      </c>
      <c r="I161" s="36">
        <f t="shared" si="82"/>
        <v>0.23147430523218315</v>
      </c>
      <c r="J161" s="41">
        <v>9280432680.2000008</v>
      </c>
      <c r="K161" s="66">
        <f t="shared" si="83"/>
        <v>0.20431082150385826</v>
      </c>
      <c r="L161" s="66">
        <f t="shared" si="88"/>
        <v>-0.11092402629045706</v>
      </c>
      <c r="M161" s="38">
        <f t="shared" si="89"/>
        <v>1.6573966182435063E-3</v>
      </c>
      <c r="N161" s="67">
        <f t="shared" si="90"/>
        <v>1.1620782575158535E-2</v>
      </c>
      <c r="O161" s="68">
        <f t="shared" si="91"/>
        <v>134.43311477545845</v>
      </c>
      <c r="P161" s="68">
        <f t="shared" si="92"/>
        <v>1.5622179977069348</v>
      </c>
      <c r="Q161" s="41">
        <v>134.43</v>
      </c>
      <c r="R161" s="41">
        <v>134.43</v>
      </c>
      <c r="S161" s="42">
        <v>579</v>
      </c>
      <c r="T161" s="42">
        <v>78425731.019999996</v>
      </c>
      <c r="U161" s="42">
        <v>69033829.170000002</v>
      </c>
    </row>
    <row r="162" spans="1:21" ht="15.75">
      <c r="A162" s="31">
        <v>131</v>
      </c>
      <c r="B162" s="43" t="s">
        <v>108</v>
      </c>
      <c r="C162" s="32" t="s">
        <v>109</v>
      </c>
      <c r="D162" s="48">
        <v>13498399936.389999</v>
      </c>
      <c r="E162" s="48">
        <v>198705920.25999999</v>
      </c>
      <c r="F162" s="48">
        <v>40429602.670000002</v>
      </c>
      <c r="G162" s="65">
        <v>158276317.59</v>
      </c>
      <c r="H162" s="41">
        <v>16836676847.959999</v>
      </c>
      <c r="I162" s="36">
        <f t="shared" si="82"/>
        <v>0.37336174270539296</v>
      </c>
      <c r="J162" s="48">
        <v>18376543062.110001</v>
      </c>
      <c r="K162" s="66">
        <f t="shared" si="83"/>
        <v>0.40456374598040917</v>
      </c>
      <c r="L162" s="66">
        <f t="shared" si="88"/>
        <v>9.1459034823524452E-2</v>
      </c>
      <c r="M162" s="38">
        <f t="shared" si="89"/>
        <v>2.2000657323498723E-3</v>
      </c>
      <c r="N162" s="67">
        <f t="shared" si="90"/>
        <v>8.6129538648835879E-3</v>
      </c>
      <c r="O162" s="68">
        <f t="shared" si="91"/>
        <v>1207.0334956892102</v>
      </c>
      <c r="P162" s="68">
        <f t="shared" si="92"/>
        <v>10.396123811740331</v>
      </c>
      <c r="Q162" s="65">
        <v>1207.03</v>
      </c>
      <c r="R162" s="65">
        <v>1207.03</v>
      </c>
      <c r="S162" s="49">
        <v>7145</v>
      </c>
      <c r="T162" s="49">
        <v>14097755.369999999</v>
      </c>
      <c r="U162" s="49">
        <v>15224551.039999999</v>
      </c>
    </row>
    <row r="163" spans="1:21" ht="15.75">
      <c r="A163" s="31">
        <v>132</v>
      </c>
      <c r="B163" s="32" t="s">
        <v>230</v>
      </c>
      <c r="C163" s="32" t="s">
        <v>231</v>
      </c>
      <c r="D163" s="41">
        <v>74514963</v>
      </c>
      <c r="E163" s="41">
        <v>0</v>
      </c>
      <c r="F163" s="41">
        <v>100903.15</v>
      </c>
      <c r="G163" s="34">
        <v>0</v>
      </c>
      <c r="H163" s="41">
        <v>316726141.60000002</v>
      </c>
      <c r="I163" s="36">
        <f t="shared" si="82"/>
        <v>7.0235608401820176E-3</v>
      </c>
      <c r="J163" s="41">
        <v>316726141.60000002</v>
      </c>
      <c r="K163" s="66">
        <f t="shared" si="83"/>
        <v>6.9727975420914075E-3</v>
      </c>
      <c r="L163" s="66">
        <f t="shared" ref="L163" si="93">((J163-H163)/H163)</f>
        <v>0</v>
      </c>
      <c r="M163" s="38">
        <f t="shared" ref="M163" si="94">(F163/J163)</f>
        <v>3.185816917109187E-4</v>
      </c>
      <c r="N163" s="67">
        <f t="shared" ref="N163" si="95">G163/J163</f>
        <v>0</v>
      </c>
      <c r="O163" s="68">
        <f t="shared" ref="O163" si="96">J163/U163</f>
        <v>99.146674468023861</v>
      </c>
      <c r="P163" s="68">
        <f t="shared" ref="P163" si="97">G163/U163</f>
        <v>0</v>
      </c>
      <c r="Q163" s="34">
        <v>99.01</v>
      </c>
      <c r="R163" s="34">
        <v>99.012799999999999</v>
      </c>
      <c r="S163" s="42">
        <v>109</v>
      </c>
      <c r="T163" s="42">
        <v>2182360</v>
      </c>
      <c r="U163" s="42">
        <v>3194521.08</v>
      </c>
    </row>
    <row r="164" spans="1:21" ht="15.75">
      <c r="A164" s="31">
        <v>133</v>
      </c>
      <c r="B164" s="32" t="s">
        <v>183</v>
      </c>
      <c r="C164" s="32" t="s">
        <v>184</v>
      </c>
      <c r="D164" s="41">
        <v>483311436.27999997</v>
      </c>
      <c r="E164" s="41">
        <v>11113654.880000001</v>
      </c>
      <c r="F164" s="41">
        <v>1484054.66</v>
      </c>
      <c r="G164" s="34">
        <v>9626600.2200000007</v>
      </c>
      <c r="H164" s="41">
        <v>675876199.65999997</v>
      </c>
      <c r="I164" s="36">
        <f t="shared" si="82"/>
        <v>1.4987893278282585E-2</v>
      </c>
      <c r="J164" s="41">
        <v>407450370.97000003</v>
      </c>
      <c r="K164" s="66">
        <f t="shared" si="83"/>
        <v>8.9701119423602638E-3</v>
      </c>
      <c r="L164" s="66">
        <f t="shared" si="88"/>
        <v>-0.39715236137184851</v>
      </c>
      <c r="M164" s="38">
        <f t="shared" si="89"/>
        <v>3.6422955180209389E-3</v>
      </c>
      <c r="N164" s="67">
        <f t="shared" si="90"/>
        <v>2.3626436262856643E-2</v>
      </c>
      <c r="O164" s="68">
        <f t="shared" si="91"/>
        <v>61.142819858665604</v>
      </c>
      <c r="P164" s="68">
        <f t="shared" si="92"/>
        <v>1.4445869363220885</v>
      </c>
      <c r="Q164" s="86">
        <v>104.13</v>
      </c>
      <c r="R164" s="86">
        <v>104.13</v>
      </c>
      <c r="S164" s="42">
        <v>507</v>
      </c>
      <c r="T164" s="42">
        <v>6538984</v>
      </c>
      <c r="U164" s="42">
        <v>6663912</v>
      </c>
    </row>
    <row r="165" spans="1:21" ht="15" customHeight="1">
      <c r="A165" s="31">
        <v>134</v>
      </c>
      <c r="B165" s="43" t="s">
        <v>185</v>
      </c>
      <c r="C165" s="43" t="s">
        <v>33</v>
      </c>
      <c r="D165" s="41">
        <v>8349800547.8299999</v>
      </c>
      <c r="E165" s="41">
        <v>60042626.75</v>
      </c>
      <c r="F165" s="41">
        <v>13272638.27</v>
      </c>
      <c r="G165" s="34">
        <v>46769988.479999997</v>
      </c>
      <c r="H165" s="41">
        <v>8475993216.6300001</v>
      </c>
      <c r="I165" s="36">
        <f t="shared" si="82"/>
        <v>0.18795939525937408</v>
      </c>
      <c r="J165" s="41">
        <v>8513807461.8800001</v>
      </c>
      <c r="K165" s="66">
        <f t="shared" si="83"/>
        <v>0.18743339417498953</v>
      </c>
      <c r="L165" s="66">
        <f t="shared" si="88"/>
        <v>4.4613350062395049E-3</v>
      </c>
      <c r="M165" s="38">
        <f t="shared" si="89"/>
        <v>1.558954478290394E-3</v>
      </c>
      <c r="N165" s="67">
        <f t="shared" si="90"/>
        <v>5.4934280214122147E-3</v>
      </c>
      <c r="O165" s="68">
        <f t="shared" si="91"/>
        <v>126.20058053425728</v>
      </c>
      <c r="P165" s="68">
        <f t="shared" si="92"/>
        <v>0.69327380542537786</v>
      </c>
      <c r="Q165" s="41">
        <v>126.2</v>
      </c>
      <c r="R165" s="41">
        <v>126.2</v>
      </c>
      <c r="S165" s="42">
        <v>1086</v>
      </c>
      <c r="T165" s="42">
        <v>67236938.75</v>
      </c>
      <c r="U165" s="42">
        <v>67462506.319999993</v>
      </c>
    </row>
    <row r="166" spans="1:21" ht="15" customHeight="1">
      <c r="A166" s="31">
        <v>135</v>
      </c>
      <c r="B166" s="32" t="s">
        <v>186</v>
      </c>
      <c r="C166" s="32" t="s">
        <v>37</v>
      </c>
      <c r="D166" s="41">
        <v>2258837132</v>
      </c>
      <c r="E166" s="41">
        <v>34479712</v>
      </c>
      <c r="F166" s="41">
        <v>6033751</v>
      </c>
      <c r="G166" s="34">
        <v>28445962</v>
      </c>
      <c r="H166" s="41">
        <v>3648805152</v>
      </c>
      <c r="I166" s="36">
        <f t="shared" si="82"/>
        <v>8.0914081956036416E-2</v>
      </c>
      <c r="J166" s="41">
        <v>3815547896</v>
      </c>
      <c r="K166" s="66">
        <f t="shared" si="83"/>
        <v>8.4000148698053792E-2</v>
      </c>
      <c r="L166" s="66">
        <f t="shared" si="88"/>
        <v>4.5697903026859131E-2</v>
      </c>
      <c r="M166" s="38">
        <f t="shared" si="89"/>
        <v>1.581358998618635E-3</v>
      </c>
      <c r="N166" s="67">
        <f t="shared" si="90"/>
        <v>7.455275828098267E-3</v>
      </c>
      <c r="O166" s="68">
        <f t="shared" si="91"/>
        <v>1.1539138815747747</v>
      </c>
      <c r="P166" s="68">
        <f t="shared" si="92"/>
        <v>8.6027462690114638E-3</v>
      </c>
      <c r="Q166" s="34">
        <v>1.1499999999999999</v>
      </c>
      <c r="R166" s="34">
        <v>1.1499999999999999</v>
      </c>
      <c r="S166" s="42">
        <v>200</v>
      </c>
      <c r="T166" s="42">
        <v>3196057123</v>
      </c>
      <c r="U166" s="42">
        <v>3306614087</v>
      </c>
    </row>
    <row r="167" spans="1:21" ht="15.75">
      <c r="A167" s="104" t="s">
        <v>39</v>
      </c>
      <c r="B167" s="104"/>
      <c r="C167" s="104"/>
      <c r="D167" s="104"/>
      <c r="E167" s="104"/>
      <c r="F167" s="104"/>
      <c r="G167" s="104"/>
      <c r="H167" s="53">
        <f>SUM(H154:H166)</f>
        <v>45094809998.369995</v>
      </c>
      <c r="I167" s="81">
        <f>(H167/$H$168)</f>
        <v>2.4365056375521332E-2</v>
      </c>
      <c r="J167" s="53">
        <f>SUM(J154:J166)</f>
        <v>45423108829.43</v>
      </c>
      <c r="K167" s="62">
        <f>(J167/$J$168)</f>
        <v>2.2818591624604086E-2</v>
      </c>
      <c r="L167" s="66">
        <f t="shared" si="88"/>
        <v>7.2801910257936989E-3</v>
      </c>
      <c r="M167" s="67"/>
      <c r="N167" s="93"/>
      <c r="O167" s="89"/>
      <c r="P167" s="89"/>
      <c r="Q167" s="53"/>
      <c r="R167" s="53"/>
      <c r="S167" s="54">
        <f>SUM(S154:S166)</f>
        <v>25355</v>
      </c>
      <c r="T167" s="54"/>
      <c r="U167" s="54"/>
    </row>
    <row r="168" spans="1:21">
      <c r="A168" s="111" t="s">
        <v>187</v>
      </c>
      <c r="B168" s="111"/>
      <c r="C168" s="111"/>
      <c r="D168" s="111"/>
      <c r="E168" s="111"/>
      <c r="F168" s="111"/>
      <c r="G168" s="111"/>
      <c r="H168" s="94">
        <f>SUM(H21,H53,H85,H110,H117,H144,H150,H167)</f>
        <v>1850798508460.4639</v>
      </c>
      <c r="I168" s="95"/>
      <c r="J168" s="94">
        <f>SUM(J21,J53,J85,J110,J117,J144,J150,J167)</f>
        <v>1990618421009.5005</v>
      </c>
      <c r="K168" s="95"/>
      <c r="L168" s="96">
        <f>((J168-H168)/H168)</f>
        <v>7.5545723594375488E-2</v>
      </c>
      <c r="M168" s="97"/>
      <c r="N168" s="98"/>
      <c r="O168" s="99"/>
      <c r="P168" s="99"/>
      <c r="Q168" s="94"/>
      <c r="R168" s="94"/>
      <c r="S168" s="100">
        <f>SUM(S21,S53,S85,S110,S117,S144,S150,S167)</f>
        <v>638711</v>
      </c>
      <c r="T168" s="100"/>
      <c r="U168" s="100"/>
    </row>
    <row r="169" spans="1:21" ht="3.75" customHeight="1">
      <c r="A169" s="15"/>
      <c r="B169" s="15"/>
      <c r="C169" s="15"/>
      <c r="D169" s="16"/>
      <c r="E169" s="16"/>
      <c r="F169" s="16"/>
      <c r="G169" s="17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</row>
    <row r="170" spans="1:21" ht="15.75">
      <c r="A170" s="9" t="s">
        <v>188</v>
      </c>
      <c r="B170" s="8" t="s">
        <v>233</v>
      </c>
      <c r="C170" s="12"/>
      <c r="D170" s="10"/>
      <c r="E170" s="10"/>
      <c r="F170" s="10"/>
      <c r="G170" s="11"/>
      <c r="H170" s="13"/>
      <c r="I170" s="10"/>
      <c r="J170" s="13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4"/>
    </row>
  </sheetData>
  <sheetProtection algorithmName="SHA-512" hashValue="8TVlurKcqiPJA02boIRERPIgJ65/oqH5wWsdchE8GSCm9AAAUA/FOMdXoTE3PRA9fHCVcc5ZzrkCG30Ous3dcw==" saltValue="f/0M/REX5Hum+r360Ifmmw==" spinCount="100000" sheet="1" objects="1" scenarios="1"/>
  <mergeCells count="31">
    <mergeCell ref="A168:G168"/>
    <mergeCell ref="A146:U146"/>
    <mergeCell ref="A153:U153"/>
    <mergeCell ref="A111:U111"/>
    <mergeCell ref="A118:U118"/>
    <mergeCell ref="A145:U145"/>
    <mergeCell ref="A151:U151"/>
    <mergeCell ref="A150:G150"/>
    <mergeCell ref="A167:G167"/>
    <mergeCell ref="A1:U1"/>
    <mergeCell ref="A3:U3"/>
    <mergeCell ref="A22:U22"/>
    <mergeCell ref="A54:U54"/>
    <mergeCell ref="A21:G21"/>
    <mergeCell ref="A4:U4"/>
    <mergeCell ref="A23:U23"/>
    <mergeCell ref="A53:G53"/>
    <mergeCell ref="A110:G110"/>
    <mergeCell ref="A117:G117"/>
    <mergeCell ref="A144:G144"/>
    <mergeCell ref="A157:U157"/>
    <mergeCell ref="A156:U156"/>
    <mergeCell ref="A112:U112"/>
    <mergeCell ref="A152:U152"/>
    <mergeCell ref="A119:U119"/>
    <mergeCell ref="A55:U55"/>
    <mergeCell ref="A87:U87"/>
    <mergeCell ref="A88:U88"/>
    <mergeCell ref="A86:U86"/>
    <mergeCell ref="A100:U100"/>
    <mergeCell ref="A85:G85"/>
  </mergeCells>
  <pageMargins left="0.7" right="0.7" top="0.75" bottom="0.75" header="0.3" footer="0.3"/>
  <pageSetup orientation="portrait" r:id="rId1"/>
  <ignoredErrors>
    <ignoredError sqref="I21 I53 I110 I150 I167 I85 I117 I144" formula="1"/>
    <ignoredError sqref="H18 H77:H79 H81 F1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zoomScaleNormal="100" workbookViewId="0">
      <selection activeCell="A4" sqref="A4:E15"/>
    </sheetView>
  </sheetViews>
  <sheetFormatPr defaultRowHeight="15"/>
  <cols>
    <col min="1" max="1" width="34" customWidth="1"/>
    <col min="2" max="2" width="18" customWidth="1"/>
    <col min="3" max="3" width="18.7109375" customWidth="1"/>
    <col min="4" max="4" width="16.28515625" customWidth="1"/>
  </cols>
  <sheetData>
    <row r="1" spans="1:6">
      <c r="A1" s="3"/>
      <c r="B1" s="3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spans="1:6" ht="33" customHeight="1">
      <c r="A4" s="114" t="s">
        <v>5</v>
      </c>
      <c r="B4" s="115" t="s">
        <v>234</v>
      </c>
      <c r="C4" s="115" t="s">
        <v>235</v>
      </c>
      <c r="D4" s="115" t="s">
        <v>236</v>
      </c>
      <c r="E4" s="2"/>
      <c r="F4" s="3"/>
    </row>
    <row r="5" spans="1:6" ht="19.5" customHeight="1">
      <c r="A5" s="116" t="s">
        <v>0</v>
      </c>
      <c r="B5" s="19">
        <f>'[1]August 2023'!H21/1000000000</f>
        <v>21.703801741949999</v>
      </c>
      <c r="C5" s="117">
        <f>'[1]August 2023'!J21/1000000000</f>
        <v>21.743603431120004</v>
      </c>
      <c r="D5" s="19">
        <f>'September 2023'!J21/1000000000</f>
        <v>22.305170580120002</v>
      </c>
      <c r="E5" s="2"/>
      <c r="F5" s="3"/>
    </row>
    <row r="6" spans="1:6" ht="15.75">
      <c r="A6" s="114" t="s">
        <v>1</v>
      </c>
      <c r="B6" s="19">
        <f>'[1]August 2023'!H53/1000000000</f>
        <v>849.05272954500992</v>
      </c>
      <c r="C6" s="117">
        <f>'[1]August 2023'!J53/1000000000</f>
        <v>851.85517891960512</v>
      </c>
      <c r="D6" s="19">
        <f>'September 2023'!J53/1000000000</f>
        <v>895.47002369608992</v>
      </c>
      <c r="E6" s="2"/>
      <c r="F6" s="3"/>
    </row>
    <row r="7" spans="1:6" ht="15.75">
      <c r="A7" s="114" t="s">
        <v>6</v>
      </c>
      <c r="B7" s="19">
        <f>'[1]August 2023'!H85/1000000000</f>
        <v>304.16288626912996</v>
      </c>
      <c r="C7" s="117">
        <f>'[1]August 2023'!J85/1000000000</f>
        <v>223.79031756769999</v>
      </c>
      <c r="D7" s="19">
        <f>'September 2023'!J85/1000000000</f>
        <v>300.77220794251002</v>
      </c>
      <c r="E7" s="2"/>
      <c r="F7" s="3"/>
    </row>
    <row r="8" spans="1:6" ht="15.75">
      <c r="A8" s="114" t="s">
        <v>2</v>
      </c>
      <c r="B8" s="19">
        <f>'[1]August 2023'!H110/1000000000</f>
        <v>559.46903968236791</v>
      </c>
      <c r="C8" s="117">
        <f>'[1]August 2023'!J110/1000000000</f>
        <v>572.0062060636285</v>
      </c>
      <c r="D8" s="19">
        <f>'September 2023'!J110/1000000000</f>
        <v>590.41468159443093</v>
      </c>
      <c r="E8" s="2"/>
      <c r="F8" s="3"/>
    </row>
    <row r="9" spans="1:6" ht="15.75">
      <c r="A9" s="114" t="s">
        <v>7</v>
      </c>
      <c r="B9" s="19">
        <f>'[1]August 2023'!H117/1000000000</f>
        <v>93.087466919259995</v>
      </c>
      <c r="C9" s="117">
        <f>'[1]August 2023'!J117/1000000000</f>
        <v>93.090595814179991</v>
      </c>
      <c r="D9" s="19">
        <f>'September 2023'!J117/1000000000</f>
        <v>92.422244214649993</v>
      </c>
      <c r="E9" s="2"/>
      <c r="F9" s="3"/>
    </row>
    <row r="10" spans="1:6" ht="15.75">
      <c r="A10" s="114" t="s">
        <v>3</v>
      </c>
      <c r="B10" s="19">
        <f>'[1]August 2023'!H144/1000000000</f>
        <v>38.647229545230005</v>
      </c>
      <c r="C10" s="117">
        <f>'[1]August 2023'!J144/1000000000</f>
        <v>39.333970363309994</v>
      </c>
      <c r="D10" s="19">
        <f>'September 2023'!J144/1000000000</f>
        <v>39.942138650640004</v>
      </c>
      <c r="E10" s="2"/>
      <c r="F10" s="3"/>
    </row>
    <row r="11" spans="1:6" ht="15.75">
      <c r="A11" s="114" t="s">
        <v>4</v>
      </c>
      <c r="B11" s="19">
        <f>'[1]August 2023'!H150/1000000000</f>
        <v>3.7484993003899998</v>
      </c>
      <c r="C11" s="117">
        <f>'[1]August 2023'!J150/1000000000</f>
        <v>3.8838263025500002</v>
      </c>
      <c r="D11" s="19">
        <f>'September 2023'!J150/1000000000</f>
        <v>3.8688455016300001</v>
      </c>
      <c r="E11" s="2"/>
      <c r="F11" s="3"/>
    </row>
    <row r="12" spans="1:6" ht="15.75">
      <c r="A12" s="114" t="s">
        <v>8</v>
      </c>
      <c r="B12" s="19">
        <f>'[1]August 2023'!H167/1000000000</f>
        <v>44.207333886330005</v>
      </c>
      <c r="C12" s="117">
        <f>'[1]August 2023'!J167/1000000000</f>
        <v>45.094809998369996</v>
      </c>
      <c r="D12" s="19">
        <f>'September 2023'!J167/1000000000</f>
        <v>45.423108829429999</v>
      </c>
      <c r="E12" s="2"/>
      <c r="F12" s="3"/>
    </row>
    <row r="13" spans="1:6">
      <c r="A13" s="2"/>
      <c r="B13" s="2"/>
      <c r="C13" s="2"/>
      <c r="D13" s="2"/>
      <c r="E13" s="2"/>
      <c r="F13" s="3"/>
    </row>
    <row r="14" spans="1:6">
      <c r="A14" s="2"/>
      <c r="B14" s="2"/>
      <c r="C14" s="2"/>
      <c r="D14" s="2"/>
      <c r="E14" s="2"/>
      <c r="F14" s="3"/>
    </row>
    <row r="15" spans="1:6" ht="16.5">
      <c r="A15" s="20"/>
      <c r="B15" s="20"/>
      <c r="C15" s="19"/>
      <c r="D15" s="2"/>
      <c r="E15" s="2"/>
      <c r="F15" s="3"/>
    </row>
    <row r="16" spans="1:6" ht="16.5">
      <c r="A16" s="26"/>
      <c r="B16" s="26"/>
      <c r="C16" s="25"/>
      <c r="D16" s="27"/>
      <c r="E16" s="3"/>
      <c r="F16" s="3"/>
    </row>
    <row r="17" spans="1:6" ht="16.5">
      <c r="A17" s="26"/>
      <c r="B17" s="26"/>
      <c r="C17" s="25"/>
      <c r="D17" s="4"/>
      <c r="E17" s="3"/>
      <c r="F17" s="3"/>
    </row>
    <row r="18" spans="1:6" ht="16.5">
      <c r="A18" s="26"/>
      <c r="B18" s="26"/>
      <c r="C18" s="25"/>
      <c r="D18" s="28"/>
      <c r="E18" s="3"/>
      <c r="F18" s="3"/>
    </row>
    <row r="19" spans="1:6" ht="16.5">
      <c r="A19" s="20" t="s">
        <v>7</v>
      </c>
      <c r="B19" s="20"/>
      <c r="C19" s="19"/>
      <c r="D19" s="21"/>
      <c r="E19" s="3"/>
      <c r="F19" s="3"/>
    </row>
    <row r="20" spans="1:6" ht="16.5">
      <c r="A20" s="20" t="s">
        <v>3</v>
      </c>
      <c r="B20" s="20"/>
      <c r="C20" s="19"/>
      <c r="D20" s="22"/>
      <c r="E20" s="3"/>
      <c r="F20" s="3"/>
    </row>
    <row r="21" spans="1:6" ht="16.5">
      <c r="A21" s="20" t="s">
        <v>4</v>
      </c>
      <c r="B21" s="20"/>
      <c r="C21" s="19"/>
      <c r="D21" s="21"/>
      <c r="E21" s="3"/>
      <c r="F21" s="3"/>
    </row>
    <row r="22" spans="1:6" ht="16.5">
      <c r="A22" s="20" t="s">
        <v>8</v>
      </c>
      <c r="B22" s="20"/>
      <c r="C22" s="19"/>
      <c r="D22" s="18"/>
      <c r="E22" s="3"/>
      <c r="F22" s="3"/>
    </row>
    <row r="23" spans="1:6" ht="16.5">
      <c r="A23" s="2"/>
      <c r="B23" s="2"/>
      <c r="C23" s="2"/>
      <c r="D23" s="21"/>
      <c r="E23" s="2"/>
    </row>
    <row r="24" spans="1:6" ht="16.5">
      <c r="A24" s="2"/>
      <c r="B24" s="2"/>
      <c r="C24" s="2"/>
      <c r="D24" s="21"/>
      <c r="E24" s="2"/>
    </row>
    <row r="25" spans="1:6" ht="16.5">
      <c r="A25" s="2"/>
      <c r="B25" s="2"/>
      <c r="C25" s="2"/>
      <c r="D25" s="21"/>
      <c r="E25" s="2"/>
    </row>
    <row r="26" spans="1:6" ht="16.5">
      <c r="A26" s="1"/>
      <c r="B26" s="1"/>
      <c r="C26" s="4"/>
      <c r="D26" s="4"/>
    </row>
    <row r="27" spans="1:6">
      <c r="C27" s="3"/>
      <c r="D27" s="3"/>
    </row>
    <row r="28" spans="1:6">
      <c r="C28" s="3"/>
      <c r="D28" s="3"/>
    </row>
  </sheetData>
  <sheetProtection algorithmName="SHA-512" hashValue="mRef9pXmVhPuc01qFKiOSgb6a8TeDi7dwkTcNzV/qPdlYIKVw9lXTGNU/dV9C/sXDnqKaPEtY47BRIqE4Ku9Bw==" saltValue="V2gINBiH0ZcbWYzvsXrwJ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3"/>
  <sheetViews>
    <sheetView zoomScale="85" zoomScaleNormal="85" workbookViewId="0">
      <selection activeCell="D5" sqref="D5"/>
    </sheetView>
  </sheetViews>
  <sheetFormatPr defaultRowHeight="15"/>
  <cols>
    <col min="1" max="1" width="26.7109375" customWidth="1"/>
    <col min="2" max="2" width="19.28515625" customWidth="1"/>
  </cols>
  <sheetData>
    <row r="1" spans="1:3" ht="16.5">
      <c r="A1" s="114" t="s">
        <v>5</v>
      </c>
      <c r="B1" s="118" t="s">
        <v>236</v>
      </c>
      <c r="C1" s="2"/>
    </row>
    <row r="2" spans="1:3" ht="16.5">
      <c r="A2" s="20" t="s">
        <v>4</v>
      </c>
      <c r="B2" s="19">
        <f>'September 2023'!J150</f>
        <v>3868845501.6300001</v>
      </c>
      <c r="C2" s="2"/>
    </row>
    <row r="3" spans="1:3" ht="16.5">
      <c r="A3" s="20" t="s">
        <v>0</v>
      </c>
      <c r="B3" s="19">
        <f>'September 2023'!J21</f>
        <v>22305170580.120003</v>
      </c>
      <c r="C3" s="2"/>
    </row>
    <row r="4" spans="1:3" ht="16.5">
      <c r="A4" s="20" t="s">
        <v>3</v>
      </c>
      <c r="B4" s="19">
        <f>'September 2023'!J144</f>
        <v>39942138650.640007</v>
      </c>
      <c r="C4" s="2"/>
    </row>
    <row r="5" spans="1:3" ht="16.5">
      <c r="A5" s="20" t="s">
        <v>8</v>
      </c>
      <c r="B5" s="19">
        <f>'September 2023'!J167</f>
        <v>45423108829.43</v>
      </c>
      <c r="C5" s="2"/>
    </row>
    <row r="6" spans="1:3" ht="16.5">
      <c r="A6" s="20" t="s">
        <v>7</v>
      </c>
      <c r="B6" s="19">
        <f>'September 2023'!J117</f>
        <v>92422244214.649994</v>
      </c>
      <c r="C6" s="2"/>
    </row>
    <row r="7" spans="1:3" ht="16.5">
      <c r="A7" s="20" t="s">
        <v>6</v>
      </c>
      <c r="B7" s="19">
        <f>'September 2023'!J85</f>
        <v>300772207942.51001</v>
      </c>
      <c r="C7" s="2"/>
    </row>
    <row r="8" spans="1:3" ht="16.5">
      <c r="A8" s="20" t="s">
        <v>2</v>
      </c>
      <c r="B8" s="19">
        <f>'September 2023'!J110</f>
        <v>590414681594.43091</v>
      </c>
      <c r="C8" s="2"/>
    </row>
    <row r="9" spans="1:3" ht="16.5">
      <c r="A9" s="20" t="s">
        <v>1</v>
      </c>
      <c r="B9" s="19">
        <f>'September 2023'!J53</f>
        <v>895470023696.08997</v>
      </c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 ht="16.5">
      <c r="A12" s="20"/>
      <c r="B12" s="2"/>
      <c r="C12" s="2"/>
    </row>
    <row r="13" spans="1:3" ht="16.5">
      <c r="A13" s="26"/>
      <c r="B13" s="25"/>
      <c r="C13" s="3"/>
    </row>
    <row r="14" spans="1:3" ht="16.5">
      <c r="A14" s="26"/>
      <c r="B14" s="25"/>
      <c r="C14" s="3"/>
    </row>
    <row r="15" spans="1:3" ht="16.5">
      <c r="A15" s="20" t="s">
        <v>8</v>
      </c>
      <c r="B15" s="19"/>
    </row>
    <row r="16" spans="1:3" ht="16.5">
      <c r="A16" s="20" t="s">
        <v>3</v>
      </c>
      <c r="B16" s="19"/>
    </row>
    <row r="17" spans="1:17" ht="16.5">
      <c r="A17" s="20" t="s">
        <v>7</v>
      </c>
      <c r="B17" s="19"/>
    </row>
    <row r="18" spans="1:17" ht="16.5">
      <c r="A18" s="20" t="s">
        <v>2</v>
      </c>
      <c r="B18" s="19"/>
    </row>
    <row r="19" spans="1:17" ht="16.5">
      <c r="A19" s="20" t="s">
        <v>6</v>
      </c>
      <c r="B19" s="19"/>
    </row>
    <row r="20" spans="1:17" ht="16.5">
      <c r="A20" s="20" t="s">
        <v>1</v>
      </c>
      <c r="B20" s="19"/>
    </row>
    <row r="21" spans="1:17" ht="16.5">
      <c r="A21" s="20"/>
      <c r="B21" s="22"/>
    </row>
    <row r="22" spans="1:17" ht="16.5">
      <c r="B22" s="6"/>
    </row>
    <row r="23" spans="1:17">
      <c r="B23" s="7"/>
    </row>
    <row r="24" spans="1:17">
      <c r="B24" s="7"/>
    </row>
    <row r="25" spans="1:17">
      <c r="B25" s="7"/>
    </row>
    <row r="26" spans="1:17">
      <c r="B26" s="7"/>
    </row>
    <row r="27" spans="1:17">
      <c r="B27" s="7"/>
    </row>
    <row r="28" spans="1:17">
      <c r="B28" s="7"/>
    </row>
    <row r="29" spans="1:17">
      <c r="B29" s="7"/>
    </row>
    <row r="30" spans="1:17">
      <c r="B30" s="7"/>
    </row>
    <row r="32" spans="1:17" ht="16.5" customHeight="1">
      <c r="A32" s="113" t="s">
        <v>237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5"/>
    </row>
    <row r="33" spans="1:17" ht="15" customHeight="1">
      <c r="A33" s="113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5"/>
    </row>
  </sheetData>
  <sheetProtection algorithmName="SHA-512" hashValue="qi90wbcTK3SWi1L8BdywMJa4Wb44kk/DkBCktnRh4mTmHtt2XTTld3EEQGcf1V9fdZbkOnhsjLT84RBcv3e8yA==" saltValue="Pfxno2ccN/PF6o4Ylc0IAg==" spinCount="100000" sheet="1" objects="1" scenarios="1"/>
  <sortState xmlns:xlrd2="http://schemas.microsoft.com/office/spreadsheetml/2017/richdata2" ref="B23:B30">
    <sortCondition ref="B23:B30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workbookViewId="0">
      <selection activeCell="C5" sqref="C5"/>
    </sheetView>
  </sheetViews>
  <sheetFormatPr defaultRowHeight="15"/>
  <cols>
    <col min="1" max="1" width="32" customWidth="1"/>
    <col min="2" max="2" width="15" customWidth="1"/>
  </cols>
  <sheetData>
    <row r="1" spans="1:5">
      <c r="A1" s="3"/>
      <c r="B1" s="3"/>
      <c r="C1" s="3"/>
      <c r="D1" s="3"/>
    </row>
    <row r="2" spans="1:5">
      <c r="A2" s="3"/>
      <c r="B2" s="3"/>
      <c r="C2" s="3"/>
      <c r="D2" s="3"/>
      <c r="E2" s="3"/>
    </row>
    <row r="3" spans="1:5">
      <c r="A3" s="3"/>
      <c r="B3" s="3"/>
      <c r="C3" s="3"/>
      <c r="D3" s="3"/>
      <c r="E3" s="3"/>
    </row>
    <row r="4" spans="1:5">
      <c r="A4" s="2"/>
      <c r="B4" s="2"/>
      <c r="C4" s="2"/>
      <c r="D4" s="3"/>
      <c r="E4" s="3"/>
    </row>
    <row r="5" spans="1:5" ht="15.75">
      <c r="A5" s="114" t="s">
        <v>5</v>
      </c>
      <c r="B5" s="119" t="s">
        <v>9</v>
      </c>
      <c r="C5" s="2"/>
      <c r="D5" s="3"/>
      <c r="E5" s="3"/>
    </row>
    <row r="6" spans="1:5" ht="16.5">
      <c r="A6" s="20" t="s">
        <v>0</v>
      </c>
      <c r="B6" s="120">
        <f>'September 2023'!S21</f>
        <v>41263</v>
      </c>
      <c r="C6" s="2"/>
      <c r="D6" s="3"/>
      <c r="E6" s="3"/>
    </row>
    <row r="7" spans="1:5" ht="16.5">
      <c r="A7" s="20" t="s">
        <v>1</v>
      </c>
      <c r="B7" s="120">
        <f>'September 2023'!S53</f>
        <v>239117</v>
      </c>
      <c r="C7" s="2"/>
      <c r="D7" s="3"/>
      <c r="E7" s="3"/>
    </row>
    <row r="8" spans="1:5" ht="16.5">
      <c r="A8" s="20" t="s">
        <v>6</v>
      </c>
      <c r="B8" s="120">
        <f>'September 2023'!S85</f>
        <v>43730</v>
      </c>
      <c r="C8" s="2"/>
      <c r="D8" s="3"/>
      <c r="E8" s="3"/>
    </row>
    <row r="9" spans="1:5" ht="16.5">
      <c r="A9" s="20" t="s">
        <v>2</v>
      </c>
      <c r="B9" s="120">
        <f>'September 2023'!S110</f>
        <v>11976</v>
      </c>
      <c r="C9" s="2"/>
      <c r="D9" s="3"/>
      <c r="E9" s="3"/>
    </row>
    <row r="10" spans="1:5" ht="16.5">
      <c r="A10" s="20" t="s">
        <v>7</v>
      </c>
      <c r="B10" s="120">
        <f>'September 2023'!S117</f>
        <v>216982</v>
      </c>
      <c r="C10" s="2"/>
      <c r="D10" s="3"/>
      <c r="E10" s="3"/>
    </row>
    <row r="11" spans="1:5" ht="16.5">
      <c r="A11" s="20" t="s">
        <v>3</v>
      </c>
      <c r="B11" s="120">
        <f>'September 2023'!S144</f>
        <v>48639</v>
      </c>
      <c r="C11" s="2"/>
      <c r="D11" s="3"/>
      <c r="E11" s="3"/>
    </row>
    <row r="12" spans="1:5" ht="16.5">
      <c r="A12" s="20" t="s">
        <v>4</v>
      </c>
      <c r="B12" s="120">
        <f>'September 2023'!S150</f>
        <v>11649</v>
      </c>
      <c r="C12" s="2"/>
      <c r="D12" s="3"/>
      <c r="E12" s="3"/>
    </row>
    <row r="13" spans="1:5" ht="16.5">
      <c r="A13" s="20" t="s">
        <v>8</v>
      </c>
      <c r="B13" s="120">
        <f>'September 2023'!S167</f>
        <v>25355</v>
      </c>
      <c r="C13" s="2"/>
      <c r="D13" s="3"/>
      <c r="E13" s="3"/>
    </row>
    <row r="14" spans="1:5">
      <c r="A14" s="2"/>
      <c r="B14" s="2"/>
      <c r="C14" s="2"/>
      <c r="D14" s="3"/>
      <c r="E14" s="3"/>
    </row>
    <row r="15" spans="1:5">
      <c r="A15" s="2"/>
      <c r="B15" s="2"/>
      <c r="C15" s="2"/>
      <c r="D15" s="3"/>
      <c r="E15" s="3"/>
    </row>
    <row r="16" spans="1:5">
      <c r="A16" s="3"/>
      <c r="B16" s="3"/>
      <c r="C16" s="3"/>
      <c r="D16" s="3"/>
      <c r="E16" s="3"/>
    </row>
    <row r="17" spans="1:5">
      <c r="A17" s="3"/>
      <c r="B17" s="3"/>
      <c r="C17" s="3"/>
      <c r="D17" s="3"/>
      <c r="E17" s="3"/>
    </row>
    <row r="18" spans="1:5">
      <c r="A18" s="3"/>
      <c r="B18" s="3"/>
      <c r="C18" s="3"/>
      <c r="D18" s="3"/>
      <c r="E18" s="3"/>
    </row>
    <row r="19" spans="1:5">
      <c r="A19" s="3"/>
      <c r="B19" s="3"/>
      <c r="C19" s="3"/>
      <c r="D19" s="3"/>
    </row>
  </sheetData>
  <sheetProtection algorithmName="SHA-512" hashValue="vVIjfLVPNOWJj+FHegRUGuH3TvIRgCg+cVz4bXskTbsxN7OJyRKeIXKULOhvWEnJKH0PqzOFdNgmivGMqMKHgQ==" saltValue="EVZINovnvFyb115S9aTiow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September 2023</vt:lpstr>
      <vt:lpstr>NAV Comparison</vt:lpstr>
      <vt:lpstr>Market Share</vt:lpstr>
      <vt:lpstr>Unitholders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tundeisaac.ti@gmail.com</cp:lastModifiedBy>
  <dcterms:created xsi:type="dcterms:W3CDTF">2023-10-09T09:40:10Z</dcterms:created>
  <dcterms:modified xsi:type="dcterms:W3CDTF">2024-06-23T19:28:26Z</dcterms:modified>
</cp:coreProperties>
</file>