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4FE91DF9-3400-4410-936C-A69847303855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August 2023" sheetId="7" r:id="rId1"/>
    <sheet name="NAV Comparison" sheetId="2" r:id="rId2"/>
    <sheet name="Market Share" sheetId="3" r:id="rId3"/>
    <sheet name="Unitholder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7" i="2"/>
  <c r="B6" i="2"/>
  <c r="B5" i="2"/>
  <c r="J53" i="7"/>
  <c r="K125" i="7" l="1"/>
  <c r="S125" i="7"/>
  <c r="P125" i="7"/>
  <c r="O125" i="7"/>
  <c r="N125" i="7"/>
  <c r="M125" i="7"/>
  <c r="L125" i="7"/>
  <c r="R107" i="7"/>
  <c r="Q107" i="7"/>
  <c r="J107" i="7"/>
  <c r="G107" i="7"/>
  <c r="F107" i="7"/>
  <c r="E107" i="7"/>
  <c r="D107" i="7"/>
  <c r="M50" i="7"/>
  <c r="M158" i="7"/>
  <c r="M101" i="7"/>
  <c r="L166" i="7" l="1"/>
  <c r="K159" i="7" l="1"/>
  <c r="K160" i="7"/>
  <c r="K161" i="7"/>
  <c r="K162" i="7"/>
  <c r="K163" i="7"/>
  <c r="K164" i="7"/>
  <c r="K165" i="7"/>
  <c r="K166" i="7"/>
  <c r="K158" i="7"/>
  <c r="K155" i="7"/>
  <c r="K154" i="7"/>
  <c r="I159" i="7"/>
  <c r="I160" i="7"/>
  <c r="I161" i="7"/>
  <c r="I162" i="7"/>
  <c r="I163" i="7"/>
  <c r="I164" i="7"/>
  <c r="I165" i="7"/>
  <c r="I166" i="7"/>
  <c r="I158" i="7"/>
  <c r="I155" i="7"/>
  <c r="I154" i="7"/>
  <c r="K148" i="7"/>
  <c r="K149" i="7"/>
  <c r="K147" i="7"/>
  <c r="I148" i="7"/>
  <c r="I149" i="7"/>
  <c r="I147" i="7"/>
  <c r="K114" i="7"/>
  <c r="K115" i="7"/>
  <c r="K116" i="7"/>
  <c r="K113" i="7"/>
  <c r="I114" i="7"/>
  <c r="I115" i="7"/>
  <c r="I116" i="7"/>
  <c r="I113" i="7"/>
  <c r="I102" i="7"/>
  <c r="I103" i="7"/>
  <c r="I104" i="7"/>
  <c r="I105" i="7"/>
  <c r="I106" i="7"/>
  <c r="I107" i="7"/>
  <c r="I108" i="7"/>
  <c r="I109" i="7"/>
  <c r="I101" i="7"/>
  <c r="I90" i="7"/>
  <c r="I91" i="7"/>
  <c r="I92" i="7"/>
  <c r="I93" i="7"/>
  <c r="I94" i="7"/>
  <c r="I95" i="7"/>
  <c r="I96" i="7"/>
  <c r="I97" i="7"/>
  <c r="I98" i="7"/>
  <c r="I89" i="7"/>
  <c r="H108" i="7"/>
  <c r="H106" i="7"/>
  <c r="H105" i="7"/>
  <c r="H104" i="7"/>
  <c r="H103" i="7"/>
  <c r="H98" i="7"/>
  <c r="H95" i="7"/>
  <c r="J108" i="7"/>
  <c r="R108" i="7"/>
  <c r="Q108" i="7"/>
  <c r="G108" i="7"/>
  <c r="F108" i="7"/>
  <c r="M108" i="7" s="1"/>
  <c r="E108" i="7"/>
  <c r="D108" i="7"/>
  <c r="M97" i="7"/>
  <c r="L32" i="7"/>
  <c r="M32" i="7"/>
  <c r="P32" i="7"/>
  <c r="O32" i="7"/>
  <c r="N32" i="7"/>
  <c r="N108" i="7" l="1"/>
  <c r="P108" i="7"/>
  <c r="L108" i="7"/>
  <c r="O108" i="7"/>
  <c r="P97" i="7"/>
  <c r="N97" i="7"/>
  <c r="O97" i="7"/>
  <c r="L97" i="7"/>
  <c r="D127" i="7" l="1"/>
  <c r="P127" i="7"/>
  <c r="O127" i="7"/>
  <c r="N127" i="7"/>
  <c r="M127" i="7"/>
  <c r="L127" i="7"/>
  <c r="D9" i="7"/>
  <c r="P9" i="7"/>
  <c r="O9" i="7"/>
  <c r="N9" i="7"/>
  <c r="M9" i="7"/>
  <c r="L9" i="7"/>
  <c r="D66" i="7"/>
  <c r="P66" i="7"/>
  <c r="O66" i="7"/>
  <c r="N66" i="7"/>
  <c r="M66" i="7"/>
  <c r="L66" i="7"/>
  <c r="P41" i="7"/>
  <c r="O41" i="7"/>
  <c r="N41" i="7"/>
  <c r="M41" i="7"/>
  <c r="L41" i="7"/>
  <c r="P13" i="7"/>
  <c r="O13" i="7"/>
  <c r="N13" i="7"/>
  <c r="M13" i="7"/>
  <c r="L13" i="7"/>
  <c r="P133" i="7"/>
  <c r="O133" i="7"/>
  <c r="N133" i="7"/>
  <c r="M133" i="7"/>
  <c r="L133" i="7"/>
  <c r="P132" i="7"/>
  <c r="O132" i="7"/>
  <c r="N132" i="7"/>
  <c r="M132" i="7"/>
  <c r="L132" i="7"/>
  <c r="P162" i="7"/>
  <c r="O162" i="7"/>
  <c r="N162" i="7"/>
  <c r="M162" i="7"/>
  <c r="L162" i="7"/>
  <c r="P165" i="7"/>
  <c r="O165" i="7"/>
  <c r="N165" i="7"/>
  <c r="M165" i="7"/>
  <c r="L165" i="7"/>
  <c r="R98" i="7" l="1"/>
  <c r="Q98" i="7"/>
  <c r="J98" i="7"/>
  <c r="G98" i="7"/>
  <c r="F98" i="7"/>
  <c r="E98" i="7"/>
  <c r="D98" i="7"/>
  <c r="R89" i="7"/>
  <c r="Q89" i="7"/>
  <c r="R106" i="7"/>
  <c r="Q106" i="7"/>
  <c r="J106" i="7"/>
  <c r="G106" i="7"/>
  <c r="F106" i="7"/>
  <c r="E106" i="7"/>
  <c r="D106" i="7"/>
  <c r="R104" i="7" l="1"/>
  <c r="Q104" i="7"/>
  <c r="J104" i="7"/>
  <c r="G104" i="7"/>
  <c r="F104" i="7"/>
  <c r="E104" i="7"/>
  <c r="D104" i="7"/>
  <c r="L123" i="7"/>
  <c r="R105" i="7"/>
  <c r="Q105" i="7"/>
  <c r="J105" i="7"/>
  <c r="G105" i="7"/>
  <c r="F105" i="7"/>
  <c r="E105" i="7"/>
  <c r="D105" i="7"/>
  <c r="S167" i="7"/>
  <c r="J167" i="7"/>
  <c r="H167" i="7"/>
  <c r="M167" i="7"/>
  <c r="P166" i="7"/>
  <c r="O166" i="7"/>
  <c r="N166" i="7"/>
  <c r="M166" i="7"/>
  <c r="P164" i="7"/>
  <c r="O164" i="7"/>
  <c r="N164" i="7"/>
  <c r="M164" i="7"/>
  <c r="L164" i="7"/>
  <c r="P163" i="7"/>
  <c r="O163" i="7"/>
  <c r="N163" i="7"/>
  <c r="M163" i="7"/>
  <c r="L163" i="7"/>
  <c r="P161" i="7"/>
  <c r="O161" i="7"/>
  <c r="N161" i="7"/>
  <c r="M161" i="7"/>
  <c r="L161" i="7"/>
  <c r="P160" i="7"/>
  <c r="O160" i="7"/>
  <c r="N160" i="7"/>
  <c r="M160" i="7"/>
  <c r="L160" i="7"/>
  <c r="P159" i="7"/>
  <c r="O159" i="7"/>
  <c r="N159" i="7"/>
  <c r="M159" i="7"/>
  <c r="L159" i="7"/>
  <c r="P158" i="7"/>
  <c r="O158" i="7"/>
  <c r="N158" i="7"/>
  <c r="L158" i="7"/>
  <c r="P155" i="7"/>
  <c r="O155" i="7"/>
  <c r="N155" i="7"/>
  <c r="M155" i="7"/>
  <c r="L155" i="7"/>
  <c r="P154" i="7"/>
  <c r="O154" i="7"/>
  <c r="N154" i="7"/>
  <c r="M154" i="7"/>
  <c r="L154" i="7"/>
  <c r="S150" i="7"/>
  <c r="J150" i="7"/>
  <c r="H150" i="7"/>
  <c r="P149" i="7"/>
  <c r="O149" i="7"/>
  <c r="N149" i="7"/>
  <c r="M149" i="7"/>
  <c r="L149" i="7"/>
  <c r="P148" i="7"/>
  <c r="O148" i="7"/>
  <c r="N148" i="7"/>
  <c r="M148" i="7"/>
  <c r="L148" i="7"/>
  <c r="P147" i="7"/>
  <c r="O147" i="7"/>
  <c r="N147" i="7"/>
  <c r="M147" i="7"/>
  <c r="L147" i="7"/>
  <c r="S144" i="7"/>
  <c r="J144" i="7"/>
  <c r="H144" i="7"/>
  <c r="I125" i="7" s="1"/>
  <c r="P143" i="7"/>
  <c r="O143" i="7"/>
  <c r="N143" i="7"/>
  <c r="M143" i="7"/>
  <c r="L143" i="7"/>
  <c r="P142" i="7"/>
  <c r="O142" i="7"/>
  <c r="N142" i="7"/>
  <c r="M142" i="7"/>
  <c r="L142" i="7"/>
  <c r="P141" i="7"/>
  <c r="O141" i="7"/>
  <c r="N141" i="7"/>
  <c r="M141" i="7"/>
  <c r="L141" i="7"/>
  <c r="P140" i="7"/>
  <c r="O140" i="7"/>
  <c r="N140" i="7"/>
  <c r="M140" i="7"/>
  <c r="L140" i="7"/>
  <c r="P139" i="7"/>
  <c r="O139" i="7"/>
  <c r="N139" i="7"/>
  <c r="M139" i="7"/>
  <c r="L139" i="7"/>
  <c r="P138" i="7"/>
  <c r="O138" i="7"/>
  <c r="N138" i="7"/>
  <c r="M138" i="7"/>
  <c r="L138" i="7"/>
  <c r="P137" i="7"/>
  <c r="O137" i="7"/>
  <c r="N137" i="7"/>
  <c r="M137" i="7"/>
  <c r="L137" i="7"/>
  <c r="P136" i="7"/>
  <c r="O136" i="7"/>
  <c r="N136" i="7"/>
  <c r="M136" i="7"/>
  <c r="L136" i="7"/>
  <c r="P135" i="7"/>
  <c r="O135" i="7"/>
  <c r="N135" i="7"/>
  <c r="M135" i="7"/>
  <c r="L135" i="7"/>
  <c r="P134" i="7"/>
  <c r="O134" i="7"/>
  <c r="N134" i="7"/>
  <c r="M134" i="7"/>
  <c r="L134" i="7"/>
  <c r="P131" i="7"/>
  <c r="O131" i="7"/>
  <c r="N131" i="7"/>
  <c r="M131" i="7"/>
  <c r="L131" i="7"/>
  <c r="P130" i="7"/>
  <c r="O130" i="7"/>
  <c r="N130" i="7"/>
  <c r="M130" i="7"/>
  <c r="L130" i="7"/>
  <c r="P129" i="7"/>
  <c r="O129" i="7"/>
  <c r="N129" i="7"/>
  <c r="M129" i="7"/>
  <c r="L129" i="7"/>
  <c r="P128" i="7"/>
  <c r="O128" i="7"/>
  <c r="N128" i="7"/>
  <c r="M128" i="7"/>
  <c r="L128" i="7"/>
  <c r="P126" i="7"/>
  <c r="O126" i="7"/>
  <c r="N126" i="7"/>
  <c r="M126" i="7"/>
  <c r="L126" i="7"/>
  <c r="P124" i="7"/>
  <c r="O124" i="7"/>
  <c r="N124" i="7"/>
  <c r="M124" i="7"/>
  <c r="L124" i="7"/>
  <c r="P123" i="7"/>
  <c r="O123" i="7"/>
  <c r="N123" i="7"/>
  <c r="M123" i="7"/>
  <c r="P122" i="7"/>
  <c r="O122" i="7"/>
  <c r="N122" i="7"/>
  <c r="M122" i="7"/>
  <c r="L122" i="7"/>
  <c r="P121" i="7"/>
  <c r="O121" i="7"/>
  <c r="N121" i="7"/>
  <c r="M121" i="7"/>
  <c r="L121" i="7"/>
  <c r="P120" i="7"/>
  <c r="O120" i="7"/>
  <c r="N120" i="7"/>
  <c r="M120" i="7"/>
  <c r="L120" i="7"/>
  <c r="S117" i="7"/>
  <c r="J117" i="7"/>
  <c r="H117" i="7"/>
  <c r="P116" i="7"/>
  <c r="O116" i="7"/>
  <c r="N116" i="7"/>
  <c r="M116" i="7"/>
  <c r="L116" i="7"/>
  <c r="P115" i="7"/>
  <c r="O115" i="7"/>
  <c r="N115" i="7"/>
  <c r="M115" i="7"/>
  <c r="L115" i="7"/>
  <c r="P114" i="7"/>
  <c r="O114" i="7"/>
  <c r="N114" i="7"/>
  <c r="M114" i="7"/>
  <c r="L114" i="7"/>
  <c r="P113" i="7"/>
  <c r="O113" i="7"/>
  <c r="N113" i="7"/>
  <c r="M113" i="7"/>
  <c r="L113" i="7"/>
  <c r="R109" i="7"/>
  <c r="Q109" i="7"/>
  <c r="J109" i="7"/>
  <c r="G109" i="7"/>
  <c r="F109" i="7"/>
  <c r="M109" i="7" s="1"/>
  <c r="E109" i="7"/>
  <c r="D109" i="7"/>
  <c r="M107" i="7"/>
  <c r="M106" i="7"/>
  <c r="M105" i="7"/>
  <c r="M104" i="7"/>
  <c r="R103" i="7"/>
  <c r="Q103" i="7"/>
  <c r="J103" i="7"/>
  <c r="G103" i="7"/>
  <c r="F103" i="7"/>
  <c r="M103" i="7" s="1"/>
  <c r="E103" i="7"/>
  <c r="D103" i="7"/>
  <c r="R102" i="7"/>
  <c r="Q102" i="7"/>
  <c r="J102" i="7"/>
  <c r="G102" i="7"/>
  <c r="F102" i="7"/>
  <c r="M102" i="7" s="1"/>
  <c r="E102" i="7"/>
  <c r="D102" i="7"/>
  <c r="R101" i="7"/>
  <c r="Q101" i="7"/>
  <c r="J101" i="7"/>
  <c r="G101" i="7"/>
  <c r="F101" i="7"/>
  <c r="E101" i="7"/>
  <c r="D101" i="7"/>
  <c r="P98" i="7"/>
  <c r="O98" i="7"/>
  <c r="N98" i="7"/>
  <c r="M98" i="7"/>
  <c r="L98" i="7"/>
  <c r="R96" i="7"/>
  <c r="Q96" i="7"/>
  <c r="J96" i="7"/>
  <c r="G96" i="7"/>
  <c r="F96" i="7"/>
  <c r="M96" i="7" s="1"/>
  <c r="E96" i="7"/>
  <c r="D96" i="7"/>
  <c r="U95" i="7"/>
  <c r="R95" i="7"/>
  <c r="Q95" i="7"/>
  <c r="J95" i="7"/>
  <c r="G95" i="7"/>
  <c r="F95" i="7"/>
  <c r="M95" i="7" s="1"/>
  <c r="R94" i="7"/>
  <c r="Q94" i="7"/>
  <c r="J94" i="7"/>
  <c r="G94" i="7"/>
  <c r="F94" i="7"/>
  <c r="M94" i="7" s="1"/>
  <c r="E94" i="7"/>
  <c r="D94" i="7"/>
  <c r="P93" i="7"/>
  <c r="O93" i="7"/>
  <c r="N93" i="7"/>
  <c r="M93" i="7"/>
  <c r="L93" i="7"/>
  <c r="P92" i="7"/>
  <c r="O92" i="7"/>
  <c r="N92" i="7"/>
  <c r="M92" i="7"/>
  <c r="L92" i="7"/>
  <c r="P91" i="7"/>
  <c r="O91" i="7"/>
  <c r="N91" i="7"/>
  <c r="M91" i="7"/>
  <c r="L91" i="7"/>
  <c r="R90" i="7"/>
  <c r="Q90" i="7"/>
  <c r="J90" i="7"/>
  <c r="G90" i="7"/>
  <c r="F90" i="7"/>
  <c r="M90" i="7" s="1"/>
  <c r="E90" i="7"/>
  <c r="D90" i="7"/>
  <c r="P89" i="7"/>
  <c r="O89" i="7"/>
  <c r="N89" i="7"/>
  <c r="M89" i="7"/>
  <c r="L89" i="7"/>
  <c r="S85" i="7"/>
  <c r="J85" i="7"/>
  <c r="H85" i="7"/>
  <c r="P84" i="7"/>
  <c r="O84" i="7"/>
  <c r="N84" i="7"/>
  <c r="M84" i="7"/>
  <c r="L84" i="7"/>
  <c r="P83" i="7"/>
  <c r="O83" i="7"/>
  <c r="N83" i="7"/>
  <c r="M83" i="7"/>
  <c r="L83" i="7"/>
  <c r="P82" i="7"/>
  <c r="O82" i="7"/>
  <c r="N82" i="7"/>
  <c r="M82" i="7"/>
  <c r="L82" i="7"/>
  <c r="P81" i="7"/>
  <c r="O81" i="7"/>
  <c r="N81" i="7"/>
  <c r="M81" i="7"/>
  <c r="L81" i="7"/>
  <c r="P80" i="7"/>
  <c r="O80" i="7"/>
  <c r="N80" i="7"/>
  <c r="M80" i="7"/>
  <c r="L80" i="7"/>
  <c r="P79" i="7"/>
  <c r="O79" i="7"/>
  <c r="N79" i="7"/>
  <c r="M79" i="7"/>
  <c r="L79" i="7"/>
  <c r="P78" i="7"/>
  <c r="O78" i="7"/>
  <c r="N78" i="7"/>
  <c r="M78" i="7"/>
  <c r="L78" i="7"/>
  <c r="P77" i="7"/>
  <c r="O77" i="7"/>
  <c r="N77" i="7"/>
  <c r="M77" i="7"/>
  <c r="L77" i="7"/>
  <c r="P76" i="7"/>
  <c r="O76" i="7"/>
  <c r="N76" i="7"/>
  <c r="M76" i="7"/>
  <c r="L76" i="7"/>
  <c r="P75" i="7"/>
  <c r="O75" i="7"/>
  <c r="N75" i="7"/>
  <c r="M75" i="7"/>
  <c r="L75" i="7"/>
  <c r="P74" i="7"/>
  <c r="O74" i="7"/>
  <c r="N74" i="7"/>
  <c r="M74" i="7"/>
  <c r="L74" i="7"/>
  <c r="P73" i="7"/>
  <c r="O73" i="7"/>
  <c r="N73" i="7"/>
  <c r="M73" i="7"/>
  <c r="L73" i="7"/>
  <c r="P72" i="7"/>
  <c r="O72" i="7"/>
  <c r="N72" i="7"/>
  <c r="M72" i="7"/>
  <c r="L72" i="7"/>
  <c r="P71" i="7"/>
  <c r="O71" i="7"/>
  <c r="N71" i="7"/>
  <c r="M71" i="7"/>
  <c r="L71" i="7"/>
  <c r="P70" i="7"/>
  <c r="O70" i="7"/>
  <c r="N70" i="7"/>
  <c r="M70" i="7"/>
  <c r="L70" i="7"/>
  <c r="P69" i="7"/>
  <c r="O69" i="7"/>
  <c r="N69" i="7"/>
  <c r="M69" i="7"/>
  <c r="L69" i="7"/>
  <c r="P68" i="7"/>
  <c r="O68" i="7"/>
  <c r="N68" i="7"/>
  <c r="M68" i="7"/>
  <c r="L68" i="7"/>
  <c r="P67" i="7"/>
  <c r="N67" i="7"/>
  <c r="M67" i="7"/>
  <c r="L67" i="7"/>
  <c r="P65" i="7"/>
  <c r="O65" i="7"/>
  <c r="N65" i="7"/>
  <c r="M65" i="7"/>
  <c r="L65" i="7"/>
  <c r="P64" i="7"/>
  <c r="O64" i="7"/>
  <c r="N64" i="7"/>
  <c r="M64" i="7"/>
  <c r="L64" i="7"/>
  <c r="P63" i="7"/>
  <c r="O63" i="7"/>
  <c r="N63" i="7"/>
  <c r="M63" i="7"/>
  <c r="L63" i="7"/>
  <c r="P62" i="7"/>
  <c r="O62" i="7"/>
  <c r="N62" i="7"/>
  <c r="M62" i="7"/>
  <c r="L62" i="7"/>
  <c r="P61" i="7"/>
  <c r="O61" i="7"/>
  <c r="N61" i="7"/>
  <c r="M61" i="7"/>
  <c r="L61" i="7"/>
  <c r="P60" i="7"/>
  <c r="O60" i="7"/>
  <c r="N60" i="7"/>
  <c r="M60" i="7"/>
  <c r="L60" i="7"/>
  <c r="P59" i="7"/>
  <c r="O59" i="7"/>
  <c r="N59" i="7"/>
  <c r="M59" i="7"/>
  <c r="L59" i="7"/>
  <c r="P58" i="7"/>
  <c r="O58" i="7"/>
  <c r="N58" i="7"/>
  <c r="M58" i="7"/>
  <c r="L58" i="7"/>
  <c r="P57" i="7"/>
  <c r="O57" i="7"/>
  <c r="N57" i="7"/>
  <c r="M57" i="7"/>
  <c r="L57" i="7"/>
  <c r="P56" i="7"/>
  <c r="O56" i="7"/>
  <c r="N56" i="7"/>
  <c r="M56" i="7"/>
  <c r="L56" i="7"/>
  <c r="H53" i="7"/>
  <c r="P52" i="7"/>
  <c r="O52" i="7"/>
  <c r="N52" i="7"/>
  <c r="M52" i="7"/>
  <c r="L52" i="7"/>
  <c r="P51" i="7"/>
  <c r="O51" i="7"/>
  <c r="N51" i="7"/>
  <c r="M51" i="7"/>
  <c r="L51" i="7"/>
  <c r="P50" i="7"/>
  <c r="O50" i="7"/>
  <c r="N50" i="7"/>
  <c r="L50" i="7"/>
  <c r="P49" i="7"/>
  <c r="O49" i="7"/>
  <c r="N49" i="7"/>
  <c r="M49" i="7"/>
  <c r="L49" i="7"/>
  <c r="P48" i="7"/>
  <c r="O48" i="7"/>
  <c r="N48" i="7"/>
  <c r="M48" i="7"/>
  <c r="L48" i="7"/>
  <c r="P47" i="7"/>
  <c r="O47" i="7"/>
  <c r="N47" i="7"/>
  <c r="M47" i="7"/>
  <c r="L47" i="7"/>
  <c r="P46" i="7"/>
  <c r="O46" i="7"/>
  <c r="N46" i="7"/>
  <c r="M46" i="7"/>
  <c r="L46" i="7"/>
  <c r="P45" i="7"/>
  <c r="O45" i="7"/>
  <c r="N45" i="7"/>
  <c r="M45" i="7"/>
  <c r="L45" i="7"/>
  <c r="P44" i="7"/>
  <c r="O44" i="7"/>
  <c r="N44" i="7"/>
  <c r="M44" i="7"/>
  <c r="L44" i="7"/>
  <c r="P43" i="7"/>
  <c r="O43" i="7"/>
  <c r="N43" i="7"/>
  <c r="M43" i="7"/>
  <c r="L43" i="7"/>
  <c r="P42" i="7"/>
  <c r="O42" i="7"/>
  <c r="N42" i="7"/>
  <c r="M42" i="7"/>
  <c r="L42" i="7"/>
  <c r="P40" i="7"/>
  <c r="O40" i="7"/>
  <c r="N40" i="7"/>
  <c r="M40" i="7"/>
  <c r="L40" i="7"/>
  <c r="P39" i="7"/>
  <c r="O39" i="7"/>
  <c r="N39" i="7"/>
  <c r="M39" i="7"/>
  <c r="L39" i="7"/>
  <c r="P38" i="7"/>
  <c r="O38" i="7"/>
  <c r="N38" i="7"/>
  <c r="M38" i="7"/>
  <c r="L38" i="7"/>
  <c r="P37" i="7"/>
  <c r="O37" i="7"/>
  <c r="N37" i="7"/>
  <c r="M37" i="7"/>
  <c r="L37" i="7"/>
  <c r="P36" i="7"/>
  <c r="O36" i="7"/>
  <c r="N36" i="7"/>
  <c r="M36" i="7"/>
  <c r="L36" i="7"/>
  <c r="P35" i="7"/>
  <c r="O35" i="7"/>
  <c r="N35" i="7"/>
  <c r="M35" i="7"/>
  <c r="L35" i="7"/>
  <c r="S53" i="7"/>
  <c r="P34" i="7"/>
  <c r="O34" i="7"/>
  <c r="N34" i="7"/>
  <c r="M34" i="7"/>
  <c r="L34" i="7"/>
  <c r="P33" i="7"/>
  <c r="O33" i="7"/>
  <c r="N33" i="7"/>
  <c r="M33" i="7"/>
  <c r="L33" i="7"/>
  <c r="P31" i="7"/>
  <c r="O31" i="7"/>
  <c r="N31" i="7"/>
  <c r="M31" i="7"/>
  <c r="L31" i="7"/>
  <c r="P30" i="7"/>
  <c r="O30" i="7"/>
  <c r="N30" i="7"/>
  <c r="M30" i="7"/>
  <c r="L30" i="7"/>
  <c r="P29" i="7"/>
  <c r="O29" i="7"/>
  <c r="N29" i="7"/>
  <c r="M29" i="7"/>
  <c r="L29" i="7"/>
  <c r="P28" i="7"/>
  <c r="O28" i="7"/>
  <c r="N28" i="7"/>
  <c r="M28" i="7"/>
  <c r="L28" i="7"/>
  <c r="P27" i="7"/>
  <c r="O27" i="7"/>
  <c r="N27" i="7"/>
  <c r="M27" i="7"/>
  <c r="L27" i="7"/>
  <c r="P26" i="7"/>
  <c r="O26" i="7"/>
  <c r="N26" i="7"/>
  <c r="M26" i="7"/>
  <c r="L26" i="7"/>
  <c r="P25" i="7"/>
  <c r="O25" i="7"/>
  <c r="N25" i="7"/>
  <c r="M25" i="7"/>
  <c r="L25" i="7"/>
  <c r="P24" i="7"/>
  <c r="O24" i="7"/>
  <c r="N24" i="7"/>
  <c r="M24" i="7"/>
  <c r="L24" i="7"/>
  <c r="S21" i="7"/>
  <c r="J21" i="7"/>
  <c r="H21" i="7"/>
  <c r="P20" i="7"/>
  <c r="O20" i="7"/>
  <c r="N20" i="7"/>
  <c r="M20" i="7"/>
  <c r="L20" i="7"/>
  <c r="P19" i="7"/>
  <c r="O19" i="7"/>
  <c r="N19" i="7"/>
  <c r="M19" i="7"/>
  <c r="L19" i="7"/>
  <c r="P18" i="7"/>
  <c r="O18" i="7"/>
  <c r="N18" i="7"/>
  <c r="M18" i="7"/>
  <c r="L18" i="7"/>
  <c r="P17" i="7"/>
  <c r="O17" i="7"/>
  <c r="N17" i="7"/>
  <c r="M17" i="7"/>
  <c r="L17" i="7"/>
  <c r="P16" i="7"/>
  <c r="O16" i="7"/>
  <c r="N16" i="7"/>
  <c r="M16" i="7"/>
  <c r="L16" i="7"/>
  <c r="P15" i="7"/>
  <c r="O15" i="7"/>
  <c r="N15" i="7"/>
  <c r="M15" i="7"/>
  <c r="L15" i="7"/>
  <c r="P14" i="7"/>
  <c r="O14" i="7"/>
  <c r="N14" i="7"/>
  <c r="M14" i="7"/>
  <c r="L14" i="7"/>
  <c r="P12" i="7"/>
  <c r="O12" i="7"/>
  <c r="N12" i="7"/>
  <c r="M12" i="7"/>
  <c r="L12" i="7"/>
  <c r="P11" i="7"/>
  <c r="O11" i="7"/>
  <c r="N11" i="7"/>
  <c r="M11" i="7"/>
  <c r="L11" i="7"/>
  <c r="P10" i="7"/>
  <c r="O10" i="7"/>
  <c r="N10" i="7"/>
  <c r="M10" i="7"/>
  <c r="L10" i="7"/>
  <c r="P8" i="7"/>
  <c r="O8" i="7"/>
  <c r="N8" i="7"/>
  <c r="M8" i="7"/>
  <c r="L8" i="7"/>
  <c r="P7" i="7"/>
  <c r="O7" i="7"/>
  <c r="N7" i="7"/>
  <c r="M7" i="7"/>
  <c r="L7" i="7"/>
  <c r="P6" i="7"/>
  <c r="O6" i="7"/>
  <c r="N6" i="7"/>
  <c r="M6" i="7"/>
  <c r="L6" i="7"/>
  <c r="P5" i="7"/>
  <c r="O5" i="7"/>
  <c r="N5" i="7"/>
  <c r="M5" i="7"/>
  <c r="L5" i="7"/>
  <c r="B12" i="6"/>
  <c r="B11" i="6"/>
  <c r="B10" i="6"/>
  <c r="B8" i="6"/>
  <c r="B7" i="6"/>
  <c r="B6" i="6"/>
  <c r="B6" i="3"/>
  <c r="B5" i="3"/>
  <c r="B9" i="3"/>
  <c r="B3" i="3"/>
  <c r="B2" i="3"/>
  <c r="C11" i="2"/>
  <c r="C10" i="2"/>
  <c r="C9" i="2"/>
  <c r="C6" i="2"/>
  <c r="C5" i="2"/>
  <c r="I121" i="7" l="1"/>
  <c r="I122" i="7"/>
  <c r="I123" i="7"/>
  <c r="I124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20" i="7"/>
  <c r="K121" i="7"/>
  <c r="K122" i="7"/>
  <c r="K123" i="7"/>
  <c r="K124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20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5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24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56" i="7"/>
  <c r="L167" i="7"/>
  <c r="L150" i="7"/>
  <c r="L144" i="7"/>
  <c r="L117" i="7"/>
  <c r="P101" i="7"/>
  <c r="N101" i="7"/>
  <c r="O101" i="7"/>
  <c r="L101" i="7"/>
  <c r="P102" i="7"/>
  <c r="N102" i="7"/>
  <c r="O102" i="7"/>
  <c r="L102" i="7"/>
  <c r="P103" i="7"/>
  <c r="N103" i="7"/>
  <c r="O103" i="7"/>
  <c r="L103" i="7"/>
  <c r="P104" i="7"/>
  <c r="N104" i="7"/>
  <c r="O104" i="7"/>
  <c r="L104" i="7"/>
  <c r="P105" i="7"/>
  <c r="N105" i="7"/>
  <c r="O105" i="7"/>
  <c r="L105" i="7"/>
  <c r="P106" i="7"/>
  <c r="N106" i="7"/>
  <c r="O106" i="7"/>
  <c r="L106" i="7"/>
  <c r="P107" i="7"/>
  <c r="N107" i="7"/>
  <c r="O107" i="7"/>
  <c r="L107" i="7"/>
  <c r="P109" i="7"/>
  <c r="N109" i="7"/>
  <c r="O109" i="7"/>
  <c r="L109" i="7"/>
  <c r="P90" i="7"/>
  <c r="N90" i="7"/>
  <c r="O90" i="7"/>
  <c r="L90" i="7"/>
  <c r="P94" i="7"/>
  <c r="N94" i="7"/>
  <c r="O94" i="7"/>
  <c r="L94" i="7"/>
  <c r="P95" i="7"/>
  <c r="N95" i="7"/>
  <c r="O95" i="7"/>
  <c r="L95" i="7"/>
  <c r="P96" i="7"/>
  <c r="N96" i="7"/>
  <c r="O96" i="7"/>
  <c r="L96" i="7"/>
  <c r="L85" i="7"/>
  <c r="L53" i="7"/>
  <c r="L21" i="7"/>
  <c r="B13" i="6" l="1"/>
  <c r="S110" i="7"/>
  <c r="B9" i="6" s="1"/>
  <c r="S168" i="7"/>
  <c r="B4" i="3" l="1"/>
  <c r="C12" i="2"/>
  <c r="B7" i="3"/>
  <c r="C7" i="2"/>
  <c r="H110" i="7"/>
  <c r="J110" i="7"/>
  <c r="K102" i="7" l="1"/>
  <c r="K103" i="7"/>
  <c r="K104" i="7"/>
  <c r="K105" i="7"/>
  <c r="K106" i="7"/>
  <c r="K107" i="7"/>
  <c r="K108" i="7"/>
  <c r="K109" i="7"/>
  <c r="K101" i="7"/>
  <c r="K90" i="7"/>
  <c r="K91" i="7"/>
  <c r="K92" i="7"/>
  <c r="K93" i="7"/>
  <c r="K94" i="7"/>
  <c r="K95" i="7"/>
  <c r="K96" i="7"/>
  <c r="K97" i="7"/>
  <c r="K98" i="7"/>
  <c r="K89" i="7"/>
  <c r="B8" i="3"/>
  <c r="C8" i="2"/>
  <c r="L110" i="7"/>
  <c r="J168" i="7"/>
  <c r="H168" i="7"/>
  <c r="I167" i="7" l="1"/>
  <c r="I150" i="7"/>
  <c r="I117" i="7"/>
  <c r="I85" i="7"/>
  <c r="I53" i="7"/>
  <c r="I21" i="7"/>
  <c r="I144" i="7"/>
  <c r="K167" i="7"/>
  <c r="K150" i="7"/>
  <c r="K144" i="7"/>
  <c r="K117" i="7"/>
  <c r="K85" i="7"/>
  <c r="K53" i="7"/>
  <c r="K21" i="7"/>
  <c r="I110" i="7"/>
  <c r="K110" i="7"/>
</calcChain>
</file>

<file path=xl/sharedStrings.xml><?xml version="1.0" encoding="utf-8"?>
<sst xmlns="http://schemas.openxmlformats.org/spreadsheetml/2006/main" count="399" uniqueCount="279">
  <si>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</si>
  <si>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</si>
  <si>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</si>
  <si>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</si>
  <si>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</si>
  <si>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</si>
  <si>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</si>
  <si>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</si>
  <si>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</si>
  <si>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UNIT HOLDERS</t>
  </si>
  <si>
    <t>FUND</t>
  </si>
  <si>
    <t>FUND MANAGER</t>
  </si>
  <si>
    <t>TOTAL INCOME (N)</t>
  </si>
  <si>
    <t>TOTAL EXPENSES (N)</t>
  </si>
  <si>
    <t>% ON TOTAL</t>
  </si>
  <si>
    <t>% CHANGE IN NAV</t>
  </si>
  <si>
    <t>BID PRICE (N)</t>
  </si>
  <si>
    <t>OFFER PRICE (N)</t>
  </si>
  <si>
    <t>NUMBER OF UNIT HOLDERS</t>
  </si>
  <si>
    <t>OPENING NUMBER OF UNITS</t>
  </si>
  <si>
    <t>CLOSING NUMBER OF UNITS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</si>
  <si>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</si>
  <si>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</si>
  <si>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</si>
  <si>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</si>
  <si>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</si>
  <si>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</si>
  <si>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</si>
  <si>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</si>
  <si>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</si>
  <si>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</si>
  <si>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</si>
  <si>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</si>
  <si>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</si>
  <si>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</si>
  <si>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</si>
  <si>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</si>
  <si>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</si>
  <si>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</si>
  <si>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</si>
  <si>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</si>
  <si>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</si>
  <si>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</si>
  <si>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</si>
  <si>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</si>
  <si>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</si>
  <si>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</si>
  <si>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</si>
  <si>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</si>
  <si>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</si>
  <si>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</si>
  <si>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</si>
  <si>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</si>
  <si>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</si>
  <si>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</si>
  <si>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</si>
  <si>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</si>
  <si>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</si>
  <si>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</si>
  <si>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</si>
  <si>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</si>
  <si>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</si>
  <si>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</si>
  <si>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</si>
  <si>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</si>
  <si>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</si>
  <si>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</si>
  <si>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</si>
  <si>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</si>
  <si>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</si>
  <si>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</si>
  <si>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</si>
  <si>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</si>
  <si>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</si>
  <si>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</si>
  <si>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</si>
  <si>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 xml:space="preserve">Greenwich Asst Management Ltd 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</si>
  <si>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</si>
  <si>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</si>
  <si>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</si>
  <si>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</si>
  <si>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</si>
  <si>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</si>
  <si>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</si>
  <si>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</si>
  <si>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</si>
  <si>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</si>
  <si>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</si>
  <si>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</si>
  <si>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</si>
  <si>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</si>
  <si>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</si>
  <si>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</si>
  <si>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</si>
  <si>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</si>
  <si>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</si>
  <si>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</si>
  <si>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</si>
  <si>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</si>
  <si>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</si>
  <si>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</si>
  <si>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</si>
  <si>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</si>
  <si>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</si>
  <si>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</si>
  <si>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</si>
  <si>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</si>
  <si>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</si>
  <si>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</si>
  <si>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</si>
  <si>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</si>
  <si>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</si>
  <si>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</si>
  <si>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</si>
  <si>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</si>
  <si>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</si>
  <si>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</si>
  <si>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</si>
  <si>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</si>
  <si>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</si>
  <si>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</si>
  <si>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</si>
  <si>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</si>
  <si>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</si>
  <si>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</si>
  <si>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</si>
  <si>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</si>
  <si>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</si>
  <si>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</si>
  <si>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</si>
  <si>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</si>
  <si>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</si>
  <si>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</si>
  <si>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</si>
  <si>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</si>
  <si>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</si>
  <si>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</si>
  <si>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</si>
  <si>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</si>
  <si>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</si>
  <si>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</si>
  <si>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</si>
  <si>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</si>
  <si>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</si>
  <si>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</si>
  <si>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</si>
  <si>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</si>
  <si>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</si>
  <si>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</si>
  <si>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</si>
  <si>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</si>
  <si>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</si>
  <si>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</si>
  <si>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</si>
  <si>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</si>
  <si>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</si>
  <si>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</si>
  <si>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</si>
  <si>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</si>
  <si>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</si>
  <si>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</si>
  <si>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</si>
  <si>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</si>
  <si>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</si>
  <si>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FBN Balanced Fund</t>
  </si>
  <si>
    <t>GDL Canary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</si>
  <si>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</si>
  <si>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</si>
  <si>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</si>
  <si>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</si>
  <si>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</si>
  <si>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</si>
  <si>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</si>
  <si>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</si>
  <si>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</si>
  <si>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</si>
  <si>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</si>
  <si>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</si>
  <si>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</si>
  <si>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</si>
  <si>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</si>
  <si>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</si>
  <si>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</si>
  <si>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</si>
  <si>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</si>
  <si>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</si>
  <si>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</si>
  <si>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</si>
  <si>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</si>
  <si>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</si>
  <si>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</si>
  <si>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</si>
  <si>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</si>
  <si>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S/N</t>
  </si>
  <si>
    <t>Note:</t>
  </si>
  <si>
    <t>TOTAL VALUE OF INVESTMENT (N)</t>
  </si>
  <si>
    <t>NET INCOME/LOSS (N)</t>
  </si>
  <si>
    <t xml:space="preserve">NET ASSET VALUE (N) </t>
  </si>
  <si>
    <t>EXPENSE RATIO</t>
  </si>
  <si>
    <t>RETURN ON EQUITY (ROE)</t>
  </si>
  <si>
    <t>NET ASSET PER UNIT</t>
  </si>
  <si>
    <t>EARNINGS PER UNIT (EPU)</t>
  </si>
  <si>
    <t>BOND/FIXED INCOME FUND</t>
  </si>
  <si>
    <t>July 2023</t>
  </si>
  <si>
    <t>466,206,421.27</t>
  </si>
  <si>
    <t>17,414,457.45</t>
  </si>
  <si>
    <t>551,724.17</t>
  </si>
  <si>
    <t>16,862,733.28</t>
  </si>
  <si>
    <t>489,367,874.56</t>
  </si>
  <si>
    <t>4,777.29</t>
  </si>
  <si>
    <t>4,834.42</t>
  </si>
  <si>
    <t>97,510.65</t>
  </si>
  <si>
    <t>101,714.65</t>
  </si>
  <si>
    <t>Chapel Hill Denham Money Market Fund(Frml NGIF)</t>
  </si>
  <si>
    <t>Greenwich Plus Money Market</t>
  </si>
  <si>
    <t>Norrenberger Investment and Capital Management Limited</t>
  </si>
  <si>
    <t>Stanbic IBTC Money Market Fund</t>
  </si>
  <si>
    <t>368,413,696,615.67</t>
  </si>
  <si>
    <t>3,556,346,544.77</t>
  </si>
  <si>
    <t>608,883,307.94</t>
  </si>
  <si>
    <t>2,947,463,236.83</t>
  </si>
  <si>
    <t>364,500,932,984.85</t>
  </si>
  <si>
    <t>367,421,402,243.98</t>
  </si>
  <si>
    <t>1,275,481.38</t>
  </si>
  <si>
    <t>23,686,789,927.06</t>
  </si>
  <si>
    <t>27,337,749.68</t>
  </si>
  <si>
    <t>189,564,650.01</t>
  </si>
  <si>
    <t>23,600,541,207.98</t>
  </si>
  <si>
    <t>4,847.48</t>
  </si>
  <si>
    <t>4,868,617.66</t>
  </si>
  <si>
    <t>41,236,984,902.19</t>
  </si>
  <si>
    <t>312,050,342.61</t>
  </si>
  <si>
    <t>70,836,896.03</t>
  </si>
  <si>
    <t>241,213,446.58</t>
  </si>
  <si>
    <t>41,175,307,422.83</t>
  </si>
  <si>
    <t>253.17</t>
  </si>
  <si>
    <t>171,162,489.93</t>
  </si>
  <si>
    <t>162,636,814.22</t>
  </si>
  <si>
    <t>261,636,183.70</t>
  </si>
  <si>
    <t>5,273,634.44</t>
  </si>
  <si>
    <t>14,917.13</t>
  </si>
  <si>
    <t>5,258,717.31</t>
  </si>
  <si>
    <t>264,984,600.01</t>
  </si>
  <si>
    <t>5,041.83</t>
  </si>
  <si>
    <t>5,067.24</t>
  </si>
  <si>
    <t>56,446.35</t>
  </si>
  <si>
    <t>52,400.57</t>
  </si>
  <si>
    <t>18,937,456,962.92</t>
  </si>
  <si>
    <t>175,039,004.46</t>
  </si>
  <si>
    <t>26,250,984.37</t>
  </si>
  <si>
    <t>154,682,388.74</t>
  </si>
  <si>
    <t>100,012,070.06</t>
  </si>
  <si>
    <t>23,412,624.42</t>
  </si>
  <si>
    <t>76,599,445.64</t>
  </si>
  <si>
    <t>14,016,728,986.69</t>
  </si>
  <si>
    <t>42,171,863.19</t>
  </si>
  <si>
    <t>40,589,474.89</t>
  </si>
  <si>
    <t>MONTHLY UPDATE ON REGISTERED MUTUAL FUNDS AS AT 31ST AUGUST, 2023</t>
  </si>
  <si>
    <t>17,651,795.06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</si>
  <si>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31st August, 2023 = N757.52</t>
    </r>
  </si>
  <si>
    <t>NET ASSET VALUE (N) PREVIOUS - JULY</t>
  </si>
  <si>
    <t>Marble Halal Commodities Fund</t>
  </si>
  <si>
    <t>Marble Capital Limited</t>
  </si>
  <si>
    <t>Greenwich Balanced Fund</t>
  </si>
  <si>
    <t>Guaranty Trust Balanced Fund</t>
  </si>
  <si>
    <t>Guaranty Trust Fund Managers Limited</t>
  </si>
  <si>
    <t>Guaranty Trust Equity Income Fund</t>
  </si>
  <si>
    <t>Guaranty Trust Money Market Fund</t>
  </si>
  <si>
    <t>Cowry Fixed Income Fund</t>
  </si>
  <si>
    <t>Cowry Equity Fund</t>
  </si>
  <si>
    <t>Cowry Balanced Fund</t>
  </si>
  <si>
    <t>Emerging Africa Balanced-Diversity Fund</t>
  </si>
  <si>
    <t>August 2023</t>
  </si>
  <si>
    <t>FBN Bond Fund</t>
  </si>
  <si>
    <t>Norrenberger Dollar Fund</t>
  </si>
  <si>
    <t xml:space="preserve">United Capital Global Fixed Income Fund </t>
  </si>
  <si>
    <t>The chart above shows that the Money Market Fund has the highest share of the Aggregate Net Asset Value (NAV) at 46.03%, followed by Dollar Fund (Eurobonds and Fixed Income) with 30.91%, Bond/Fixed Income Fund at 12.09%, Real Estate Investment Trust at 5.03%.  Next is Balanced Fund at 2.13%, Shari'ah Compliant Fund at 2.44%, Equity Fund at 1.17% and Ethical Fund at 0.21%.</t>
  </si>
  <si>
    <t>CEAT Fixed Income Fund</t>
  </si>
  <si>
    <t>PACAM Eurobond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</si>
</sst>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&quot; &quot;* #,##0.00&quot; &quot;;&quot; &quot;* \(#,##0.00\);&quot; &quot;* &quot;-&quot;??&quot; 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8"/>
      <color indexed="8"/>
      <name val="Century Gothic"/>
      <family val="2"/>
    </font>
    <font>
      <b/>
      <sz val="12"/>
      <color indexed="8"/>
      <name val="Calibri"/>
      <family val="2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b/>
      <sz val="32"/>
      <color indexed="9"/>
      <name val="Segoe UI Black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8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8"/>
      <name val="Century Gothic"/>
      <family val="2"/>
    </font>
    <font>
      <sz val="8"/>
      <color theme="0"/>
      <name val="Times New Roman"/>
      <family val="1"/>
    </font>
    <font>
      <strike/>
      <sz val="8"/>
      <color theme="0"/>
      <name val="Times New Roman"/>
      <family val="1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12"/>
      <color theme="0"/>
      <name val="Arial Narrow"/>
      <family val="2"/>
    </font>
    <font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entury Gothic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7" fillId="0" borderId="0"/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wrapText="1"/>
    </xf>
    <xf numFmtId="0" fontId="9" fillId="2" borderId="0" xfId="0" applyFont="1" applyFill="1"/>
    <xf numFmtId="0" fontId="0" fillId="2" borderId="0" xfId="0" applyFill="1"/>
    <xf numFmtId="164" fontId="0" fillId="2" borderId="0" xfId="1" applyFont="1" applyFill="1" applyBorder="1" applyAlignment="1"/>
    <xf numFmtId="0" fontId="10" fillId="2" borderId="0" xfId="0" applyFont="1" applyFill="1"/>
    <xf numFmtId="167" fontId="11" fillId="2" borderId="0" xfId="0" applyNumberFormat="1" applyFont="1" applyFill="1"/>
    <xf numFmtId="168" fontId="11" fillId="2" borderId="0" xfId="0" applyNumberFormat="1" applyFont="1" applyFill="1"/>
    <xf numFmtId="0" fontId="14" fillId="0" borderId="0" xfId="0" applyFont="1" applyAlignment="1">
      <alignment horizontal="right"/>
    </xf>
    <xf numFmtId="4" fontId="16" fillId="2" borderId="0" xfId="0" applyNumberFormat="1" applyFont="1" applyFill="1"/>
    <xf numFmtId="4" fontId="15" fillId="2" borderId="0" xfId="0" applyNumberFormat="1" applyFont="1" applyFill="1"/>
    <xf numFmtId="0" fontId="23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horizontal="left"/>
    </xf>
    <xf numFmtId="43" fontId="4" fillId="0" borderId="0" xfId="6" applyFont="1"/>
    <xf numFmtId="4" fontId="26" fillId="2" borderId="2" xfId="0" applyNumberFormat="1" applyFont="1" applyFill="1" applyBorder="1"/>
    <xf numFmtId="4" fontId="26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/>
    <xf numFmtId="0" fontId="27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8" fillId="0" borderId="0" xfId="0" applyFont="1" applyAlignment="1">
      <alignment horizontal="right"/>
    </xf>
    <xf numFmtId="164" fontId="4" fillId="0" borderId="0" xfId="1" applyFont="1" applyBorder="1"/>
    <xf numFmtId="4" fontId="27" fillId="2" borderId="0" xfId="0" applyNumberFormat="1" applyFont="1" applyFill="1"/>
    <xf numFmtId="167" fontId="18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4" fontId="26" fillId="2" borderId="0" xfId="0" applyNumberFormat="1" applyFont="1" applyFill="1"/>
    <xf numFmtId="43" fontId="0" fillId="2" borderId="0" xfId="6" applyFont="1" applyFill="1" applyAlignment="1">
      <alignment horizontal="right"/>
    </xf>
    <xf numFmtId="164" fontId="27" fillId="2" borderId="0" xfId="1" applyFont="1" applyFill="1" applyBorder="1" applyAlignment="1">
      <alignment horizontal="right" vertical="top" wrapText="1"/>
    </xf>
    <xf numFmtId="164" fontId="26" fillId="2" borderId="0" xfId="1" applyFont="1" applyFill="1" applyBorder="1" applyAlignment="1">
      <alignment horizontal="right" vertical="top" wrapText="1"/>
    </xf>
    <xf numFmtId="164" fontId="26" fillId="2" borderId="2" xfId="1" applyFont="1" applyFill="1" applyBorder="1" applyAlignment="1">
      <alignment horizontal="right" vertical="top" wrapText="1"/>
    </xf>
    <xf numFmtId="0" fontId="34" fillId="0" borderId="0" xfId="0" applyFont="1" applyAlignment="1">
      <alignment horizontal="right"/>
    </xf>
    <xf numFmtId="16" fontId="34" fillId="2" borderId="0" xfId="0" quotePrefix="1" applyNumberFormat="1" applyFont="1" applyFill="1" applyAlignment="1">
      <alignment horizontal="right" wrapText="1"/>
    </xf>
    <xf numFmtId="0" fontId="34" fillId="0" borderId="0" xfId="0" applyFont="1" applyAlignment="1">
      <alignment horizontal="right" wrapText="1"/>
    </xf>
    <xf numFmtId="43" fontId="3" fillId="0" borderId="0" xfId="6" applyFont="1" applyBorder="1"/>
    <xf numFmtId="43" fontId="35" fillId="0" borderId="0" xfId="6" applyFont="1" applyBorder="1"/>
    <xf numFmtId="0" fontId="36" fillId="0" borderId="2" xfId="0" applyFont="1" applyBorder="1" applyAlignment="1">
      <alignment horizontal="right"/>
    </xf>
    <xf numFmtId="16" fontId="36" fillId="2" borderId="2" xfId="0" quotePrefix="1" applyNumberFormat="1" applyFont="1" applyFill="1" applyBorder="1" applyAlignment="1">
      <alignment horizontal="right"/>
    </xf>
    <xf numFmtId="164" fontId="37" fillId="2" borderId="2" xfId="1" applyFont="1" applyFill="1" applyBorder="1" applyAlignment="1">
      <alignment horizontal="right" vertical="top" wrapText="1"/>
    </xf>
    <xf numFmtId="164" fontId="37" fillId="2" borderId="2" xfId="1" applyFont="1" applyFill="1" applyBorder="1"/>
    <xf numFmtId="4" fontId="37" fillId="2" borderId="2" xfId="0" applyNumberFormat="1" applyFont="1" applyFill="1" applyBorder="1"/>
    <xf numFmtId="4" fontId="37" fillId="2" borderId="2" xfId="0" applyNumberFormat="1" applyFont="1" applyFill="1" applyBorder="1" applyAlignment="1">
      <alignment horizontal="right"/>
    </xf>
    <xf numFmtId="167" fontId="38" fillId="2" borderId="2" xfId="0" applyNumberFormat="1" applyFont="1" applyFill="1" applyBorder="1"/>
    <xf numFmtId="164" fontId="15" fillId="2" borderId="3" xfId="1" applyFont="1" applyFill="1" applyBorder="1"/>
    <xf numFmtId="49" fontId="12" fillId="4" borderId="4" xfId="0" applyNumberFormat="1" applyFont="1" applyFill="1" applyBorder="1" applyAlignment="1">
      <alignment horizontal="center" vertical="top" wrapText="1"/>
    </xf>
    <xf numFmtId="164" fontId="12" fillId="4" borderId="4" xfId="1" applyFont="1" applyFill="1" applyBorder="1" applyAlignment="1">
      <alignment horizontal="center" vertical="top" wrapText="1"/>
    </xf>
    <xf numFmtId="166" fontId="18" fillId="2" borderId="4" xfId="0" applyNumberFormat="1" applyFont="1" applyFill="1" applyBorder="1" applyAlignment="1">
      <alignment horizontal="center" wrapText="1"/>
    </xf>
    <xf numFmtId="49" fontId="18" fillId="2" borderId="4" xfId="0" applyNumberFormat="1" applyFont="1" applyFill="1" applyBorder="1" applyAlignment="1">
      <alignment wrapText="1"/>
    </xf>
    <xf numFmtId="164" fontId="19" fillId="2" borderId="4" xfId="1" applyFont="1" applyFill="1" applyBorder="1"/>
    <xf numFmtId="164" fontId="19" fillId="2" borderId="4" xfId="1" applyFont="1" applyFill="1" applyBorder="1" applyAlignment="1"/>
    <xf numFmtId="164" fontId="19" fillId="2" borderId="4" xfId="1" applyFont="1" applyFill="1" applyBorder="1" applyAlignment="1">
      <alignment horizontal="left"/>
    </xf>
    <xf numFmtId="10" fontId="19" fillId="2" borderId="4" xfId="0" applyNumberFormat="1" applyFont="1" applyFill="1" applyBorder="1" applyAlignment="1">
      <alignment horizontal="center"/>
    </xf>
    <xf numFmtId="10" fontId="22" fillId="7" borderId="4" xfId="0" applyNumberFormat="1" applyFont="1" applyFill="1" applyBorder="1" applyAlignment="1">
      <alignment horizontal="center" vertical="center"/>
    </xf>
    <xf numFmtId="10" fontId="19" fillId="7" borderId="4" xfId="0" applyNumberFormat="1" applyFont="1" applyFill="1" applyBorder="1" applyAlignment="1">
      <alignment horizontal="center" vertical="center"/>
    </xf>
    <xf numFmtId="167" fontId="19" fillId="7" borderId="4" xfId="0" applyNumberFormat="1" applyFont="1" applyFill="1" applyBorder="1" applyAlignment="1">
      <alignment horizontal="right" vertical="center"/>
    </xf>
    <xf numFmtId="49" fontId="18" fillId="2" borderId="4" xfId="0" applyNumberFormat="1" applyFont="1" applyFill="1" applyBorder="1"/>
    <xf numFmtId="164" fontId="32" fillId="2" borderId="4" xfId="1" applyFont="1" applyFill="1" applyBorder="1"/>
    <xf numFmtId="164" fontId="19" fillId="2" borderId="4" xfId="1" applyFont="1" applyFill="1" applyBorder="1" applyAlignment="1">
      <alignment horizontal="right"/>
    </xf>
    <xf numFmtId="49" fontId="18" fillId="2" borderId="4" xfId="0" applyNumberFormat="1" applyFont="1" applyFill="1" applyBorder="1" applyAlignment="1">
      <alignment vertical="center" wrapText="1"/>
    </xf>
    <xf numFmtId="164" fontId="19" fillId="2" borderId="4" xfId="1" applyFont="1" applyFill="1" applyBorder="1" applyAlignment="1">
      <alignment vertical="center"/>
    </xf>
    <xf numFmtId="4" fontId="18" fillId="2" borderId="4" xfId="0" applyNumberFormat="1" applyFont="1" applyFill="1" applyBorder="1" applyAlignment="1">
      <alignment wrapText="1"/>
    </xf>
    <xf numFmtId="0" fontId="18" fillId="2" borderId="4" xfId="0" applyFont="1" applyFill="1" applyBorder="1" applyAlignment="1">
      <alignment wrapText="1"/>
    </xf>
    <xf numFmtId="164" fontId="18" fillId="2" borderId="4" xfId="1" applyFont="1" applyFill="1" applyBorder="1"/>
    <xf numFmtId="49" fontId="31" fillId="2" borderId="4" xfId="0" applyNumberFormat="1" applyFont="1" applyFill="1" applyBorder="1" applyAlignment="1">
      <alignment wrapText="1"/>
    </xf>
    <xf numFmtId="164" fontId="18" fillId="2" borderId="4" xfId="1" applyFont="1" applyFill="1" applyBorder="1" applyAlignment="1">
      <alignment horizontal="right"/>
    </xf>
    <xf numFmtId="49" fontId="31" fillId="2" borderId="4" xfId="0" applyNumberFormat="1" applyFont="1" applyFill="1" applyBorder="1"/>
    <xf numFmtId="164" fontId="32" fillId="2" borderId="4" xfId="1" applyFont="1" applyFill="1" applyBorder="1" applyAlignment="1">
      <alignment vertical="center"/>
    </xf>
    <xf numFmtId="164" fontId="8" fillId="2" borderId="4" xfId="1" applyFont="1" applyFill="1" applyBorder="1" applyAlignment="1">
      <alignment horizontal="left"/>
    </xf>
    <xf numFmtId="10" fontId="22" fillId="2" borderId="4" xfId="0" applyNumberFormat="1" applyFont="1" applyFill="1" applyBorder="1" applyAlignment="1">
      <alignment horizontal="center"/>
    </xf>
    <xf numFmtId="10" fontId="8" fillId="2" borderId="4" xfId="0" applyNumberFormat="1" applyFont="1" applyFill="1" applyBorder="1" applyAlignment="1">
      <alignment horizontal="center"/>
    </xf>
    <xf numFmtId="10" fontId="21" fillId="7" borderId="4" xfId="0" applyNumberFormat="1" applyFont="1" applyFill="1" applyBorder="1" applyAlignment="1">
      <alignment horizontal="center" vertical="center"/>
    </xf>
    <xf numFmtId="10" fontId="8" fillId="7" borderId="4" xfId="0" applyNumberFormat="1" applyFont="1" applyFill="1" applyBorder="1" applyAlignment="1">
      <alignment horizontal="center" vertical="center"/>
    </xf>
    <xf numFmtId="167" fontId="8" fillId="7" borderId="4" xfId="0" applyNumberFormat="1" applyFont="1" applyFill="1" applyBorder="1" applyAlignment="1">
      <alignment horizontal="right" vertical="center"/>
    </xf>
    <xf numFmtId="164" fontId="8" fillId="2" borderId="4" xfId="1" applyFont="1" applyFill="1" applyBorder="1"/>
    <xf numFmtId="167" fontId="19" fillId="2" borderId="4" xfId="0" applyNumberFormat="1" applyFont="1" applyFill="1" applyBorder="1"/>
    <xf numFmtId="4" fontId="19" fillId="2" borderId="4" xfId="0" applyNumberFormat="1" applyFont="1" applyFill="1" applyBorder="1"/>
    <xf numFmtId="43" fontId="19" fillId="2" borderId="4" xfId="6" applyFont="1" applyFill="1" applyBorder="1"/>
    <xf numFmtId="167" fontId="19" fillId="2" borderId="4" xfId="0" applyNumberFormat="1" applyFont="1" applyFill="1" applyBorder="1" applyAlignment="1">
      <alignment horizontal="right"/>
    </xf>
    <xf numFmtId="10" fontId="18" fillId="7" borderId="4" xfId="0" applyNumberFormat="1" applyFont="1" applyFill="1" applyBorder="1" applyAlignment="1">
      <alignment horizontal="center" vertical="center"/>
    </xf>
    <xf numFmtId="167" fontId="18" fillId="7" borderId="4" xfId="0" applyNumberFormat="1" applyFont="1" applyFill="1" applyBorder="1" applyAlignment="1">
      <alignment horizontal="center" vertical="center"/>
    </xf>
    <xf numFmtId="4" fontId="32" fillId="2" borderId="4" xfId="0" applyNumberFormat="1" applyFont="1" applyFill="1" applyBorder="1"/>
    <xf numFmtId="4" fontId="32" fillId="2" borderId="4" xfId="0" applyNumberFormat="1" applyFont="1" applyFill="1" applyBorder="1" applyAlignment="1">
      <alignment vertical="center"/>
    </xf>
    <xf numFmtId="3" fontId="32" fillId="2" borderId="4" xfId="0" applyNumberFormat="1" applyFont="1" applyFill="1" applyBorder="1"/>
    <xf numFmtId="3" fontId="32" fillId="2" borderId="4" xfId="0" applyNumberFormat="1" applyFont="1" applyFill="1" applyBorder="1" applyAlignment="1">
      <alignment vertical="center"/>
    </xf>
    <xf numFmtId="43" fontId="32" fillId="2" borderId="4" xfId="6" applyFont="1" applyFill="1" applyBorder="1" applyAlignment="1">
      <alignment vertical="center"/>
    </xf>
    <xf numFmtId="49" fontId="18" fillId="2" borderId="4" xfId="0" applyNumberFormat="1" applyFont="1" applyFill="1" applyBorder="1" applyAlignment="1">
      <alignment vertical="top" wrapText="1"/>
    </xf>
    <xf numFmtId="167" fontId="8" fillId="2" borderId="4" xfId="0" applyNumberFormat="1" applyFont="1" applyFill="1" applyBorder="1"/>
    <xf numFmtId="164" fontId="32" fillId="2" borderId="4" xfId="1" applyFont="1" applyFill="1" applyBorder="1" applyAlignment="1">
      <alignment horizontal="right"/>
    </xf>
    <xf numFmtId="10" fontId="22" fillId="7" borderId="4" xfId="0" applyNumberFormat="1" applyFont="1" applyFill="1" applyBorder="1" applyAlignment="1">
      <alignment horizontal="right" vertical="center"/>
    </xf>
    <xf numFmtId="10" fontId="8" fillId="7" borderId="4" xfId="0" applyNumberFormat="1" applyFont="1" applyFill="1" applyBorder="1" applyAlignment="1">
      <alignment horizontal="right" vertical="center"/>
    </xf>
    <xf numFmtId="166" fontId="18" fillId="2" borderId="4" xfId="0" applyNumberFormat="1" applyFont="1" applyFill="1" applyBorder="1" applyAlignment="1">
      <alignment horizontal="right" wrapText="1"/>
    </xf>
    <xf numFmtId="4" fontId="31" fillId="2" borderId="4" xfId="0" applyNumberFormat="1" applyFont="1" applyFill="1" applyBorder="1"/>
    <xf numFmtId="164" fontId="18" fillId="2" borderId="4" xfId="1" applyFont="1" applyFill="1" applyBorder="1" applyAlignment="1"/>
    <xf numFmtId="167" fontId="19" fillId="2" borderId="4" xfId="0" applyNumberFormat="1" applyFont="1" applyFill="1" applyBorder="1" applyAlignment="1">
      <alignment horizontal="left"/>
    </xf>
    <xf numFmtId="4" fontId="31" fillId="2" borderId="4" xfId="0" applyNumberFormat="1" applyFont="1" applyFill="1" applyBorder="1" applyAlignment="1">
      <alignment wrapText="1"/>
    </xf>
    <xf numFmtId="0" fontId="31" fillId="2" borderId="4" xfId="0" applyFont="1" applyFill="1" applyBorder="1" applyAlignment="1">
      <alignment wrapText="1"/>
    </xf>
    <xf numFmtId="4" fontId="33" fillId="2" borderId="4" xfId="0" applyNumberFormat="1" applyFont="1" applyFill="1" applyBorder="1"/>
    <xf numFmtId="43" fontId="19" fillId="2" borderId="4" xfId="0" applyNumberFormat="1" applyFont="1" applyFill="1" applyBorder="1"/>
    <xf numFmtId="10" fontId="18" fillId="2" borderId="4" xfId="0" applyNumberFormat="1" applyFont="1" applyFill="1" applyBorder="1" applyAlignment="1">
      <alignment horizontal="center"/>
    </xf>
    <xf numFmtId="4" fontId="32" fillId="2" borderId="4" xfId="0" applyNumberFormat="1" applyFont="1" applyFill="1" applyBorder="1" applyAlignment="1">
      <alignment horizontal="right"/>
    </xf>
    <xf numFmtId="164" fontId="8" fillId="2" borderId="4" xfId="1" applyFont="1" applyFill="1" applyBorder="1" applyAlignment="1"/>
    <xf numFmtId="49" fontId="19" fillId="2" borderId="4" xfId="0" applyNumberFormat="1" applyFont="1" applyFill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3" fontId="31" fillId="2" borderId="4" xfId="0" applyNumberFormat="1" applyFont="1" applyFill="1" applyBorder="1"/>
    <xf numFmtId="3" fontId="19" fillId="2" borderId="4" xfId="0" applyNumberFormat="1" applyFont="1" applyFill="1" applyBorder="1"/>
    <xf numFmtId="164" fontId="31" fillId="2" borderId="4" xfId="1" applyFont="1" applyFill="1" applyBorder="1"/>
    <xf numFmtId="0" fontId="18" fillId="2" borderId="4" xfId="0" applyFont="1" applyFill="1" applyBorder="1"/>
    <xf numFmtId="49" fontId="31" fillId="2" borderId="4" xfId="0" applyNumberFormat="1" applyFont="1" applyFill="1" applyBorder="1" applyAlignment="1">
      <alignment vertical="top" wrapText="1"/>
    </xf>
    <xf numFmtId="164" fontId="8" fillId="2" borderId="4" xfId="1" applyFont="1" applyFill="1" applyBorder="1" applyAlignment="1">
      <alignment wrapText="1"/>
    </xf>
    <xf numFmtId="167" fontId="19" fillId="2" borderId="4" xfId="0" applyNumberFormat="1" applyFont="1" applyFill="1" applyBorder="1" applyAlignment="1">
      <alignment horizontal="left" wrapText="1"/>
    </xf>
    <xf numFmtId="167" fontId="18" fillId="7" borderId="4" xfId="0" applyNumberFormat="1" applyFont="1" applyFill="1" applyBorder="1" applyAlignment="1">
      <alignment horizontal="right" vertical="center"/>
    </xf>
    <xf numFmtId="167" fontId="22" fillId="7" borderId="4" xfId="0" applyNumberFormat="1" applyFont="1" applyFill="1" applyBorder="1" applyAlignment="1">
      <alignment horizontal="right" vertical="center"/>
    </xf>
    <xf numFmtId="164" fontId="13" fillId="2" borderId="4" xfId="1" applyFont="1" applyFill="1" applyBorder="1"/>
    <xf numFmtId="10" fontId="13" fillId="2" borderId="4" xfId="0" applyNumberFormat="1" applyFont="1" applyFill="1" applyBorder="1"/>
    <xf numFmtId="10" fontId="8" fillId="2" borderId="4" xfId="0" applyNumberFormat="1" applyFont="1" applyFill="1" applyBorder="1"/>
    <xf numFmtId="16" fontId="14" fillId="2" borderId="0" xfId="0" applyNumberFormat="1" applyFont="1" applyFill="1"/>
    <xf numFmtId="164" fontId="15" fillId="2" borderId="0" xfId="1" applyFont="1" applyFill="1" applyBorder="1"/>
    <xf numFmtId="0" fontId="34" fillId="0" borderId="1" xfId="0" applyFont="1" applyBorder="1" applyAlignment="1">
      <alignment horizontal="right"/>
    </xf>
    <xf numFmtId="0" fontId="39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165" fontId="3" fillId="0" borderId="0" xfId="6" applyNumberFormat="1" applyFont="1"/>
    <xf numFmtId="49" fontId="22" fillId="2" borderId="4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66" fontId="20" fillId="2" borderId="4" xfId="0" applyNumberFormat="1" applyFont="1" applyFill="1" applyBorder="1" applyAlignment="1">
      <alignment horizontal="center" wrapText="1"/>
    </xf>
    <xf numFmtId="49" fontId="29" fillId="2" borderId="4" xfId="0" applyNumberFormat="1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center" wrapText="1"/>
    </xf>
    <xf numFmtId="166" fontId="21" fillId="2" borderId="4" xfId="0" applyNumberFormat="1" applyFont="1" applyFill="1" applyBorder="1" applyAlignment="1">
      <alignment horizontal="center" wrapText="1"/>
    </xf>
    <xf numFmtId="167" fontId="30" fillId="2" borderId="4" xfId="0" applyNumberFormat="1" applyFont="1" applyFill="1" applyBorder="1" applyAlignment="1">
      <alignment horizontal="center" wrapText="1"/>
    </xf>
    <xf numFmtId="166" fontId="18" fillId="2" borderId="4" xfId="0" applyNumberFormat="1" applyFont="1" applyFill="1" applyBorder="1" applyAlignment="1">
      <alignment horizontal="center" wrapText="1"/>
    </xf>
    <xf numFmtId="49" fontId="17" fillId="6" borderId="4" xfId="0" applyNumberFormat="1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top" wrapText="1"/>
    </xf>
    <xf numFmtId="49" fontId="13" fillId="2" borderId="4" xfId="0" applyNumberFormat="1" applyFont="1" applyFill="1" applyBorder="1" applyAlignment="1">
      <alignment horizontal="center" vertical="top" wrapText="1"/>
    </xf>
    <xf numFmtId="49" fontId="21" fillId="2" borderId="4" xfId="0" applyNumberFormat="1" applyFont="1" applyFill="1" applyBorder="1" applyAlignment="1">
      <alignment horizontal="center" wrapText="1"/>
    </xf>
    <xf numFmtId="166" fontId="22" fillId="2" borderId="4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wrapText="1"/>
    </xf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6E835889-8A32-48B2-8C41-226AFE52856D}"/>
    <cellStyle name="Normal 27 2" xfId="5" xr:uid="{00000000-0005-0000-0000-000005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July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21.703801741949999</c:v>
                </c:pt>
                <c:pt idx="1">
                  <c:v>849.05272954500992</c:v>
                </c:pt>
                <c:pt idx="2">
                  <c:v>304.16288626912996</c:v>
                </c:pt>
                <c:pt idx="3">
                  <c:v>559.46903968236791</c:v>
                </c:pt>
                <c:pt idx="4">
                  <c:v>93.087466919259995</c:v>
                </c:pt>
                <c:pt idx="5">
                  <c:v>38.647229545230005</c:v>
                </c:pt>
                <c:pt idx="6">
                  <c:v>3.7484993003899998</c:v>
                </c:pt>
                <c:pt idx="7">
                  <c:v>44.207333886330005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August 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21.743603431120004</c:v>
                </c:pt>
                <c:pt idx="1">
                  <c:v>851.85517891960512</c:v>
                </c:pt>
                <c:pt idx="2">
                  <c:v>223.79031756769999</c:v>
                </c:pt>
                <c:pt idx="3">
                  <c:v>572.0062060636285</c:v>
                </c:pt>
                <c:pt idx="4">
                  <c:v>93.090595814179991</c:v>
                </c:pt>
                <c:pt idx="5">
                  <c:v>39.333970363309994</c:v>
                </c:pt>
                <c:pt idx="6">
                  <c:v>3.8838263025500002</c:v>
                </c:pt>
                <c:pt idx="7">
                  <c:v>45.094809998369996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278"/>
          <c:y val="9.337714848108929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August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3883826302.5500002</c:v>
                </c:pt>
                <c:pt idx="1">
                  <c:v>21743603431.120003</c:v>
                </c:pt>
                <c:pt idx="2" formatCode="#,##0.00">
                  <c:v>45094809998.369995</c:v>
                </c:pt>
                <c:pt idx="3" formatCode="#,##0.00">
                  <c:v>39333970363.309998</c:v>
                </c:pt>
                <c:pt idx="4" formatCode="#,##0.00">
                  <c:v>93090595814.179993</c:v>
                </c:pt>
                <c:pt idx="5" formatCode="#,##0.00">
                  <c:v>223790317567.69998</c:v>
                </c:pt>
                <c:pt idx="6" formatCode="#,##0.00">
                  <c:v>572006206063.62854</c:v>
                </c:pt>
                <c:pt idx="7" formatCode="&quot; &quot;* #,##0.00&quot; &quot;;&quot;-&quot;* #,##0.00&quot; &quot;;&quot; &quot;* &quot;-&quot;??&quot; &quot;">
                  <c:v>851855178919.6051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/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40993</c:v>
                </c:pt>
                <c:pt idx="1">
                  <c:v>279806</c:v>
                </c:pt>
                <c:pt idx="2">
                  <c:v>43418</c:v>
                </c:pt>
                <c:pt idx="3">
                  <c:v>11540</c:v>
                </c:pt>
                <c:pt idx="4">
                  <c:v>37511</c:v>
                </c:pt>
                <c:pt idx="5">
                  <c:v>48517</c:v>
                </c:pt>
                <c:pt idx="6">
                  <c:v>11600</c:v>
                </c:pt>
                <c:pt idx="7">
                  <c:v>26072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6-4A8D-BA1E-5052EB45CB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CLASSES OF FUNDS</a:t>
                </a:r>
              </a:p>
            </c:rich>
          </c:tx>
          <c:layout>
            <c:manualLayout>
              <c:xMode val="edge"/>
              <c:yMode val="edge"/>
              <c:x val="0.4515677475748256"/>
              <c:y val="0.92280423385363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272415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947CFF-A8A0-93E9-35CE-6704322BB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9361-D689-40A0-9638-323CAB7B0054}">
  <dimension ref="A1:U172"/>
  <sheetViews>
    <sheetView tabSelected="1" zoomScaleNormal="100" workbookViewId="0">
      <pane ySplit="2" topLeftCell="A3" activePane="bottomLeft" state="frozen"/>
      <selection activeCell="M3" sqref="M3"/>
      <selection pane="bottomLeft" activeCell="A3" sqref="A3:U3"/>
    </sheetView>
  </sheetViews>
  <sheetFormatPr defaultRowHeight="15"/>
  <cols>
    <col min="1" max="1" width="6.7109375" customWidth="1"/>
    <col min="2" max="2" width="53.7109375" customWidth="1"/>
    <col min="3" max="3" width="50.5703125" customWidth="1"/>
    <col min="4" max="4" width="21.5703125" customWidth="1"/>
    <col min="5" max="5" width="19.28515625" customWidth="1"/>
    <col min="6" max="6" width="19.7109375" customWidth="1"/>
    <col min="7" max="7" width="20" customWidth="1"/>
    <col min="8" max="8" width="22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28515625" customWidth="1"/>
    <col min="16" max="16" width="12.7109375" customWidth="1"/>
    <col min="17" max="18" width="14.42578125" customWidth="1"/>
    <col min="19" max="19" width="13.7109375" customWidth="1"/>
    <col min="20" max="21" width="20.140625" customWidth="1"/>
  </cols>
  <sheetData>
    <row r="1" spans="1:21" ht="40.5" customHeight="1">
      <c r="A1" s="130" t="s">
        <v>257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48" customHeight="1">
      <c r="A2" s="45" t="s">
        <v>193</v>
      </c>
      <c r="B2" s="45" t="s">
        <v>10</v>
      </c>
      <c r="C2" s="45" t="s">
        <v>11</v>
      </c>
      <c r="D2" s="45" t="s">
        <v>195</v>
      </c>
      <c r="E2" s="45" t="s">
        <v>12</v>
      </c>
      <c r="F2" s="45" t="s">
        <v>13</v>
      </c>
      <c r="G2" s="46" t="s">
        <v>196</v>
      </c>
      <c r="H2" s="45" t="s">
        <v>260</v>
      </c>
      <c r="I2" s="45" t="s">
        <v>14</v>
      </c>
      <c r="J2" s="45" t="s">
        <v>197</v>
      </c>
      <c r="K2" s="45" t="s">
        <v>14</v>
      </c>
      <c r="L2" s="45" t="s">
        <v>15</v>
      </c>
      <c r="M2" s="45" t="s">
        <v>198</v>
      </c>
      <c r="N2" s="45" t="s">
        <v>199</v>
      </c>
      <c r="O2" s="45" t="s">
        <v>200</v>
      </c>
      <c r="P2" s="45" t="s">
        <v>201</v>
      </c>
      <c r="Q2" s="45" t="s">
        <v>16</v>
      </c>
      <c r="R2" s="45" t="s">
        <v>17</v>
      </c>
      <c r="S2" s="45" t="s">
        <v>18</v>
      </c>
      <c r="T2" s="45" t="s">
        <v>19</v>
      </c>
      <c r="U2" s="45" t="s">
        <v>20</v>
      </c>
    </row>
    <row r="3" spans="1:21" ht="6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1" ht="17.25" customHeight="1">
      <c r="A4" s="133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1" ht="15" customHeight="1">
      <c r="A5" s="47">
        <v>1</v>
      </c>
      <c r="B5" s="48" t="s">
        <v>21</v>
      </c>
      <c r="C5" s="48" t="s">
        <v>22</v>
      </c>
      <c r="D5" s="49">
        <v>648592603.70000005</v>
      </c>
      <c r="E5" s="49">
        <v>2634376</v>
      </c>
      <c r="F5" s="49">
        <v>1242282.3400000001</v>
      </c>
      <c r="G5" s="50">
        <v>1392093.66</v>
      </c>
      <c r="H5" s="51">
        <v>612438987.30999994</v>
      </c>
      <c r="I5" s="52">
        <f>(H5/$H$21)</f>
        <v>2.821805113185552E-2</v>
      </c>
      <c r="J5" s="51">
        <v>645809213.99000001</v>
      </c>
      <c r="K5" s="52">
        <f>(J5/$J$21)</f>
        <v>2.9701112607016245E-2</v>
      </c>
      <c r="L5" s="52">
        <f>((J5-H5)/H5)</f>
        <v>5.448743037501786E-2</v>
      </c>
      <c r="M5" s="53">
        <f t="shared" ref="M5:M20" si="0">(F5/J5)</f>
        <v>1.9236057849419846E-3</v>
      </c>
      <c r="N5" s="54">
        <f t="shared" ref="N5:N20" si="1">G5/J5</f>
        <v>2.1555803631218488E-3</v>
      </c>
      <c r="O5" s="55">
        <f t="shared" ref="O5:O20" si="2">J5/U5</f>
        <v>266.66116261462872</v>
      </c>
      <c r="P5" s="55">
        <f t="shared" ref="P5:P20" si="3">G5/U5</f>
        <v>0.57480956573933573</v>
      </c>
      <c r="Q5" s="49">
        <v>266.66120000000001</v>
      </c>
      <c r="R5" s="49">
        <v>269.27010000000001</v>
      </c>
      <c r="S5" s="49">
        <v>1724</v>
      </c>
      <c r="T5" s="49">
        <v>2416944.1348999999</v>
      </c>
      <c r="U5" s="49">
        <v>2421834.5395999998</v>
      </c>
    </row>
    <row r="6" spans="1:21" ht="15.75">
      <c r="A6" s="47">
        <v>2</v>
      </c>
      <c r="B6" s="48" t="s">
        <v>23</v>
      </c>
      <c r="C6" s="48" t="s">
        <v>24</v>
      </c>
      <c r="D6" s="49">
        <v>505815005.16000003</v>
      </c>
      <c r="E6" s="49">
        <v>6658417.3399999999</v>
      </c>
      <c r="F6" s="49">
        <v>5832604.0199999996</v>
      </c>
      <c r="G6" s="50">
        <v>825813.32</v>
      </c>
      <c r="H6" s="51">
        <v>572980522.08000004</v>
      </c>
      <c r="I6" s="52">
        <f t="shared" ref="I6:I20" si="4">(H6/$H$21)</f>
        <v>2.6400007191943697E-2</v>
      </c>
      <c r="J6" s="51">
        <v>504805520.36000001</v>
      </c>
      <c r="K6" s="52">
        <f t="shared" ref="K6:K20" si="5">(J6/$J$21)</f>
        <v>2.3216277005747327E-2</v>
      </c>
      <c r="L6" s="52">
        <f t="shared" ref="L6:L21" si="6">((J6-H6)/H6)</f>
        <v>-0.11898310517173458</v>
      </c>
      <c r="M6" s="53">
        <f t="shared" si="0"/>
        <v>1.1554160532635423E-2</v>
      </c>
      <c r="N6" s="54">
        <f t="shared" si="1"/>
        <v>1.6359039009935441E-3</v>
      </c>
      <c r="O6" s="55">
        <f t="shared" si="2"/>
        <v>185.94204325771304</v>
      </c>
      <c r="P6" s="55">
        <f t="shared" si="3"/>
        <v>0.30418331392400311</v>
      </c>
      <c r="Q6" s="49">
        <v>186.15</v>
      </c>
      <c r="R6" s="49">
        <v>188.51</v>
      </c>
      <c r="S6" s="49">
        <v>275</v>
      </c>
      <c r="T6" s="49">
        <v>2771852.18</v>
      </c>
      <c r="U6" s="49">
        <v>2714854.11</v>
      </c>
    </row>
    <row r="7" spans="1:21" ht="15.75">
      <c r="A7" s="47">
        <v>3</v>
      </c>
      <c r="B7" s="48" t="s">
        <v>25</v>
      </c>
      <c r="C7" s="56" t="s">
        <v>26</v>
      </c>
      <c r="D7" s="49">
        <v>2286976820.6700001</v>
      </c>
      <c r="E7" s="49">
        <v>129714958.91</v>
      </c>
      <c r="F7" s="49">
        <v>22486794.75</v>
      </c>
      <c r="G7" s="49">
        <v>58124941.200000003</v>
      </c>
      <c r="H7" s="57">
        <v>3188274843</v>
      </c>
      <c r="I7" s="52">
        <f t="shared" si="4"/>
        <v>0.14689937186615429</v>
      </c>
      <c r="J7" s="58">
        <v>3246581995</v>
      </c>
      <c r="K7" s="52">
        <f t="shared" si="5"/>
        <v>0.14931204964644493</v>
      </c>
      <c r="L7" s="52">
        <f t="shared" si="6"/>
        <v>1.8287994251190723E-2</v>
      </c>
      <c r="M7" s="53">
        <f t="shared" si="0"/>
        <v>6.9262981143342417E-3</v>
      </c>
      <c r="N7" s="54">
        <f t="shared" si="1"/>
        <v>1.7903426215483586E-2</v>
      </c>
      <c r="O7" s="55">
        <f t="shared" si="2"/>
        <v>29.292051374713928</v>
      </c>
      <c r="P7" s="55">
        <f t="shared" si="3"/>
        <v>0.52442808048734535</v>
      </c>
      <c r="Q7" s="49">
        <v>29.145600000000002</v>
      </c>
      <c r="R7" s="49">
        <v>30.02</v>
      </c>
      <c r="S7" s="49">
        <v>792</v>
      </c>
      <c r="T7" s="49">
        <v>110983865</v>
      </c>
      <c r="U7" s="49">
        <v>110834914</v>
      </c>
    </row>
    <row r="8" spans="1:21" ht="15.75">
      <c r="A8" s="47">
        <v>4</v>
      </c>
      <c r="B8" s="59" t="s">
        <v>27</v>
      </c>
      <c r="C8" s="59" t="s">
        <v>28</v>
      </c>
      <c r="D8" s="49">
        <v>328460264.77999997</v>
      </c>
      <c r="E8" s="49">
        <v>837157.84</v>
      </c>
      <c r="F8" s="49">
        <v>793974.72</v>
      </c>
      <c r="G8" s="50">
        <v>1241470.8999999999</v>
      </c>
      <c r="H8" s="57">
        <v>330614158.27999997</v>
      </c>
      <c r="I8" s="52">
        <f t="shared" si="4"/>
        <v>1.5233006742822176E-2</v>
      </c>
      <c r="J8" s="51">
        <v>402919713.13</v>
      </c>
      <c r="K8" s="52">
        <f t="shared" si="5"/>
        <v>1.8530494009715563E-2</v>
      </c>
      <c r="L8" s="52">
        <f t="shared" si="6"/>
        <v>0.21870072118558162</v>
      </c>
      <c r="M8" s="53">
        <f t="shared" si="0"/>
        <v>1.9705531750535822E-3</v>
      </c>
      <c r="N8" s="54">
        <f t="shared" si="1"/>
        <v>3.0811867961383307E-3</v>
      </c>
      <c r="O8" s="55">
        <f t="shared" si="2"/>
        <v>178.99427205482812</v>
      </c>
      <c r="P8" s="55">
        <f t="shared" si="3"/>
        <v>0.55151478763972861</v>
      </c>
      <c r="Q8" s="49">
        <v>178.99</v>
      </c>
      <c r="R8" s="60">
        <v>178.99</v>
      </c>
      <c r="S8" s="49">
        <v>1152</v>
      </c>
      <c r="T8" s="49">
        <v>2150099.27</v>
      </c>
      <c r="U8" s="49">
        <v>2251020.15</v>
      </c>
    </row>
    <row r="9" spans="1:21" ht="15.75">
      <c r="A9" s="47">
        <v>5</v>
      </c>
      <c r="B9" s="61" t="s">
        <v>269</v>
      </c>
      <c r="C9" s="62" t="s">
        <v>46</v>
      </c>
      <c r="D9" s="63">
        <f>28299819.2+7711710.12+4955617.84</f>
        <v>40967147.159999996</v>
      </c>
      <c r="E9" s="63">
        <v>396153.52</v>
      </c>
      <c r="F9" s="63">
        <v>108686.09</v>
      </c>
      <c r="G9" s="63">
        <v>287467.43</v>
      </c>
      <c r="H9" s="49">
        <v>68703077.920000002</v>
      </c>
      <c r="I9" s="52">
        <f t="shared" si="4"/>
        <v>3.1654858783200126E-3</v>
      </c>
      <c r="J9" s="49">
        <v>72486183.370000005</v>
      </c>
      <c r="K9" s="52">
        <f t="shared" si="5"/>
        <v>3.3336785045599169E-3</v>
      </c>
      <c r="L9" s="52">
        <f t="shared" ref="L9" si="7">((J9-H9)/H9)</f>
        <v>5.506457009692009E-2</v>
      </c>
      <c r="M9" s="53">
        <f t="shared" ref="M9" si="8">(F9/J9)</f>
        <v>1.4994042305306713E-3</v>
      </c>
      <c r="N9" s="54">
        <f t="shared" ref="N9" si="9">G9/J9</f>
        <v>3.965823783722274E-3</v>
      </c>
      <c r="O9" s="55">
        <f t="shared" ref="O9" si="10">J9/U9</f>
        <v>128.50731097775795</v>
      </c>
      <c r="P9" s="55">
        <f t="shared" ref="P9" si="11">G9/U9</f>
        <v>0.509637350257787</v>
      </c>
      <c r="Q9" s="63">
        <v>128.3871</v>
      </c>
      <c r="R9" s="63">
        <v>128.79849999999999</v>
      </c>
      <c r="S9" s="63">
        <v>45</v>
      </c>
      <c r="T9" s="63">
        <v>537465.71</v>
      </c>
      <c r="U9" s="63">
        <v>564062.71999999997</v>
      </c>
    </row>
    <row r="10" spans="1:21" ht="15.75">
      <c r="A10" s="47">
        <v>6</v>
      </c>
      <c r="B10" s="64" t="s">
        <v>29</v>
      </c>
      <c r="C10" s="64" t="s">
        <v>30</v>
      </c>
      <c r="D10" s="49">
        <v>618647276.27999997</v>
      </c>
      <c r="E10" s="49">
        <v>1702206.72</v>
      </c>
      <c r="F10" s="49">
        <v>2644210.96</v>
      </c>
      <c r="G10" s="50">
        <v>21171610.469999999</v>
      </c>
      <c r="H10" s="57">
        <v>568738627.87</v>
      </c>
      <c r="I10" s="52">
        <f t="shared" si="4"/>
        <v>2.6204562437129101E-2</v>
      </c>
      <c r="J10" s="51">
        <v>618647276.27999997</v>
      </c>
      <c r="K10" s="52">
        <f t="shared" si="5"/>
        <v>2.8451920503414631E-2</v>
      </c>
      <c r="L10" s="52">
        <f t="shared" si="6"/>
        <v>8.775322435353887E-2</v>
      </c>
      <c r="M10" s="53">
        <f t="shared" si="0"/>
        <v>4.2741818502781692E-3</v>
      </c>
      <c r="N10" s="54">
        <f t="shared" si="1"/>
        <v>3.4222425737178416E-2</v>
      </c>
      <c r="O10" s="55">
        <f t="shared" si="2"/>
        <v>243.27199034426351</v>
      </c>
      <c r="P10" s="55">
        <f t="shared" si="3"/>
        <v>8.3253576234921436</v>
      </c>
      <c r="Q10" s="49">
        <v>243.27</v>
      </c>
      <c r="R10" s="49">
        <v>246.4</v>
      </c>
      <c r="S10" s="49">
        <v>1529</v>
      </c>
      <c r="T10" s="49">
        <v>2443038.44</v>
      </c>
      <c r="U10" s="49">
        <v>2543027.15</v>
      </c>
    </row>
    <row r="11" spans="1:21" ht="15.75">
      <c r="A11" s="47">
        <v>7</v>
      </c>
      <c r="B11" s="48" t="s">
        <v>31</v>
      </c>
      <c r="C11" s="56" t="s">
        <v>32</v>
      </c>
      <c r="D11" s="49">
        <v>327299321.23000002</v>
      </c>
      <c r="E11" s="49">
        <v>4325740.79</v>
      </c>
      <c r="F11" s="49">
        <v>1104280.6399999999</v>
      </c>
      <c r="G11" s="50">
        <v>3221460.15</v>
      </c>
      <c r="H11" s="51">
        <v>313905828.29000002</v>
      </c>
      <c r="I11" s="52">
        <f t="shared" si="4"/>
        <v>1.4463172490341633E-2</v>
      </c>
      <c r="J11" s="51">
        <v>314174390.39999998</v>
      </c>
      <c r="K11" s="52">
        <f t="shared" si="5"/>
        <v>1.4449048953419814E-2</v>
      </c>
      <c r="L11" s="52">
        <f t="shared" si="6"/>
        <v>8.5554993184722009E-4</v>
      </c>
      <c r="M11" s="53">
        <f t="shared" si="0"/>
        <v>3.5148652269017021E-3</v>
      </c>
      <c r="N11" s="54">
        <f t="shared" si="1"/>
        <v>1.0253732476089178E-2</v>
      </c>
      <c r="O11" s="55">
        <f t="shared" si="2"/>
        <v>158.03246639775818</v>
      </c>
      <c r="P11" s="55">
        <f t="shared" si="3"/>
        <v>1.6204226329791649</v>
      </c>
      <c r="Q11" s="49">
        <v>158.03</v>
      </c>
      <c r="R11" s="49">
        <v>162.36000000000001</v>
      </c>
      <c r="S11" s="49">
        <v>2470</v>
      </c>
      <c r="T11" s="49">
        <v>1988037</v>
      </c>
      <c r="U11" s="49">
        <v>1988037</v>
      </c>
    </row>
    <row r="12" spans="1:21" ht="15.75">
      <c r="A12" s="47">
        <v>8</v>
      </c>
      <c r="B12" s="48" t="s">
        <v>33</v>
      </c>
      <c r="C12" s="48" t="s">
        <v>34</v>
      </c>
      <c r="D12" s="49">
        <v>36212570.420000002</v>
      </c>
      <c r="E12" s="49">
        <v>70662.95</v>
      </c>
      <c r="F12" s="49">
        <v>42546.86</v>
      </c>
      <c r="G12" s="50">
        <v>28116.09</v>
      </c>
      <c r="H12" s="51">
        <v>38465210.340000004</v>
      </c>
      <c r="I12" s="52">
        <f t="shared" si="4"/>
        <v>1.7722798428283129E-3</v>
      </c>
      <c r="J12" s="51">
        <v>33049333.91</v>
      </c>
      <c r="K12" s="52">
        <f t="shared" si="5"/>
        <v>1.5199566168825056E-3</v>
      </c>
      <c r="L12" s="52">
        <f t="shared" si="6"/>
        <v>-0.14079934522983822</v>
      </c>
      <c r="M12" s="53">
        <f t="shared" si="0"/>
        <v>1.287374205963233E-3</v>
      </c>
      <c r="N12" s="54">
        <f t="shared" si="1"/>
        <v>8.5073091265820309E-4</v>
      </c>
      <c r="O12" s="55">
        <f t="shared" si="2"/>
        <v>130.62977830039526</v>
      </c>
      <c r="P12" s="55">
        <f t="shared" si="3"/>
        <v>0.111130790513834</v>
      </c>
      <c r="Q12" s="49">
        <v>128.06</v>
      </c>
      <c r="R12" s="49">
        <v>132.82</v>
      </c>
      <c r="S12" s="49">
        <v>2</v>
      </c>
      <c r="T12" s="49">
        <v>253000</v>
      </c>
      <c r="U12" s="49">
        <v>253000</v>
      </c>
    </row>
    <row r="13" spans="1:21" ht="15.75">
      <c r="A13" s="47">
        <v>9</v>
      </c>
      <c r="B13" s="48" t="s">
        <v>266</v>
      </c>
      <c r="C13" s="56" t="s">
        <v>265</v>
      </c>
      <c r="D13" s="65">
        <v>497752262.99000001</v>
      </c>
      <c r="E13" s="49">
        <v>2160773.13</v>
      </c>
      <c r="F13" s="49">
        <v>1107031.75</v>
      </c>
      <c r="G13" s="50">
        <v>-7527351.3799999999</v>
      </c>
      <c r="H13" s="57">
        <v>454825046.12</v>
      </c>
      <c r="I13" s="52">
        <f t="shared" si="4"/>
        <v>2.0956008146761473E-2</v>
      </c>
      <c r="J13" s="51">
        <v>504097381.72000003</v>
      </c>
      <c r="K13" s="52">
        <f t="shared" si="5"/>
        <v>2.3183709329361799E-2</v>
      </c>
      <c r="L13" s="52">
        <f t="shared" ref="L13" si="12">((J13-H13)/H13)</f>
        <v>0.10833250283890505</v>
      </c>
      <c r="M13" s="53">
        <f t="shared" ref="M13" si="13">(F13/J13)</f>
        <v>2.1960672484010219E-3</v>
      </c>
      <c r="N13" s="54">
        <f t="shared" ref="N13" si="14">G13/J13</f>
        <v>-1.4932335800508191E-2</v>
      </c>
      <c r="O13" s="55">
        <f t="shared" ref="O13" si="15">J13/U13</f>
        <v>1.6620648104209499</v>
      </c>
      <c r="P13" s="55">
        <f t="shared" ref="P13" si="16">G13/U13</f>
        <v>-2.481850987141361E-2</v>
      </c>
      <c r="Q13" s="49">
        <v>1.64</v>
      </c>
      <c r="R13" s="49">
        <v>1.68</v>
      </c>
      <c r="S13" s="49">
        <v>296</v>
      </c>
      <c r="T13" s="49">
        <v>277895381.54000002</v>
      </c>
      <c r="U13" s="49">
        <v>303295863.41000003</v>
      </c>
    </row>
    <row r="14" spans="1:21" ht="15.75">
      <c r="A14" s="47">
        <v>10</v>
      </c>
      <c r="B14" s="64" t="s">
        <v>35</v>
      </c>
      <c r="C14" s="66" t="s">
        <v>36</v>
      </c>
      <c r="D14" s="49">
        <v>1296540562.9400001</v>
      </c>
      <c r="E14" s="50">
        <v>5861102.1100000003</v>
      </c>
      <c r="F14" s="49">
        <v>2064510.42</v>
      </c>
      <c r="G14" s="50">
        <v>3796591.69</v>
      </c>
      <c r="H14" s="51">
        <v>1286421159.6300001</v>
      </c>
      <c r="I14" s="52">
        <f t="shared" si="4"/>
        <v>5.9271696955448712E-2</v>
      </c>
      <c r="J14" s="51">
        <v>1291091914.71</v>
      </c>
      <c r="K14" s="52">
        <f t="shared" si="5"/>
        <v>5.9378010585961857E-2</v>
      </c>
      <c r="L14" s="52">
        <f t="shared" si="6"/>
        <v>3.6308133188226819E-3</v>
      </c>
      <c r="M14" s="53">
        <f t="shared" si="0"/>
        <v>1.5990421723489161E-3</v>
      </c>
      <c r="N14" s="54">
        <f t="shared" si="1"/>
        <v>2.9406052712000566E-3</v>
      </c>
      <c r="O14" s="55">
        <f t="shared" si="2"/>
        <v>2.6278672999955401</v>
      </c>
      <c r="P14" s="55">
        <f t="shared" si="3"/>
        <v>7.7275204343811455E-3</v>
      </c>
      <c r="Q14" s="49">
        <v>2.6</v>
      </c>
      <c r="R14" s="49">
        <v>2.65</v>
      </c>
      <c r="S14" s="49">
        <v>3674</v>
      </c>
      <c r="T14" s="49">
        <v>491580915</v>
      </c>
      <c r="U14" s="49">
        <v>491307881</v>
      </c>
    </row>
    <row r="15" spans="1:21" ht="15.75">
      <c r="A15" s="47">
        <v>11</v>
      </c>
      <c r="B15" s="48" t="s">
        <v>37</v>
      </c>
      <c r="C15" s="48" t="s">
        <v>38</v>
      </c>
      <c r="D15" s="49">
        <v>403515495.32999998</v>
      </c>
      <c r="E15" s="49">
        <v>1444059.82</v>
      </c>
      <c r="F15" s="49">
        <v>723383.09</v>
      </c>
      <c r="G15" s="50">
        <v>12046407.4</v>
      </c>
      <c r="H15" s="51">
        <v>402447575.19</v>
      </c>
      <c r="I15" s="52">
        <f t="shared" si="4"/>
        <v>1.8542722605695981E-2</v>
      </c>
      <c r="J15" s="51">
        <v>414917746.88</v>
      </c>
      <c r="K15" s="52">
        <f t="shared" si="5"/>
        <v>1.9082290025863841E-2</v>
      </c>
      <c r="L15" s="52">
        <f t="shared" si="6"/>
        <v>3.098582886010107E-2</v>
      </c>
      <c r="M15" s="53">
        <f t="shared" si="0"/>
        <v>1.7434373329160405E-3</v>
      </c>
      <c r="N15" s="54">
        <f t="shared" si="1"/>
        <v>2.9033242107824299E-2</v>
      </c>
      <c r="O15" s="55">
        <f t="shared" si="2"/>
        <v>16.206246781660642</v>
      </c>
      <c r="P15" s="55">
        <f t="shared" si="3"/>
        <v>0.47051988647110177</v>
      </c>
      <c r="Q15" s="49">
        <v>16.22</v>
      </c>
      <c r="R15" s="49">
        <v>16.3</v>
      </c>
      <c r="S15" s="49">
        <v>231</v>
      </c>
      <c r="T15" s="49">
        <v>25642485.800000001</v>
      </c>
      <c r="U15" s="49">
        <v>25602334.239999998</v>
      </c>
    </row>
    <row r="16" spans="1:21" ht="15.75">
      <c r="A16" s="47">
        <v>12</v>
      </c>
      <c r="B16" s="59" t="s">
        <v>39</v>
      </c>
      <c r="C16" s="59" t="s">
        <v>40</v>
      </c>
      <c r="D16" s="49">
        <v>354790252.00999999</v>
      </c>
      <c r="E16" s="49">
        <v>1622526.97</v>
      </c>
      <c r="F16" s="49">
        <v>516331.41</v>
      </c>
      <c r="G16" s="50">
        <v>1106195.56</v>
      </c>
      <c r="H16" s="51">
        <v>349207224.16000003</v>
      </c>
      <c r="I16" s="52">
        <f t="shared" si="4"/>
        <v>1.6089679969985997E-2</v>
      </c>
      <c r="J16" s="51">
        <v>356048099.72000003</v>
      </c>
      <c r="K16" s="52">
        <f t="shared" si="5"/>
        <v>1.6374843334863939E-2</v>
      </c>
      <c r="L16" s="52">
        <f t="shared" si="6"/>
        <v>1.9589730929694755E-2</v>
      </c>
      <c r="M16" s="53">
        <f t="shared" si="0"/>
        <v>1.4501731940320659E-3</v>
      </c>
      <c r="N16" s="54">
        <f t="shared" si="1"/>
        <v>3.1068711246315423E-3</v>
      </c>
      <c r="O16" s="55">
        <f t="shared" si="2"/>
        <v>1.9755405179280663</v>
      </c>
      <c r="P16" s="55">
        <f t="shared" si="3"/>
        <v>6.1377497906903514E-3</v>
      </c>
      <c r="Q16" s="49">
        <v>1.94</v>
      </c>
      <c r="R16" s="49">
        <v>1.98</v>
      </c>
      <c r="S16" s="49">
        <v>17</v>
      </c>
      <c r="T16" s="49">
        <v>180324165</v>
      </c>
      <c r="U16" s="49">
        <v>180228194</v>
      </c>
    </row>
    <row r="17" spans="1:21" ht="15.75">
      <c r="A17" s="47">
        <v>13</v>
      </c>
      <c r="B17" s="48" t="s">
        <v>41</v>
      </c>
      <c r="C17" s="48" t="s">
        <v>42</v>
      </c>
      <c r="D17" s="49">
        <v>1004878883.22</v>
      </c>
      <c r="E17" s="49">
        <v>3630908.39</v>
      </c>
      <c r="F17" s="49">
        <v>1871453.17</v>
      </c>
      <c r="G17" s="50">
        <v>1759455.22</v>
      </c>
      <c r="H17" s="51">
        <v>989652341.72000003</v>
      </c>
      <c r="I17" s="52">
        <f t="shared" si="4"/>
        <v>4.5598110113914257E-2</v>
      </c>
      <c r="J17" s="51">
        <v>1000419378.03</v>
      </c>
      <c r="K17" s="52">
        <f t="shared" si="5"/>
        <v>4.6009824507660682E-2</v>
      </c>
      <c r="L17" s="52">
        <f t="shared" si="6"/>
        <v>1.0879614846651103E-2</v>
      </c>
      <c r="M17" s="53">
        <f t="shared" si="0"/>
        <v>1.8706686526656622E-3</v>
      </c>
      <c r="N17" s="54">
        <f t="shared" si="1"/>
        <v>1.7587176524555869E-3</v>
      </c>
      <c r="O17" s="55">
        <f t="shared" si="2"/>
        <v>24.417586236187475</v>
      </c>
      <c r="P17" s="55">
        <f t="shared" si="3"/>
        <v>4.2943639943939488E-2</v>
      </c>
      <c r="Q17" s="49">
        <v>24.11</v>
      </c>
      <c r="R17" s="49">
        <v>24.6</v>
      </c>
      <c r="S17" s="49">
        <v>8863</v>
      </c>
      <c r="T17" s="49">
        <v>40749140</v>
      </c>
      <c r="U17" s="49">
        <v>40971264.25</v>
      </c>
    </row>
    <row r="18" spans="1:21" ht="15.75">
      <c r="A18" s="47">
        <v>14</v>
      </c>
      <c r="B18" s="56" t="s">
        <v>43</v>
      </c>
      <c r="C18" s="48" t="s">
        <v>44</v>
      </c>
      <c r="D18" s="65" t="s">
        <v>204</v>
      </c>
      <c r="E18" s="65" t="s">
        <v>205</v>
      </c>
      <c r="F18" s="65" t="s">
        <v>206</v>
      </c>
      <c r="G18" s="65" t="s">
        <v>207</v>
      </c>
      <c r="H18" s="57">
        <v>452496052.47000003</v>
      </c>
      <c r="I18" s="52">
        <f t="shared" si="4"/>
        <v>2.0848700050341739E-2</v>
      </c>
      <c r="J18" s="58" t="s">
        <v>208</v>
      </c>
      <c r="K18" s="52">
        <f t="shared" si="5"/>
        <v>2.2506291384049259E-2</v>
      </c>
      <c r="L18" s="52">
        <f t="shared" si="6"/>
        <v>8.1485400565885671E-2</v>
      </c>
      <c r="M18" s="53">
        <f t="shared" si="0"/>
        <v>1.1274221269552396E-3</v>
      </c>
      <c r="N18" s="54">
        <f t="shared" si="1"/>
        <v>3.4458194247347369E-2</v>
      </c>
      <c r="O18" s="55">
        <f t="shared" si="2"/>
        <v>4811.1837828670705</v>
      </c>
      <c r="P18" s="55">
        <f t="shared" si="3"/>
        <v>165.78470534972104</v>
      </c>
      <c r="Q18" s="65" t="s">
        <v>209</v>
      </c>
      <c r="R18" s="65" t="s">
        <v>210</v>
      </c>
      <c r="S18" s="63">
        <v>20</v>
      </c>
      <c r="T18" s="65" t="s">
        <v>211</v>
      </c>
      <c r="U18" s="65" t="s">
        <v>212</v>
      </c>
    </row>
    <row r="19" spans="1:21" ht="15.75">
      <c r="A19" s="47">
        <v>15</v>
      </c>
      <c r="B19" s="48" t="s">
        <v>45</v>
      </c>
      <c r="C19" s="48" t="s">
        <v>44</v>
      </c>
      <c r="D19" s="63">
        <v>9808011580.6700001</v>
      </c>
      <c r="E19" s="63">
        <v>50364798.060000002</v>
      </c>
      <c r="F19" s="63">
        <v>26822236.57</v>
      </c>
      <c r="G19" s="63">
        <v>370500864.95999998</v>
      </c>
      <c r="H19" s="57">
        <v>9446639140.5699997</v>
      </c>
      <c r="I19" s="52">
        <f t="shared" si="4"/>
        <v>0.43525273833989869</v>
      </c>
      <c r="J19" s="49">
        <v>9796414324.6200008</v>
      </c>
      <c r="K19" s="52">
        <f t="shared" si="5"/>
        <v>0.45054235631427686</v>
      </c>
      <c r="L19" s="52">
        <f t="shared" si="6"/>
        <v>3.7026415304448279E-2</v>
      </c>
      <c r="M19" s="53">
        <f t="shared" si="0"/>
        <v>2.7379646961839198E-3</v>
      </c>
      <c r="N19" s="54">
        <f t="shared" si="1"/>
        <v>3.7820048507837233E-2</v>
      </c>
      <c r="O19" s="55">
        <f t="shared" si="2"/>
        <v>16878.674931572412</v>
      </c>
      <c r="P19" s="55">
        <f t="shared" si="3"/>
        <v>638.352304660085</v>
      </c>
      <c r="Q19" s="63">
        <v>16761.66</v>
      </c>
      <c r="R19" s="63">
        <v>16958.87</v>
      </c>
      <c r="S19" s="63">
        <v>17079</v>
      </c>
      <c r="T19" s="63">
        <v>582059.29</v>
      </c>
      <c r="U19" s="63">
        <v>580401.86</v>
      </c>
    </row>
    <row r="20" spans="1:21" ht="15.75">
      <c r="A20" s="47">
        <v>16</v>
      </c>
      <c r="B20" s="48" t="s">
        <v>47</v>
      </c>
      <c r="C20" s="48" t="s">
        <v>48</v>
      </c>
      <c r="D20" s="57">
        <v>2104138938</v>
      </c>
      <c r="E20" s="57">
        <v>52828298</v>
      </c>
      <c r="F20" s="57">
        <v>4389162</v>
      </c>
      <c r="G20" s="63">
        <v>81593869</v>
      </c>
      <c r="H20" s="57">
        <v>2627991947</v>
      </c>
      <c r="I20" s="52">
        <f t="shared" si="4"/>
        <v>0.12108440623655853</v>
      </c>
      <c r="J20" s="57">
        <v>2542140959</v>
      </c>
      <c r="K20" s="52">
        <f t="shared" si="5"/>
        <v>0.11691442805481003</v>
      </c>
      <c r="L20" s="52">
        <f t="shared" si="6"/>
        <v>-3.2667903757469162E-2</v>
      </c>
      <c r="M20" s="53">
        <f t="shared" si="0"/>
        <v>1.7265612217375079E-3</v>
      </c>
      <c r="N20" s="54">
        <f t="shared" si="1"/>
        <v>3.2096516407216266E-2</v>
      </c>
      <c r="O20" s="55">
        <f t="shared" si="2"/>
        <v>1.2565190887842113</v>
      </c>
      <c r="P20" s="55">
        <f t="shared" si="3"/>
        <v>4.0329885549142873E-2</v>
      </c>
      <c r="Q20" s="49">
        <v>1.26</v>
      </c>
      <c r="R20" s="49">
        <v>1.27</v>
      </c>
      <c r="S20" s="49">
        <v>2824</v>
      </c>
      <c r="T20" s="67">
        <v>2011008327</v>
      </c>
      <c r="U20" s="67">
        <v>2023161432</v>
      </c>
    </row>
    <row r="21" spans="1:21" ht="15.75" customHeight="1">
      <c r="A21" s="122" t="s">
        <v>49</v>
      </c>
      <c r="B21" s="122"/>
      <c r="C21" s="122"/>
      <c r="D21" s="122"/>
      <c r="E21" s="122"/>
      <c r="F21" s="122"/>
      <c r="G21" s="122"/>
      <c r="H21" s="68">
        <f>SUM(H5:H20)</f>
        <v>21703801741.949997</v>
      </c>
      <c r="I21" s="69">
        <f>(H21/$H$168)</f>
        <v>1.1339031403932892E-2</v>
      </c>
      <c r="J21" s="68">
        <f>SUM(J5:J20)</f>
        <v>21743603431.120003</v>
      </c>
      <c r="K21" s="69">
        <f>(J21/$J$168)</f>
        <v>1.1748228308875624E-2</v>
      </c>
      <c r="L21" s="70">
        <f t="shared" si="6"/>
        <v>1.8338579407991672E-3</v>
      </c>
      <c r="M21" s="71"/>
      <c r="N21" s="72"/>
      <c r="O21" s="73"/>
      <c r="P21" s="73"/>
      <c r="Q21" s="74"/>
      <c r="R21" s="74"/>
      <c r="S21" s="74">
        <f>SUM(S5:S20)</f>
        <v>40993</v>
      </c>
      <c r="T21" s="74"/>
      <c r="U21" s="74"/>
    </row>
    <row r="22" spans="1:21" ht="6.75" customHeight="1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</row>
    <row r="23" spans="1:21" ht="14.25" customHeight="1">
      <c r="A23" s="125" t="s">
        <v>1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</row>
    <row r="24" spans="1:21" ht="15" customHeight="1">
      <c r="A24" s="47">
        <v>17</v>
      </c>
      <c r="B24" s="48" t="s">
        <v>50</v>
      </c>
      <c r="C24" s="48" t="s">
        <v>22</v>
      </c>
      <c r="D24" s="75">
        <v>775731529.67999995</v>
      </c>
      <c r="E24" s="75">
        <v>6346423.6399999997</v>
      </c>
      <c r="F24" s="75">
        <v>1722371.11</v>
      </c>
      <c r="G24" s="50">
        <v>4624052.53</v>
      </c>
      <c r="H24" s="49">
        <v>823748286.11000001</v>
      </c>
      <c r="I24" s="52">
        <f>(H24/$H$53)</f>
        <v>9.701968528520366E-4</v>
      </c>
      <c r="J24" s="75">
        <v>767871149.19000006</v>
      </c>
      <c r="K24" s="52">
        <f>(J24/$J$53)</f>
        <v>9.0141043711664611E-4</v>
      </c>
      <c r="L24" s="52">
        <f t="shared" ref="L24:L53" si="17">((J24-H24)/H24)</f>
        <v>-6.7832780792624739E-2</v>
      </c>
      <c r="M24" s="53">
        <f t="shared" ref="M24:M52" si="18">(F24/J24)</f>
        <v>2.243047042224295E-3</v>
      </c>
      <c r="N24" s="54">
        <f t="shared" ref="N24:N52" si="19">G24/J24</f>
        <v>6.0219120550078602E-3</v>
      </c>
      <c r="O24" s="55">
        <f t="shared" ref="O24:O52" si="20">J24/U24</f>
        <v>101.53238463826986</v>
      </c>
      <c r="P24" s="55">
        <f t="shared" ref="P24:P52" si="21">G24/U24</f>
        <v>0.61141909102689207</v>
      </c>
      <c r="Q24" s="49">
        <v>100</v>
      </c>
      <c r="R24" s="49">
        <v>100</v>
      </c>
      <c r="S24" s="49">
        <v>721</v>
      </c>
      <c r="T24" s="50">
        <v>7981220</v>
      </c>
      <c r="U24" s="49">
        <v>7562820</v>
      </c>
    </row>
    <row r="25" spans="1:21" ht="15.75">
      <c r="A25" s="47">
        <v>18</v>
      </c>
      <c r="B25" s="48" t="s">
        <v>51</v>
      </c>
      <c r="C25" s="48" t="s">
        <v>52</v>
      </c>
      <c r="D25" s="75">
        <v>3417791883.5999999</v>
      </c>
      <c r="E25" s="75">
        <v>42513359.759999998</v>
      </c>
      <c r="F25" s="75">
        <v>5995158.21</v>
      </c>
      <c r="G25" s="50">
        <v>36518201.549999997</v>
      </c>
      <c r="H25" s="49">
        <v>3408955912.1300001</v>
      </c>
      <c r="I25" s="52">
        <f t="shared" ref="I25:I52" si="22">(H25/$H$53)</f>
        <v>4.0150108391463395E-3</v>
      </c>
      <c r="J25" s="75">
        <v>3558053301.3499999</v>
      </c>
      <c r="K25" s="52">
        <f t="shared" ref="K25:K52" si="23">(J25/$J$53)</f>
        <v>4.1768288664543012E-3</v>
      </c>
      <c r="L25" s="52">
        <f t="shared" si="17"/>
        <v>4.3736966116068088E-2</v>
      </c>
      <c r="M25" s="53">
        <f t="shared" si="18"/>
        <v>1.6849545811259521E-3</v>
      </c>
      <c r="N25" s="54">
        <f t="shared" si="19"/>
        <v>1.0263534145523966E-2</v>
      </c>
      <c r="O25" s="55">
        <f t="shared" si="20"/>
        <v>102.22862785645924</v>
      </c>
      <c r="P25" s="55">
        <f t="shared" si="21"/>
        <v>1.049227012654832</v>
      </c>
      <c r="Q25" s="49">
        <v>100</v>
      </c>
      <c r="R25" s="49">
        <v>100</v>
      </c>
      <c r="S25" s="49">
        <v>1118</v>
      </c>
      <c r="T25" s="49">
        <v>33680118.32</v>
      </c>
      <c r="U25" s="49">
        <v>34804862.159999996</v>
      </c>
    </row>
    <row r="26" spans="1:21" ht="15.75">
      <c r="A26" s="47">
        <v>19</v>
      </c>
      <c r="B26" s="48" t="s">
        <v>53</v>
      </c>
      <c r="C26" s="48" t="s">
        <v>24</v>
      </c>
      <c r="D26" s="75">
        <v>386043371.74000001</v>
      </c>
      <c r="E26" s="75">
        <v>3320893.07</v>
      </c>
      <c r="F26" s="75">
        <v>621157.97</v>
      </c>
      <c r="G26" s="50">
        <v>2699735.1</v>
      </c>
      <c r="H26" s="49">
        <v>425246235.29000002</v>
      </c>
      <c r="I26" s="52">
        <f t="shared" si="22"/>
        <v>5.0084785136711224E-4</v>
      </c>
      <c r="J26" s="75">
        <v>394583535.06</v>
      </c>
      <c r="K26" s="52">
        <f t="shared" si="23"/>
        <v>4.632049494145757E-4</v>
      </c>
      <c r="L26" s="52">
        <f t="shared" si="17"/>
        <v>-7.2105753526752206E-2</v>
      </c>
      <c r="M26" s="53">
        <f t="shared" si="18"/>
        <v>1.5742115795722375E-3</v>
      </c>
      <c r="N26" s="54">
        <f t="shared" si="19"/>
        <v>6.8419861958747994E-3</v>
      </c>
      <c r="O26" s="55">
        <f t="shared" si="20"/>
        <v>102.51792958039006</v>
      </c>
      <c r="P26" s="55">
        <f t="shared" si="21"/>
        <v>0.7014262590186936</v>
      </c>
      <c r="Q26" s="49">
        <v>100</v>
      </c>
      <c r="R26" s="49">
        <v>100</v>
      </c>
      <c r="S26" s="49">
        <v>900</v>
      </c>
      <c r="T26" s="49">
        <v>4186834.49</v>
      </c>
      <c r="U26" s="49">
        <v>3848922.2</v>
      </c>
    </row>
    <row r="27" spans="1:21" ht="15.75">
      <c r="A27" s="47">
        <v>20</v>
      </c>
      <c r="B27" s="48" t="s">
        <v>54</v>
      </c>
      <c r="C27" s="56" t="s">
        <v>26</v>
      </c>
      <c r="D27" s="76">
        <v>31038758757.560001</v>
      </c>
      <c r="E27" s="76">
        <v>716883024.78999996</v>
      </c>
      <c r="F27" s="76">
        <v>166168867.44999999</v>
      </c>
      <c r="G27" s="76">
        <v>550714157.34000003</v>
      </c>
      <c r="H27" s="57">
        <v>79054703906</v>
      </c>
      <c r="I27" s="52">
        <f t="shared" si="22"/>
        <v>9.3109298345184999E-2</v>
      </c>
      <c r="J27" s="77">
        <v>78442219240</v>
      </c>
      <c r="K27" s="52">
        <f t="shared" si="23"/>
        <v>9.2083984673882083E-2</v>
      </c>
      <c r="L27" s="52">
        <f t="shared" si="17"/>
        <v>-7.7476055912912524E-3</v>
      </c>
      <c r="M27" s="53">
        <f t="shared" si="18"/>
        <v>2.1183601007206789E-3</v>
      </c>
      <c r="N27" s="54">
        <f t="shared" si="19"/>
        <v>7.0206345852486364E-3</v>
      </c>
      <c r="O27" s="55">
        <f t="shared" si="20"/>
        <v>1</v>
      </c>
      <c r="P27" s="55">
        <f t="shared" si="21"/>
        <v>7.0206345852486364E-3</v>
      </c>
      <c r="Q27" s="49">
        <v>1</v>
      </c>
      <c r="R27" s="49">
        <v>1</v>
      </c>
      <c r="S27" s="49">
        <v>33586</v>
      </c>
      <c r="T27" s="49">
        <v>79054703906</v>
      </c>
      <c r="U27" s="49">
        <v>78442219240</v>
      </c>
    </row>
    <row r="28" spans="1:21" ht="15.75">
      <c r="A28" s="47">
        <v>21</v>
      </c>
      <c r="B28" s="48" t="s">
        <v>55</v>
      </c>
      <c r="C28" s="48" t="s">
        <v>56</v>
      </c>
      <c r="D28" s="75">
        <v>13003384933.280001</v>
      </c>
      <c r="E28" s="75">
        <v>355607721.13</v>
      </c>
      <c r="F28" s="75">
        <v>55679647.020000003</v>
      </c>
      <c r="G28" s="50">
        <v>299928074.11000001</v>
      </c>
      <c r="H28" s="57">
        <v>40110822256.870003</v>
      </c>
      <c r="I28" s="52">
        <f t="shared" si="22"/>
        <v>4.7241850666170732E-2</v>
      </c>
      <c r="J28" s="75">
        <v>40217404728.110001</v>
      </c>
      <c r="K28" s="52">
        <f t="shared" si="23"/>
        <v>4.7211551591571137E-2</v>
      </c>
      <c r="L28" s="52">
        <f t="shared" si="17"/>
        <v>2.6571998588670888E-3</v>
      </c>
      <c r="M28" s="53">
        <f t="shared" si="18"/>
        <v>1.3844664367684235E-3</v>
      </c>
      <c r="N28" s="54">
        <f t="shared" si="19"/>
        <v>7.4576685427034765E-3</v>
      </c>
      <c r="O28" s="55">
        <f t="shared" si="20"/>
        <v>1.0151406130808516</v>
      </c>
      <c r="P28" s="55">
        <f t="shared" si="21"/>
        <v>7.5705822165937882E-3</v>
      </c>
      <c r="Q28" s="49">
        <v>1</v>
      </c>
      <c r="R28" s="49">
        <v>1</v>
      </c>
      <c r="S28" s="49">
        <v>25913</v>
      </c>
      <c r="T28" s="49">
        <v>39804929410.459999</v>
      </c>
      <c r="U28" s="49">
        <v>39617570423.129997</v>
      </c>
    </row>
    <row r="29" spans="1:21" ht="15.75">
      <c r="A29" s="47">
        <v>22</v>
      </c>
      <c r="B29" s="56" t="s">
        <v>213</v>
      </c>
      <c r="C29" s="56" t="s">
        <v>42</v>
      </c>
      <c r="D29" s="75">
        <v>6627457430.3800001</v>
      </c>
      <c r="E29" s="75">
        <v>57807525.729999997</v>
      </c>
      <c r="F29" s="75">
        <v>10598970.43</v>
      </c>
      <c r="G29" s="50">
        <v>47208555.299999997</v>
      </c>
      <c r="H29" s="49">
        <v>6079554093.1800003</v>
      </c>
      <c r="I29" s="52">
        <f t="shared" si="22"/>
        <v>7.1603963824931225E-3</v>
      </c>
      <c r="J29" s="75">
        <v>6519318026.6800003</v>
      </c>
      <c r="K29" s="52">
        <f t="shared" si="23"/>
        <v>7.6530825755480548E-3</v>
      </c>
      <c r="L29" s="52">
        <f t="shared" si="17"/>
        <v>7.2334899362656219E-2</v>
      </c>
      <c r="M29" s="53">
        <f t="shared" si="18"/>
        <v>1.6257790134833452E-3</v>
      </c>
      <c r="N29" s="54">
        <f t="shared" si="19"/>
        <v>7.2413333889835129E-3</v>
      </c>
      <c r="O29" s="55">
        <f t="shared" si="20"/>
        <v>100.14773443117474</v>
      </c>
      <c r="P29" s="55">
        <f t="shared" si="21"/>
        <v>0.72520313316751939</v>
      </c>
      <c r="Q29" s="49">
        <v>100</v>
      </c>
      <c r="R29" s="49">
        <v>100</v>
      </c>
      <c r="S29" s="49">
        <v>2705</v>
      </c>
      <c r="T29" s="49">
        <v>60795540.939999998</v>
      </c>
      <c r="U29" s="49">
        <v>65097009.57</v>
      </c>
    </row>
    <row r="30" spans="1:21" ht="15.75">
      <c r="A30" s="47">
        <v>23</v>
      </c>
      <c r="B30" s="48" t="s">
        <v>57</v>
      </c>
      <c r="C30" s="48" t="s">
        <v>58</v>
      </c>
      <c r="D30" s="78">
        <v>12701761322.469999</v>
      </c>
      <c r="E30" s="75">
        <v>125766015.8</v>
      </c>
      <c r="F30" s="75">
        <v>21672150.969999999</v>
      </c>
      <c r="G30" s="50">
        <v>106246286.43000001</v>
      </c>
      <c r="H30" s="49">
        <v>12949914625.85</v>
      </c>
      <c r="I30" s="52">
        <f t="shared" si="22"/>
        <v>1.5252191265894164E-2</v>
      </c>
      <c r="J30" s="75">
        <v>12455410405.309999</v>
      </c>
      <c r="K30" s="52">
        <f t="shared" si="23"/>
        <v>1.4621511629602353E-2</v>
      </c>
      <c r="L30" s="52">
        <f t="shared" si="17"/>
        <v>-3.8185905840096832E-2</v>
      </c>
      <c r="M30" s="53">
        <f t="shared" si="18"/>
        <v>1.7399788738202244E-3</v>
      </c>
      <c r="N30" s="54">
        <f t="shared" si="19"/>
        <v>8.5301313222649819E-3</v>
      </c>
      <c r="O30" s="55">
        <f t="shared" si="20"/>
        <v>100.00000000248887</v>
      </c>
      <c r="P30" s="55">
        <f t="shared" si="21"/>
        <v>0.85301313224772868</v>
      </c>
      <c r="Q30" s="49">
        <v>100</v>
      </c>
      <c r="R30" s="49">
        <v>100</v>
      </c>
      <c r="S30" s="49">
        <v>45169</v>
      </c>
      <c r="T30" s="49">
        <v>129499146.28</v>
      </c>
      <c r="U30" s="49">
        <v>124554104.05</v>
      </c>
    </row>
    <row r="31" spans="1:21" ht="15.75">
      <c r="A31" s="47">
        <v>24</v>
      </c>
      <c r="B31" s="48" t="s">
        <v>59</v>
      </c>
      <c r="C31" s="48" t="s">
        <v>60</v>
      </c>
      <c r="D31" s="75">
        <v>2630443277.0700002</v>
      </c>
      <c r="E31" s="75">
        <v>47862823.850000001</v>
      </c>
      <c r="F31" s="75">
        <v>6625793.5999999996</v>
      </c>
      <c r="G31" s="50">
        <v>41237030.259999998</v>
      </c>
      <c r="H31" s="49">
        <v>5337128800</v>
      </c>
      <c r="I31" s="52">
        <f t="shared" si="22"/>
        <v>6.2859803805825568E-3</v>
      </c>
      <c r="J31" s="75">
        <v>5655561200</v>
      </c>
      <c r="K31" s="52">
        <f t="shared" si="23"/>
        <v>6.6391111305713511E-3</v>
      </c>
      <c r="L31" s="52">
        <f t="shared" si="17"/>
        <v>5.9663615388109055E-2</v>
      </c>
      <c r="M31" s="53">
        <f t="shared" si="18"/>
        <v>1.1715536912587914E-3</v>
      </c>
      <c r="N31" s="54">
        <f t="shared" si="19"/>
        <v>7.2914126117139353E-3</v>
      </c>
      <c r="O31" s="55">
        <f t="shared" si="20"/>
        <v>100</v>
      </c>
      <c r="P31" s="55">
        <f t="shared" si="21"/>
        <v>0.72914126117139355</v>
      </c>
      <c r="Q31" s="49">
        <v>100</v>
      </c>
      <c r="R31" s="49">
        <v>100</v>
      </c>
      <c r="S31" s="49">
        <v>5232</v>
      </c>
      <c r="T31" s="49">
        <v>53371288</v>
      </c>
      <c r="U31" s="49">
        <v>56555612</v>
      </c>
    </row>
    <row r="32" spans="1:21" ht="15.75">
      <c r="A32" s="47">
        <v>25</v>
      </c>
      <c r="B32" s="48" t="s">
        <v>61</v>
      </c>
      <c r="C32" s="56" t="s">
        <v>62</v>
      </c>
      <c r="D32" s="75">
        <v>39263942.280000001</v>
      </c>
      <c r="E32" s="76">
        <v>275433.01</v>
      </c>
      <c r="F32" s="76">
        <v>41437.480000000003</v>
      </c>
      <c r="G32" s="50">
        <v>233995.53</v>
      </c>
      <c r="H32" s="49">
        <v>39203248.560000002</v>
      </c>
      <c r="I32" s="52">
        <f t="shared" si="22"/>
        <v>4.6172925656817836E-5</v>
      </c>
      <c r="J32" s="77">
        <v>39203248.560000002</v>
      </c>
      <c r="K32" s="52">
        <f t="shared" si="23"/>
        <v>4.6021025087528238E-5</v>
      </c>
      <c r="L32" s="52">
        <f t="shared" si="17"/>
        <v>0</v>
      </c>
      <c r="M32" s="53">
        <f t="shared" si="18"/>
        <v>1.056990977076314E-3</v>
      </c>
      <c r="N32" s="79">
        <f t="shared" si="19"/>
        <v>5.9687790832403404E-3</v>
      </c>
      <c r="O32" s="80">
        <f t="shared" si="20"/>
        <v>101.87107246798604</v>
      </c>
      <c r="P32" s="80">
        <f t="shared" si="21"/>
        <v>0.608045926534176</v>
      </c>
      <c r="Q32" s="49">
        <v>10</v>
      </c>
      <c r="R32" s="49">
        <v>10</v>
      </c>
      <c r="S32" s="49">
        <v>86</v>
      </c>
      <c r="T32" s="49">
        <v>384832</v>
      </c>
      <c r="U32" s="49">
        <v>384832</v>
      </c>
    </row>
    <row r="33" spans="1:21" ht="15.75">
      <c r="A33" s="47">
        <v>26</v>
      </c>
      <c r="B33" s="48" t="s">
        <v>63</v>
      </c>
      <c r="C33" s="48" t="s">
        <v>64</v>
      </c>
      <c r="D33" s="75">
        <v>4924384644.0299997</v>
      </c>
      <c r="E33" s="75">
        <v>43795156.600000001</v>
      </c>
      <c r="F33" s="75">
        <v>8227161.6100000003</v>
      </c>
      <c r="G33" s="50">
        <v>35567994.990000002</v>
      </c>
      <c r="H33" s="57">
        <v>4737461265.5900002</v>
      </c>
      <c r="I33" s="52">
        <f t="shared" si="22"/>
        <v>5.5797020617655976E-3</v>
      </c>
      <c r="J33" s="75">
        <v>5101695506.9399996</v>
      </c>
      <c r="K33" s="52">
        <f t="shared" si="23"/>
        <v>5.9889235085832338E-3</v>
      </c>
      <c r="L33" s="52">
        <f t="shared" si="17"/>
        <v>7.688384578372652E-2</v>
      </c>
      <c r="M33" s="53">
        <f t="shared" si="18"/>
        <v>1.6126328195809273E-3</v>
      </c>
      <c r="N33" s="54">
        <f t="shared" si="19"/>
        <v>6.9717988738480612E-3</v>
      </c>
      <c r="O33" s="55">
        <f t="shared" si="20"/>
        <v>1.009182742861471</v>
      </c>
      <c r="P33" s="55">
        <f t="shared" si="21"/>
        <v>7.0358191101885003E-3</v>
      </c>
      <c r="Q33" s="49">
        <v>1</v>
      </c>
      <c r="R33" s="49">
        <v>1</v>
      </c>
      <c r="S33" s="49">
        <v>1990</v>
      </c>
      <c r="T33" s="49">
        <v>4723827541.9300003</v>
      </c>
      <c r="U33" s="49">
        <v>5055274223.6499996</v>
      </c>
    </row>
    <row r="34" spans="1:21" ht="15.75">
      <c r="A34" s="47">
        <v>27</v>
      </c>
      <c r="B34" s="48" t="s">
        <v>65</v>
      </c>
      <c r="C34" s="48" t="s">
        <v>66</v>
      </c>
      <c r="D34" s="75">
        <v>7818583835.6099997</v>
      </c>
      <c r="E34" s="75">
        <v>127581588.98</v>
      </c>
      <c r="F34" s="75">
        <v>22207311.75</v>
      </c>
      <c r="G34" s="50">
        <v>100022087.13</v>
      </c>
      <c r="H34" s="49">
        <v>13564972510.75</v>
      </c>
      <c r="I34" s="52">
        <f t="shared" si="22"/>
        <v>1.5976596080221301E-2</v>
      </c>
      <c r="J34" s="75">
        <v>14165434562.360001</v>
      </c>
      <c r="K34" s="52">
        <f t="shared" si="23"/>
        <v>1.6628923451901537E-2</v>
      </c>
      <c r="L34" s="52">
        <f t="shared" si="17"/>
        <v>4.4265629814888685E-2</v>
      </c>
      <c r="M34" s="53">
        <f t="shared" si="18"/>
        <v>1.5677112941532094E-3</v>
      </c>
      <c r="N34" s="54">
        <f t="shared" si="19"/>
        <v>7.0609967304339468E-3</v>
      </c>
      <c r="O34" s="55">
        <f t="shared" si="20"/>
        <v>100.00000044022653</v>
      </c>
      <c r="P34" s="55">
        <f t="shared" si="21"/>
        <v>0.70609967615183278</v>
      </c>
      <c r="Q34" s="49">
        <v>100</v>
      </c>
      <c r="R34" s="49">
        <v>100</v>
      </c>
      <c r="S34" s="49">
        <v>5098</v>
      </c>
      <c r="T34" s="49">
        <v>135649725</v>
      </c>
      <c r="U34" s="49">
        <v>141654345</v>
      </c>
    </row>
    <row r="35" spans="1:21" ht="15.75">
      <c r="A35" s="47">
        <v>28</v>
      </c>
      <c r="B35" s="48" t="s">
        <v>67</v>
      </c>
      <c r="C35" s="48" t="s">
        <v>66</v>
      </c>
      <c r="D35" s="75">
        <v>445407076.74000001</v>
      </c>
      <c r="E35" s="75">
        <v>6967862</v>
      </c>
      <c r="F35" s="75">
        <v>1159333.1399999999</v>
      </c>
      <c r="G35" s="50">
        <v>5808528.8600000003</v>
      </c>
      <c r="H35" s="49">
        <v>1081041501.25</v>
      </c>
      <c r="I35" s="52">
        <f t="shared" si="22"/>
        <v>1.2732324667624685E-3</v>
      </c>
      <c r="J35" s="75">
        <v>1126234479.25</v>
      </c>
      <c r="K35" s="52">
        <f t="shared" si="23"/>
        <v>1.3220961815110239E-3</v>
      </c>
      <c r="L35" s="52">
        <f t="shared" si="17"/>
        <v>4.1805035188513764E-2</v>
      </c>
      <c r="M35" s="53">
        <f t="shared" si="18"/>
        <v>1.029388783028594E-3</v>
      </c>
      <c r="N35" s="54">
        <f t="shared" si="19"/>
        <v>5.1574773877177942E-3</v>
      </c>
      <c r="O35" s="55">
        <f t="shared" si="20"/>
        <v>926179.67043585528</v>
      </c>
      <c r="P35" s="55">
        <f t="shared" si="21"/>
        <v>4776.7507072368426</v>
      </c>
      <c r="Q35" s="49">
        <v>1000000</v>
      </c>
      <c r="R35" s="49">
        <v>1000000</v>
      </c>
      <c r="S35" s="49">
        <v>18</v>
      </c>
      <c r="T35" s="49">
        <v>1081</v>
      </c>
      <c r="U35" s="49">
        <v>1216</v>
      </c>
    </row>
    <row r="36" spans="1:21" ht="15.75">
      <c r="A36" s="47">
        <v>29</v>
      </c>
      <c r="B36" s="56" t="s">
        <v>68</v>
      </c>
      <c r="C36" s="56" t="s">
        <v>69</v>
      </c>
      <c r="D36" s="81">
        <v>2756867573.3400002</v>
      </c>
      <c r="E36" s="75">
        <v>29072919.41</v>
      </c>
      <c r="F36" s="82">
        <v>4087050.87</v>
      </c>
      <c r="G36" s="50">
        <v>24532125.350000001</v>
      </c>
      <c r="H36" s="67">
        <v>2184411187.5900002</v>
      </c>
      <c r="I36" s="52">
        <f t="shared" si="22"/>
        <v>2.5727626937382107E-3</v>
      </c>
      <c r="J36" s="82">
        <v>2741943399.6799998</v>
      </c>
      <c r="K36" s="52">
        <f t="shared" si="23"/>
        <v>3.2187905497711063E-3</v>
      </c>
      <c r="L36" s="52">
        <f t="shared" si="17"/>
        <v>0.25523226362208362</v>
      </c>
      <c r="M36" s="53">
        <f t="shared" si="18"/>
        <v>1.4905671905835044E-3</v>
      </c>
      <c r="N36" s="54">
        <f t="shared" si="19"/>
        <v>8.9469845923380621E-3</v>
      </c>
      <c r="O36" s="55">
        <f t="shared" si="20"/>
        <v>1.0409955189390749</v>
      </c>
      <c r="P36" s="55">
        <f t="shared" si="21"/>
        <v>9.3137708686408683E-3</v>
      </c>
      <c r="Q36" s="49">
        <v>1</v>
      </c>
      <c r="R36" s="49">
        <v>1</v>
      </c>
      <c r="S36" s="49">
        <v>423</v>
      </c>
      <c r="T36" s="49">
        <v>2446798207.3400002</v>
      </c>
      <c r="U36" s="57">
        <v>2633962730.6700001</v>
      </c>
    </row>
    <row r="37" spans="1:21" ht="15.75">
      <c r="A37" s="47">
        <v>30</v>
      </c>
      <c r="B37" s="48" t="s">
        <v>70</v>
      </c>
      <c r="C37" s="48" t="s">
        <v>71</v>
      </c>
      <c r="D37" s="81">
        <v>181078858.03999999</v>
      </c>
      <c r="E37" s="81">
        <v>2288193.02</v>
      </c>
      <c r="F37" s="81">
        <v>689974.55</v>
      </c>
      <c r="G37" s="81">
        <v>1598218.47</v>
      </c>
      <c r="H37" s="57">
        <v>279437516.30000001</v>
      </c>
      <c r="I37" s="52">
        <f t="shared" si="22"/>
        <v>3.2911679872903171E-4</v>
      </c>
      <c r="J37" s="81">
        <v>291609520.91000003</v>
      </c>
      <c r="K37" s="52">
        <f t="shared" si="23"/>
        <v>3.4232288319223923E-4</v>
      </c>
      <c r="L37" s="52">
        <f t="shared" si="17"/>
        <v>4.3558949317787123E-2</v>
      </c>
      <c r="M37" s="53">
        <f t="shared" si="18"/>
        <v>2.3660906127031022E-3</v>
      </c>
      <c r="N37" s="54">
        <f t="shared" si="19"/>
        <v>5.4806800032199945E-3</v>
      </c>
      <c r="O37" s="55">
        <f t="shared" si="20"/>
        <v>0.99624881830846035</v>
      </c>
      <c r="P37" s="55">
        <f t="shared" si="21"/>
        <v>5.4601209767347284E-3</v>
      </c>
      <c r="Q37" s="49">
        <v>1</v>
      </c>
      <c r="R37" s="49">
        <v>1</v>
      </c>
      <c r="S37" s="49">
        <v>405</v>
      </c>
      <c r="T37" s="57">
        <v>278572520</v>
      </c>
      <c r="U37" s="57">
        <v>292707520</v>
      </c>
    </row>
    <row r="38" spans="1:21" ht="15.75" customHeight="1">
      <c r="A38" s="47">
        <v>31</v>
      </c>
      <c r="B38" s="48" t="s">
        <v>72</v>
      </c>
      <c r="C38" s="48" t="s">
        <v>73</v>
      </c>
      <c r="D38" s="75">
        <v>202984195058.87</v>
      </c>
      <c r="E38" s="76">
        <v>1988426178.5899999</v>
      </c>
      <c r="F38" s="76">
        <v>287861450.97000003</v>
      </c>
      <c r="G38" s="50">
        <v>1700564727.6199999</v>
      </c>
      <c r="H38" s="67">
        <v>202668366932.16</v>
      </c>
      <c r="I38" s="52">
        <f t="shared" si="22"/>
        <v>0.23869938801182097</v>
      </c>
      <c r="J38" s="75">
        <v>202984195058.87</v>
      </c>
      <c r="K38" s="52">
        <f t="shared" si="23"/>
        <v>0.23828486353315564</v>
      </c>
      <c r="L38" s="52">
        <f t="shared" si="17"/>
        <v>1.5583493935968304E-3</v>
      </c>
      <c r="M38" s="53">
        <f t="shared" si="18"/>
        <v>1.4181471167571136E-3</v>
      </c>
      <c r="N38" s="54">
        <f t="shared" si="19"/>
        <v>8.3778184164870467E-3</v>
      </c>
      <c r="O38" s="55">
        <f t="shared" si="20"/>
        <v>100.0274669574454</v>
      </c>
      <c r="P38" s="55">
        <f t="shared" si="21"/>
        <v>0.83801195483063551</v>
      </c>
      <c r="Q38" s="49">
        <v>100</v>
      </c>
      <c r="R38" s="49">
        <v>100</v>
      </c>
      <c r="S38" s="49">
        <v>25226</v>
      </c>
      <c r="T38" s="49">
        <v>2026124194.7</v>
      </c>
      <c r="U38" s="49">
        <v>2029284567.8599999</v>
      </c>
    </row>
    <row r="39" spans="1:21" ht="15.75">
      <c r="A39" s="47">
        <v>32</v>
      </c>
      <c r="B39" s="48" t="s">
        <v>74</v>
      </c>
      <c r="C39" s="48" t="s">
        <v>75</v>
      </c>
      <c r="D39" s="75">
        <v>637666640.71000004</v>
      </c>
      <c r="E39" s="75">
        <v>5893170.4699999997</v>
      </c>
      <c r="F39" s="75">
        <v>1683993.33</v>
      </c>
      <c r="G39" s="50">
        <v>4209177.1399999997</v>
      </c>
      <c r="H39" s="49">
        <v>637192172.15999997</v>
      </c>
      <c r="I39" s="52">
        <f t="shared" si="22"/>
        <v>7.5047420494302902E-4</v>
      </c>
      <c r="J39" s="75">
        <v>634146169.98000002</v>
      </c>
      <c r="K39" s="52">
        <f t="shared" si="23"/>
        <v>7.4442955290155994E-4</v>
      </c>
      <c r="L39" s="52">
        <f t="shared" si="17"/>
        <v>-4.780350909952942E-3</v>
      </c>
      <c r="M39" s="53">
        <f t="shared" si="18"/>
        <v>2.6555286615593857E-3</v>
      </c>
      <c r="N39" s="54">
        <f t="shared" si="19"/>
        <v>6.6375503618239162E-3</v>
      </c>
      <c r="O39" s="55">
        <f t="shared" si="20"/>
        <v>9.8960755199887345</v>
      </c>
      <c r="P39" s="55">
        <f t="shared" si="21"/>
        <v>6.5685699648338022E-2</v>
      </c>
      <c r="Q39" s="49">
        <v>10</v>
      </c>
      <c r="R39" s="49">
        <v>10</v>
      </c>
      <c r="S39" s="49">
        <v>285</v>
      </c>
      <c r="T39" s="49">
        <v>64410598</v>
      </c>
      <c r="U39" s="49">
        <v>64080571</v>
      </c>
    </row>
    <row r="40" spans="1:21" ht="15.75">
      <c r="A40" s="47">
        <v>33</v>
      </c>
      <c r="B40" s="64" t="s">
        <v>214</v>
      </c>
      <c r="C40" s="64" t="s">
        <v>76</v>
      </c>
      <c r="D40" s="75">
        <v>2946238057.1199999</v>
      </c>
      <c r="E40" s="75">
        <v>19675697.960000001</v>
      </c>
      <c r="F40" s="75">
        <v>5957894.4100000001</v>
      </c>
      <c r="G40" s="50">
        <v>13717803.550000001</v>
      </c>
      <c r="H40" s="49">
        <v>3167354274.25</v>
      </c>
      <c r="I40" s="52">
        <f t="shared" si="22"/>
        <v>3.730456500560714E-3</v>
      </c>
      <c r="J40" s="75">
        <v>2940280162.71</v>
      </c>
      <c r="K40" s="52">
        <f t="shared" si="23"/>
        <v>3.4516197535349991E-3</v>
      </c>
      <c r="L40" s="52">
        <f t="shared" si="17"/>
        <v>-7.1692047014150009E-2</v>
      </c>
      <c r="M40" s="53">
        <f t="shared" si="18"/>
        <v>2.0263016040310672E-3</v>
      </c>
      <c r="N40" s="54">
        <f t="shared" si="19"/>
        <v>4.6654749856750262E-3</v>
      </c>
      <c r="O40" s="55">
        <f t="shared" si="20"/>
        <v>99.797778146647417</v>
      </c>
      <c r="P40" s="55">
        <f t="shared" si="21"/>
        <v>0.46560403756912927</v>
      </c>
      <c r="Q40" s="49">
        <v>100</v>
      </c>
      <c r="R40" s="49">
        <v>100</v>
      </c>
      <c r="S40" s="49">
        <v>586</v>
      </c>
      <c r="T40" s="49">
        <v>31681027</v>
      </c>
      <c r="U40" s="49">
        <v>29462381</v>
      </c>
    </row>
    <row r="41" spans="1:21" ht="15.75">
      <c r="A41" s="47">
        <v>34</v>
      </c>
      <c r="B41" s="48" t="s">
        <v>267</v>
      </c>
      <c r="C41" s="56" t="s">
        <v>265</v>
      </c>
      <c r="D41" s="75">
        <v>20946762565.619999</v>
      </c>
      <c r="E41" s="75">
        <v>169721875.36000001</v>
      </c>
      <c r="F41" s="75">
        <v>25548735.18</v>
      </c>
      <c r="G41" s="50">
        <v>144173140.18000001</v>
      </c>
      <c r="H41" s="49">
        <v>20813733377.669998</v>
      </c>
      <c r="I41" s="52">
        <f t="shared" si="22"/>
        <v>2.4514064502005259E-2</v>
      </c>
      <c r="J41" s="75">
        <v>20576158727.080002</v>
      </c>
      <c r="K41" s="52">
        <f t="shared" si="23"/>
        <v>2.415452677434729E-2</v>
      </c>
      <c r="L41" s="52">
        <f>((J41-H41)/H41)</f>
        <v>-1.1414321797975857E-2</v>
      </c>
      <c r="M41" s="53">
        <f t="shared" ref="M41" si="24">(F41/J41)</f>
        <v>1.24166689802872E-3</v>
      </c>
      <c r="N41" s="54">
        <f t="shared" ref="N41" si="25">G41/J41</f>
        <v>7.0068054048521558E-3</v>
      </c>
      <c r="O41" s="55">
        <f t="shared" ref="O41" si="26">J41/U41</f>
        <v>100.00000000038881</v>
      </c>
      <c r="P41" s="55">
        <f t="shared" ref="P41" si="27">G41/U41</f>
        <v>0.70068054048793982</v>
      </c>
      <c r="Q41" s="49">
        <v>100</v>
      </c>
      <c r="R41" s="49">
        <v>100</v>
      </c>
      <c r="S41" s="49">
        <v>10408</v>
      </c>
      <c r="T41" s="49">
        <v>208137333.78</v>
      </c>
      <c r="U41" s="49">
        <v>205761587.27000001</v>
      </c>
    </row>
    <row r="42" spans="1:21" ht="15.75">
      <c r="A42" s="47">
        <v>35</v>
      </c>
      <c r="B42" s="48" t="s">
        <v>77</v>
      </c>
      <c r="C42" s="48" t="s">
        <v>36</v>
      </c>
      <c r="D42" s="75">
        <v>3173930798.1399999</v>
      </c>
      <c r="E42" s="75">
        <v>25875850.199999999</v>
      </c>
      <c r="F42" s="75">
        <v>3898658.83</v>
      </c>
      <c r="G42" s="50">
        <v>21977191.370000001</v>
      </c>
      <c r="H42" s="49">
        <v>3322014949.0599999</v>
      </c>
      <c r="I42" s="52">
        <f t="shared" si="22"/>
        <v>3.9126132376256541E-3</v>
      </c>
      <c r="J42" s="75">
        <v>3159061089.1399999</v>
      </c>
      <c r="K42" s="52">
        <f t="shared" si="23"/>
        <v>3.7084485336422897E-3</v>
      </c>
      <c r="L42" s="52">
        <f t="shared" si="17"/>
        <v>-4.9052717226967815E-2</v>
      </c>
      <c r="M42" s="53">
        <f t="shared" si="18"/>
        <v>1.2341194804375698E-3</v>
      </c>
      <c r="N42" s="54">
        <f t="shared" si="19"/>
        <v>6.9568744477755302E-3</v>
      </c>
      <c r="O42" s="55">
        <f t="shared" si="20"/>
        <v>0.98447821911048605</v>
      </c>
      <c r="P42" s="55">
        <f t="shared" si="21"/>
        <v>6.8488913669212999E-3</v>
      </c>
      <c r="Q42" s="49">
        <v>0.98</v>
      </c>
      <c r="R42" s="49">
        <v>0.98</v>
      </c>
      <c r="S42" s="49">
        <v>799</v>
      </c>
      <c r="T42" s="49">
        <v>3340294125</v>
      </c>
      <c r="U42" s="49">
        <v>3208868442</v>
      </c>
    </row>
    <row r="43" spans="1:21" ht="15.75">
      <c r="A43" s="47">
        <v>36</v>
      </c>
      <c r="B43" s="48" t="s">
        <v>78</v>
      </c>
      <c r="C43" s="48" t="s">
        <v>38</v>
      </c>
      <c r="D43" s="75">
        <v>3247401654.2600002</v>
      </c>
      <c r="E43" s="75">
        <v>29551704.48</v>
      </c>
      <c r="F43" s="75">
        <v>4952134.63</v>
      </c>
      <c r="G43" s="50">
        <v>24599569.850000001</v>
      </c>
      <c r="H43" s="49">
        <v>3205277484.75</v>
      </c>
      <c r="I43" s="52">
        <f t="shared" si="22"/>
        <v>3.775121818956572E-3</v>
      </c>
      <c r="J43" s="81">
        <v>3270546834.79</v>
      </c>
      <c r="K43" s="52">
        <f t="shared" si="23"/>
        <v>3.8393225934694494E-3</v>
      </c>
      <c r="L43" s="52">
        <f t="shared" si="17"/>
        <v>2.0363088796691416E-2</v>
      </c>
      <c r="M43" s="53">
        <f t="shared" si="18"/>
        <v>1.5141610501712855E-3</v>
      </c>
      <c r="N43" s="54">
        <f t="shared" si="19"/>
        <v>7.5215464240797293E-3</v>
      </c>
      <c r="O43" s="55">
        <f t="shared" si="20"/>
        <v>10.123227493347615</v>
      </c>
      <c r="P43" s="55">
        <f t="shared" si="21"/>
        <v>7.6142325552734355E-2</v>
      </c>
      <c r="Q43" s="49">
        <v>10</v>
      </c>
      <c r="R43" s="49">
        <v>10</v>
      </c>
      <c r="S43" s="49">
        <v>1865</v>
      </c>
      <c r="T43" s="49">
        <v>318853401.69</v>
      </c>
      <c r="U43" s="49">
        <v>323073529.36000001</v>
      </c>
    </row>
    <row r="44" spans="1:21" ht="15.75">
      <c r="A44" s="47">
        <v>37</v>
      </c>
      <c r="B44" s="48" t="s">
        <v>79</v>
      </c>
      <c r="C44" s="48" t="s">
        <v>215</v>
      </c>
      <c r="D44" s="75">
        <v>2898337939</v>
      </c>
      <c r="E44" s="75">
        <v>50456031</v>
      </c>
      <c r="F44" s="75">
        <v>7172227</v>
      </c>
      <c r="G44" s="50">
        <v>43283804</v>
      </c>
      <c r="H44" s="57">
        <v>4477509807</v>
      </c>
      <c r="I44" s="52">
        <f t="shared" si="22"/>
        <v>5.2735356135058965E-3</v>
      </c>
      <c r="J44" s="75">
        <v>4883262605</v>
      </c>
      <c r="K44" s="52">
        <f t="shared" si="23"/>
        <v>5.7325032773685395E-3</v>
      </c>
      <c r="L44" s="52">
        <f t="shared" si="17"/>
        <v>9.0620191912401546E-2</v>
      </c>
      <c r="M44" s="53">
        <f t="shared" si="18"/>
        <v>1.4687366992420839E-3</v>
      </c>
      <c r="N44" s="54">
        <f t="shared" si="19"/>
        <v>8.8637059894508784E-3</v>
      </c>
      <c r="O44" s="55">
        <f t="shared" si="20"/>
        <v>100.00000010239056</v>
      </c>
      <c r="P44" s="55">
        <f t="shared" si="21"/>
        <v>0.88637059985264766</v>
      </c>
      <c r="Q44" s="49">
        <v>100</v>
      </c>
      <c r="R44" s="49">
        <v>100</v>
      </c>
      <c r="S44" s="49">
        <v>1632</v>
      </c>
      <c r="T44" s="49">
        <v>44775098</v>
      </c>
      <c r="U44" s="49">
        <v>48832626</v>
      </c>
    </row>
    <row r="45" spans="1:21" ht="14.25" customHeight="1">
      <c r="A45" s="47">
        <v>38</v>
      </c>
      <c r="B45" s="48" t="s">
        <v>80</v>
      </c>
      <c r="C45" s="56" t="s">
        <v>81</v>
      </c>
      <c r="D45" s="75">
        <v>164906618.69</v>
      </c>
      <c r="E45" s="75">
        <v>834294.24</v>
      </c>
      <c r="F45" s="75">
        <v>61486.39</v>
      </c>
      <c r="G45" s="50">
        <v>772807.85</v>
      </c>
      <c r="H45" s="57">
        <v>142341122.72999999</v>
      </c>
      <c r="I45" s="52">
        <f t="shared" si="22"/>
        <v>1.6764697618518664E-4</v>
      </c>
      <c r="J45" s="75">
        <v>162642550.02000001</v>
      </c>
      <c r="K45" s="52">
        <f t="shared" si="23"/>
        <v>1.9092746518988951E-4</v>
      </c>
      <c r="L45" s="52">
        <f t="shared" si="17"/>
        <v>0.14262517325024068</v>
      </c>
      <c r="M45" s="53">
        <f t="shared" si="18"/>
        <v>3.7804615085313819E-4</v>
      </c>
      <c r="N45" s="54">
        <f t="shared" si="19"/>
        <v>4.7515723892976869E-3</v>
      </c>
      <c r="O45" s="55">
        <f t="shared" si="20"/>
        <v>1.0007006765021826</v>
      </c>
      <c r="P45" s="55">
        <f t="shared" si="21"/>
        <v>4.7549017044192883E-3</v>
      </c>
      <c r="Q45" s="49">
        <v>1</v>
      </c>
      <c r="R45" s="49">
        <v>1</v>
      </c>
      <c r="S45" s="49">
        <v>61</v>
      </c>
      <c r="T45" s="49">
        <v>143648670</v>
      </c>
      <c r="U45" s="49">
        <v>162528670</v>
      </c>
    </row>
    <row r="46" spans="1:21" ht="15.75">
      <c r="A46" s="47">
        <v>39</v>
      </c>
      <c r="B46" s="56" t="s">
        <v>82</v>
      </c>
      <c r="C46" s="56" t="s">
        <v>40</v>
      </c>
      <c r="D46" s="75">
        <v>700970971.10000002</v>
      </c>
      <c r="E46" s="75">
        <v>23228644.190000001</v>
      </c>
      <c r="F46" s="75">
        <v>989489.77</v>
      </c>
      <c r="G46" s="50">
        <v>22239154.420000002</v>
      </c>
      <c r="H46" s="49">
        <v>752569128.62</v>
      </c>
      <c r="I46" s="52">
        <f t="shared" si="22"/>
        <v>8.8636324038824602E-4</v>
      </c>
      <c r="J46" s="75">
        <v>729392385.75999999</v>
      </c>
      <c r="K46" s="52">
        <f t="shared" si="23"/>
        <v>8.5623989125132422E-4</v>
      </c>
      <c r="L46" s="52">
        <f t="shared" si="17"/>
        <v>-3.0796829126514449E-2</v>
      </c>
      <c r="M46" s="53">
        <f t="shared" si="18"/>
        <v>1.3565945975278974E-3</v>
      </c>
      <c r="N46" s="54">
        <f t="shared" si="19"/>
        <v>3.0489973372600569E-2</v>
      </c>
      <c r="O46" s="55">
        <f t="shared" si="20"/>
        <v>10.133334312130472</v>
      </c>
      <c r="P46" s="55">
        <f t="shared" si="21"/>
        <v>0.30896509335251782</v>
      </c>
      <c r="Q46" s="49">
        <v>10</v>
      </c>
      <c r="R46" s="49">
        <v>10</v>
      </c>
      <c r="S46" s="49">
        <v>586</v>
      </c>
      <c r="T46" s="49">
        <v>69146926.799999997</v>
      </c>
      <c r="U46" s="49">
        <v>71979504.799999997</v>
      </c>
    </row>
    <row r="47" spans="1:21" ht="15.75" customHeight="1">
      <c r="A47" s="47">
        <v>40</v>
      </c>
      <c r="B47" s="48" t="s">
        <v>216</v>
      </c>
      <c r="C47" s="48" t="s">
        <v>44</v>
      </c>
      <c r="D47" s="78" t="s">
        <v>217</v>
      </c>
      <c r="E47" s="78" t="s">
        <v>218</v>
      </c>
      <c r="F47" s="78" t="s">
        <v>219</v>
      </c>
      <c r="G47" s="58" t="s">
        <v>220</v>
      </c>
      <c r="H47" s="49">
        <v>364500932984.84003</v>
      </c>
      <c r="I47" s="52">
        <f t="shared" si="22"/>
        <v>0.42930305775021615</v>
      </c>
      <c r="J47" s="78">
        <v>367421402244</v>
      </c>
      <c r="K47" s="52">
        <f t="shared" si="23"/>
        <v>0.43131909194940266</v>
      </c>
      <c r="L47" s="52">
        <f t="shared" si="17"/>
        <v>8.0122408336371492E-3</v>
      </c>
      <c r="M47" s="53">
        <f t="shared" si="18"/>
        <v>1.6571797511557265E-3</v>
      </c>
      <c r="N47" s="54">
        <f t="shared" si="19"/>
        <v>8.0220238092516619E-3</v>
      </c>
      <c r="O47" s="55">
        <f t="shared" si="20"/>
        <v>1.0000000000000544</v>
      </c>
      <c r="P47" s="55">
        <f t="shared" si="21"/>
        <v>8.022023809252099E-3</v>
      </c>
      <c r="Q47" s="49">
        <v>100</v>
      </c>
      <c r="R47" s="49">
        <v>100</v>
      </c>
      <c r="S47" s="49">
        <v>106391</v>
      </c>
      <c r="T47" s="58" t="s">
        <v>221</v>
      </c>
      <c r="U47" s="58" t="s">
        <v>222</v>
      </c>
    </row>
    <row r="48" spans="1:21" ht="15.75">
      <c r="A48" s="47">
        <v>41</v>
      </c>
      <c r="B48" s="48" t="s">
        <v>83</v>
      </c>
      <c r="C48" s="48" t="s">
        <v>84</v>
      </c>
      <c r="D48" s="75">
        <v>2337866882.3200002</v>
      </c>
      <c r="E48" s="75">
        <v>27252242.550000001</v>
      </c>
      <c r="F48" s="75">
        <v>3396169.24</v>
      </c>
      <c r="G48" s="50">
        <v>23856073.309999999</v>
      </c>
      <c r="H48" s="49">
        <v>2114595412.0999999</v>
      </c>
      <c r="I48" s="52">
        <f t="shared" si="22"/>
        <v>2.4905348496237316E-3</v>
      </c>
      <c r="J48" s="75">
        <v>2310808690.9200001</v>
      </c>
      <c r="K48" s="52">
        <f t="shared" si="23"/>
        <v>2.7126778683798851E-3</v>
      </c>
      <c r="L48" s="52">
        <f t="shared" si="17"/>
        <v>9.2789986064114843E-2</v>
      </c>
      <c r="M48" s="53">
        <f t="shared" si="18"/>
        <v>1.4696886217127245E-3</v>
      </c>
      <c r="N48" s="54">
        <f t="shared" si="19"/>
        <v>1.032369031834574E-2</v>
      </c>
      <c r="O48" s="55">
        <f t="shared" si="20"/>
        <v>1.0149105877766533</v>
      </c>
      <c r="P48" s="55">
        <f t="shared" si="21"/>
        <v>1.0477622609016421E-2</v>
      </c>
      <c r="Q48" s="49">
        <v>1</v>
      </c>
      <c r="R48" s="49">
        <v>1</v>
      </c>
      <c r="S48" s="49">
        <v>314</v>
      </c>
      <c r="T48" s="49">
        <v>2099203103.29</v>
      </c>
      <c r="U48" s="49">
        <v>2276859379.29</v>
      </c>
    </row>
    <row r="49" spans="1:21" ht="15.75">
      <c r="A49" s="47">
        <v>42</v>
      </c>
      <c r="B49" s="48" t="s">
        <v>85</v>
      </c>
      <c r="C49" s="48" t="s">
        <v>48</v>
      </c>
      <c r="D49" s="83">
        <v>14830551434.443003</v>
      </c>
      <c r="E49" s="83">
        <v>370978399.08999956</v>
      </c>
      <c r="F49" s="83">
        <v>50506050.609999999</v>
      </c>
      <c r="G49" s="84">
        <v>320472348.47999954</v>
      </c>
      <c r="H49" s="67">
        <v>44709857641</v>
      </c>
      <c r="I49" s="52">
        <f t="shared" si="22"/>
        <v>5.265851705695488E-2</v>
      </c>
      <c r="J49" s="85">
        <v>42786675591.315208</v>
      </c>
      <c r="K49" s="52">
        <f t="shared" si="23"/>
        <v>5.0227640390213858E-2</v>
      </c>
      <c r="L49" s="52">
        <f t="shared" si="17"/>
        <v>-4.301472093977745E-2</v>
      </c>
      <c r="M49" s="53">
        <f t="shared" si="18"/>
        <v>1.1804153959615331E-3</v>
      </c>
      <c r="N49" s="54">
        <f t="shared" si="19"/>
        <v>7.4900034660568176E-3</v>
      </c>
      <c r="O49" s="55">
        <f t="shared" si="20"/>
        <v>1.0122261747709591</v>
      </c>
      <c r="P49" s="55">
        <f t="shared" si="21"/>
        <v>7.5815775574679172E-3</v>
      </c>
      <c r="Q49" s="49">
        <v>1</v>
      </c>
      <c r="R49" s="49">
        <v>1</v>
      </c>
      <c r="S49" s="49">
        <v>5013</v>
      </c>
      <c r="T49" s="67">
        <v>43488086533.129997</v>
      </c>
      <c r="U49" s="67">
        <v>42269876691.339996</v>
      </c>
    </row>
    <row r="50" spans="1:21" ht="15.75">
      <c r="A50" s="47">
        <v>43</v>
      </c>
      <c r="B50" s="86" t="s">
        <v>86</v>
      </c>
      <c r="C50" s="48" t="s">
        <v>87</v>
      </c>
      <c r="D50" s="75">
        <v>998929940.16999996</v>
      </c>
      <c r="E50" s="75">
        <v>11553113.880000001</v>
      </c>
      <c r="F50" s="78">
        <v>2560490.77</v>
      </c>
      <c r="G50" s="50">
        <v>8992623.1099999994</v>
      </c>
      <c r="H50" s="57">
        <v>1918312837.3</v>
      </c>
      <c r="I50" s="52">
        <f t="shared" si="22"/>
        <v>2.2593565399972094E-3</v>
      </c>
      <c r="J50" s="75">
        <v>1958460119.0699999</v>
      </c>
      <c r="K50" s="52">
        <f t="shared" si="23"/>
        <v>2.2990528995244061E-3</v>
      </c>
      <c r="L50" s="52">
        <f t="shared" si="17"/>
        <v>2.0928433042499341E-2</v>
      </c>
      <c r="M50" s="53">
        <f t="shared" si="18"/>
        <v>1.3074000052734707E-3</v>
      </c>
      <c r="N50" s="54">
        <f t="shared" si="19"/>
        <v>4.59168048531428E-3</v>
      </c>
      <c r="O50" s="55">
        <f t="shared" si="20"/>
        <v>1.0098709837481856</v>
      </c>
      <c r="P50" s="55">
        <f t="shared" si="21"/>
        <v>4.6370048887616781E-3</v>
      </c>
      <c r="Q50" s="49">
        <v>1</v>
      </c>
      <c r="R50" s="49">
        <v>1.01</v>
      </c>
      <c r="S50" s="49">
        <v>58</v>
      </c>
      <c r="T50" s="49">
        <v>1908141083.6500001</v>
      </c>
      <c r="U50" s="49">
        <v>1939317150.99</v>
      </c>
    </row>
    <row r="51" spans="1:21" ht="15.75">
      <c r="A51" s="47">
        <v>44</v>
      </c>
      <c r="B51" s="48" t="s">
        <v>88</v>
      </c>
      <c r="C51" s="48" t="s">
        <v>89</v>
      </c>
      <c r="D51" s="75">
        <v>1067522145.95</v>
      </c>
      <c r="E51" s="76">
        <v>14014635.890000001</v>
      </c>
      <c r="F51" s="81">
        <v>2307387.02</v>
      </c>
      <c r="G51" s="81">
        <v>11707248.859999999</v>
      </c>
      <c r="H51" s="57">
        <v>1471586009.7</v>
      </c>
      <c r="I51" s="52">
        <f t="shared" si="22"/>
        <v>1.733209208912847E-3</v>
      </c>
      <c r="J51" s="75">
        <v>1064093195.61</v>
      </c>
      <c r="K51" s="52">
        <f t="shared" si="23"/>
        <v>1.249148003020388E-3</v>
      </c>
      <c r="L51" s="52">
        <f t="shared" si="17"/>
        <v>-0.27690723573341947</v>
      </c>
      <c r="M51" s="53">
        <f t="shared" si="18"/>
        <v>2.1684068928542219E-3</v>
      </c>
      <c r="N51" s="54">
        <f t="shared" si="19"/>
        <v>1.100208976835786E-2</v>
      </c>
      <c r="O51" s="55">
        <f t="shared" si="20"/>
        <v>1.0155618589831181</v>
      </c>
      <c r="P51" s="55">
        <f t="shared" si="21"/>
        <v>1.117330273785265E-2</v>
      </c>
      <c r="Q51" s="49">
        <v>1</v>
      </c>
      <c r="R51" s="49">
        <v>1</v>
      </c>
      <c r="S51" s="49">
        <v>195</v>
      </c>
      <c r="T51" s="49">
        <v>1460059048.27</v>
      </c>
      <c r="U51" s="49">
        <v>1047787671.62</v>
      </c>
    </row>
    <row r="52" spans="1:21" ht="15.75">
      <c r="A52" s="47">
        <v>45</v>
      </c>
      <c r="B52" s="64" t="s">
        <v>90</v>
      </c>
      <c r="C52" s="64" t="s">
        <v>91</v>
      </c>
      <c r="D52" s="75">
        <v>25232942345.389999</v>
      </c>
      <c r="E52" s="75">
        <v>211178990.40000001</v>
      </c>
      <c r="F52" s="75">
        <v>30735634.359999999</v>
      </c>
      <c r="G52" s="50">
        <v>180443356.03999999</v>
      </c>
      <c r="H52" s="57">
        <v>25074484066.200001</v>
      </c>
      <c r="I52" s="52">
        <f t="shared" si="22"/>
        <v>2.9532304877739345E-2</v>
      </c>
      <c r="J52" s="75">
        <v>25497511191.939999</v>
      </c>
      <c r="K52" s="52">
        <f t="shared" si="23"/>
        <v>2.9931744060390762E-2</v>
      </c>
      <c r="L52" s="52">
        <f t="shared" si="17"/>
        <v>1.6870820736456613E-2</v>
      </c>
      <c r="M52" s="53">
        <f t="shared" si="18"/>
        <v>1.205436645507418E-3</v>
      </c>
      <c r="N52" s="54">
        <f t="shared" si="19"/>
        <v>7.0769007485342265E-3</v>
      </c>
      <c r="O52" s="55">
        <f t="shared" si="20"/>
        <v>1.0146087990934087</v>
      </c>
      <c r="P52" s="55">
        <f t="shared" si="21"/>
        <v>7.1802857697735563E-3</v>
      </c>
      <c r="Q52" s="49">
        <v>1</v>
      </c>
      <c r="R52" s="49">
        <v>1</v>
      </c>
      <c r="S52" s="49">
        <v>3023</v>
      </c>
      <c r="T52" s="49">
        <v>24886855966.68</v>
      </c>
      <c r="U52" s="49">
        <v>25130386425.509998</v>
      </c>
    </row>
    <row r="53" spans="1:21" ht="15.75" customHeight="1">
      <c r="A53" s="122" t="s">
        <v>49</v>
      </c>
      <c r="B53" s="122"/>
      <c r="C53" s="122"/>
      <c r="D53" s="122"/>
      <c r="E53" s="122"/>
      <c r="F53" s="122"/>
      <c r="G53" s="122"/>
      <c r="H53" s="87">
        <f>SUM(H24:H52)</f>
        <v>849052729545.00989</v>
      </c>
      <c r="I53" s="69">
        <f>(H53/$H$168)</f>
        <v>0.44358291134301625</v>
      </c>
      <c r="J53" s="74">
        <f>SUM(J24:J52)</f>
        <v>851855178919.6051</v>
      </c>
      <c r="K53" s="69">
        <f>(J53/$J$168)</f>
        <v>0.46026359705044151</v>
      </c>
      <c r="L53" s="70">
        <f t="shared" si="17"/>
        <v>3.3006776576726756E-3</v>
      </c>
      <c r="M53" s="53"/>
      <c r="N53" s="72"/>
      <c r="O53" s="73"/>
      <c r="P53" s="73"/>
      <c r="Q53" s="74"/>
      <c r="R53" s="74"/>
      <c r="S53" s="74">
        <f>SUM(S24:S52)</f>
        <v>279806</v>
      </c>
      <c r="T53" s="74"/>
      <c r="U53" s="74"/>
    </row>
    <row r="54" spans="1:21" ht="6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</row>
    <row r="55" spans="1:21" ht="15.75" customHeight="1">
      <c r="A55" s="136" t="s">
        <v>202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</row>
    <row r="56" spans="1:21" ht="13.5" customHeight="1">
      <c r="A56" s="47">
        <v>46</v>
      </c>
      <c r="B56" s="48" t="s">
        <v>92</v>
      </c>
      <c r="C56" s="48" t="s">
        <v>24</v>
      </c>
      <c r="D56" s="49">
        <v>456388099.55000001</v>
      </c>
      <c r="E56" s="49">
        <v>5643052.1399999997</v>
      </c>
      <c r="F56" s="49">
        <v>677803.44</v>
      </c>
      <c r="G56" s="50">
        <v>4965248.7</v>
      </c>
      <c r="H56" s="49">
        <v>477873436.89999998</v>
      </c>
      <c r="I56" s="52">
        <f>(H56/$H$85)</f>
        <v>1.5711102783170171E-3</v>
      </c>
      <c r="J56" s="49">
        <v>462659483.47000003</v>
      </c>
      <c r="K56" s="52">
        <f>(J56/$J$85)</f>
        <v>2.0673793598332889E-3</v>
      </c>
      <c r="L56" s="52">
        <f>((J56-H56)/H56)</f>
        <v>-3.1836784083865338E-2</v>
      </c>
      <c r="M56" s="53">
        <f t="shared" ref="M56:M84" si="28">(F56/J56)</f>
        <v>1.4650157712458312E-3</v>
      </c>
      <c r="N56" s="54">
        <f t="shared" ref="N56:N84" si="29">G56/J56</f>
        <v>1.0731972168299797E-2</v>
      </c>
      <c r="O56" s="55">
        <f t="shared" ref="O56:O84" si="30">J56/U56</f>
        <v>1.2900738761306494</v>
      </c>
      <c r="P56" s="55">
        <f t="shared" ref="P56:P84" si="31">G56/U56</f>
        <v>1.3845036933684768E-2</v>
      </c>
      <c r="Q56" s="49">
        <v>1.28</v>
      </c>
      <c r="R56" s="49">
        <v>1.28</v>
      </c>
      <c r="S56" s="49">
        <v>290</v>
      </c>
      <c r="T56" s="49">
        <v>357727799.64999998</v>
      </c>
      <c r="U56" s="49">
        <v>358630224.23000002</v>
      </c>
    </row>
    <row r="57" spans="1:21" ht="15" customHeight="1">
      <c r="A57" s="47">
        <v>47</v>
      </c>
      <c r="B57" s="48" t="s">
        <v>93</v>
      </c>
      <c r="C57" s="56" t="s">
        <v>26</v>
      </c>
      <c r="D57" s="49">
        <v>508254064.48000002</v>
      </c>
      <c r="E57" s="49">
        <v>5610486.4800000004</v>
      </c>
      <c r="F57" s="58" t="s">
        <v>223</v>
      </c>
      <c r="G57" s="49">
        <v>4335005.0999999996</v>
      </c>
      <c r="H57" s="57">
        <v>623217159</v>
      </c>
      <c r="I57" s="52">
        <f t="shared" ref="I57:I84" si="32">(H57/$H$85)</f>
        <v>2.0489585913797646E-3</v>
      </c>
      <c r="J57" s="49">
        <v>660643987</v>
      </c>
      <c r="K57" s="52">
        <f t="shared" ref="K57:K84" si="33">(J57/$J$85)</f>
        <v>2.9520668909196446E-3</v>
      </c>
      <c r="L57" s="52">
        <f t="shared" ref="L57:L85" si="34">((J57-H57)/H57)</f>
        <v>6.0054232235925965E-2</v>
      </c>
      <c r="M57" s="53">
        <f t="shared" si="28"/>
        <v>1.9306637237281022E-3</v>
      </c>
      <c r="N57" s="54">
        <f t="shared" si="29"/>
        <v>6.5617869613638054E-3</v>
      </c>
      <c r="O57" s="55">
        <f t="shared" si="30"/>
        <v>1.1363481314968467</v>
      </c>
      <c r="P57" s="55">
        <f t="shared" si="31"/>
        <v>7.4564743528261314E-3</v>
      </c>
      <c r="Q57" s="49">
        <v>1.1363000000000001</v>
      </c>
      <c r="R57" s="49">
        <v>1.1363000000000001</v>
      </c>
      <c r="S57" s="49">
        <v>408</v>
      </c>
      <c r="T57" s="49">
        <v>549699666</v>
      </c>
      <c r="U57" s="49">
        <v>581374641</v>
      </c>
    </row>
    <row r="58" spans="1:21" ht="15.75">
      <c r="A58" s="47">
        <v>48</v>
      </c>
      <c r="B58" s="48" t="s">
        <v>94</v>
      </c>
      <c r="C58" s="48" t="s">
        <v>95</v>
      </c>
      <c r="D58" s="49">
        <v>655563074.98000002</v>
      </c>
      <c r="E58" s="49">
        <v>6972166.0199999996</v>
      </c>
      <c r="F58" s="49">
        <v>1772701.88</v>
      </c>
      <c r="G58" s="50">
        <v>5199464.1399999997</v>
      </c>
      <c r="H58" s="57">
        <v>856578877</v>
      </c>
      <c r="I58" s="52">
        <f t="shared" si="32"/>
        <v>2.8161847341298583E-3</v>
      </c>
      <c r="J58" s="49">
        <v>858935416</v>
      </c>
      <c r="K58" s="52">
        <f t="shared" si="33"/>
        <v>3.8381259088215865E-3</v>
      </c>
      <c r="L58" s="52">
        <f t="shared" si="34"/>
        <v>2.7511056637928278E-3</v>
      </c>
      <c r="M58" s="53">
        <f t="shared" si="28"/>
        <v>2.0638360544676855E-3</v>
      </c>
      <c r="N58" s="54">
        <f t="shared" si="29"/>
        <v>6.0533819460065197E-3</v>
      </c>
      <c r="O58" s="55">
        <f t="shared" si="30"/>
        <v>1.0411008895719687</v>
      </c>
      <c r="P58" s="55">
        <f t="shared" si="31"/>
        <v>6.3021813289062829E-3</v>
      </c>
      <c r="Q58" s="49">
        <v>1.0412999999999999</v>
      </c>
      <c r="R58" s="49">
        <v>1.0412999999999999</v>
      </c>
      <c r="S58" s="49">
        <v>63</v>
      </c>
      <c r="T58" s="49">
        <v>827740708</v>
      </c>
      <c r="U58" s="49">
        <v>825026109</v>
      </c>
    </row>
    <row r="59" spans="1:21" ht="13.5" customHeight="1">
      <c r="A59" s="47">
        <v>49</v>
      </c>
      <c r="B59" s="48" t="s">
        <v>96</v>
      </c>
      <c r="C59" s="56" t="s">
        <v>97</v>
      </c>
      <c r="D59" s="51">
        <v>210931432.40000001</v>
      </c>
      <c r="E59" s="51">
        <v>2760478.57</v>
      </c>
      <c r="F59" s="49">
        <v>417163.83</v>
      </c>
      <c r="G59" s="50">
        <v>2343314.7400000002</v>
      </c>
      <c r="H59" s="49">
        <v>263139116.90000001</v>
      </c>
      <c r="I59" s="52">
        <f t="shared" si="32"/>
        <v>8.6512565726762857E-4</v>
      </c>
      <c r="J59" s="49">
        <v>257192339.91</v>
      </c>
      <c r="K59" s="52">
        <f t="shared" si="33"/>
        <v>1.1492558869630068E-3</v>
      </c>
      <c r="L59" s="52">
        <f t="shared" si="34"/>
        <v>-2.2599365157328341E-2</v>
      </c>
      <c r="M59" s="53">
        <f t="shared" si="28"/>
        <v>1.6219916586395196E-3</v>
      </c>
      <c r="N59" s="54">
        <f t="shared" si="29"/>
        <v>9.111137372209463E-3</v>
      </c>
      <c r="O59" s="55">
        <f t="shared" si="30"/>
        <v>1116.1408666840255</v>
      </c>
      <c r="P59" s="55">
        <f t="shared" si="31"/>
        <v>10.169312763095084</v>
      </c>
      <c r="Q59" s="49">
        <v>1116.1400000000001</v>
      </c>
      <c r="R59" s="49">
        <v>1116.1400000000001</v>
      </c>
      <c r="S59" s="49">
        <v>111</v>
      </c>
      <c r="T59" s="49">
        <v>228900</v>
      </c>
      <c r="U59" s="49">
        <v>230430</v>
      </c>
    </row>
    <row r="60" spans="1:21" ht="15" customHeight="1">
      <c r="A60" s="47">
        <v>50</v>
      </c>
      <c r="B60" s="48" t="s">
        <v>98</v>
      </c>
      <c r="C60" s="56" t="s">
        <v>99</v>
      </c>
      <c r="D60" s="49">
        <v>1387946713.3399999</v>
      </c>
      <c r="E60" s="49">
        <v>10437896.710000001</v>
      </c>
      <c r="F60" s="49">
        <v>2003179.49</v>
      </c>
      <c r="G60" s="50">
        <v>8434717.2200000007</v>
      </c>
      <c r="H60" s="49">
        <v>1321847189.8199999</v>
      </c>
      <c r="I60" s="52">
        <f t="shared" si="32"/>
        <v>4.3458529935516219E-3</v>
      </c>
      <c r="J60" s="49">
        <v>1424350225.4100001</v>
      </c>
      <c r="K60" s="52">
        <f t="shared" si="33"/>
        <v>6.3646642128702127E-3</v>
      </c>
      <c r="L60" s="52">
        <f t="shared" si="34"/>
        <v>7.7545299017474409E-2</v>
      </c>
      <c r="M60" s="53">
        <f t="shared" si="28"/>
        <v>1.4063812777671192E-3</v>
      </c>
      <c r="N60" s="54">
        <f t="shared" si="29"/>
        <v>5.9218000387313884E-3</v>
      </c>
      <c r="O60" s="55">
        <f t="shared" si="30"/>
        <v>1.0227774558990166</v>
      </c>
      <c r="P60" s="55">
        <f t="shared" si="31"/>
        <v>6.0566835779563878E-3</v>
      </c>
      <c r="Q60" s="50">
        <v>1.0234000000000001</v>
      </c>
      <c r="R60" s="50">
        <v>1.0234000000000001</v>
      </c>
      <c r="S60" s="49">
        <v>765</v>
      </c>
      <c r="T60" s="49">
        <v>1349546345.5</v>
      </c>
      <c r="U60" s="49">
        <v>1392629664.6400001</v>
      </c>
    </row>
    <row r="61" spans="1:21" ht="15.75">
      <c r="A61" s="47">
        <v>51</v>
      </c>
      <c r="B61" s="48" t="s">
        <v>277</v>
      </c>
      <c r="C61" s="48" t="s">
        <v>100</v>
      </c>
      <c r="D61" s="49">
        <v>439313028.38999999</v>
      </c>
      <c r="E61" s="49">
        <v>4088613.51</v>
      </c>
      <c r="F61" s="49">
        <v>988777.41</v>
      </c>
      <c r="G61" s="50">
        <v>3099836.1</v>
      </c>
      <c r="H61" s="49">
        <v>430823976.25999999</v>
      </c>
      <c r="I61" s="52">
        <f t="shared" si="32"/>
        <v>1.4164251975134058E-3</v>
      </c>
      <c r="J61" s="49">
        <v>433493812.36000001</v>
      </c>
      <c r="K61" s="52">
        <f t="shared" si="33"/>
        <v>1.937053475197208E-3</v>
      </c>
      <c r="L61" s="52">
        <f t="shared" si="34"/>
        <v>6.1970462349309734E-3</v>
      </c>
      <c r="M61" s="53">
        <f t="shared" si="28"/>
        <v>2.2809493049438462E-3</v>
      </c>
      <c r="N61" s="54">
        <f t="shared" si="29"/>
        <v>7.1508197155665627E-3</v>
      </c>
      <c r="O61" s="55">
        <f t="shared" si="30"/>
        <v>2.2400004560225257</v>
      </c>
      <c r="P61" s="55">
        <f t="shared" si="31"/>
        <v>1.6017839423803967E-2</v>
      </c>
      <c r="Q61" s="49">
        <v>2.2440000000000002</v>
      </c>
      <c r="R61" s="49">
        <v>2.2440000000000002</v>
      </c>
      <c r="S61" s="49">
        <v>1403</v>
      </c>
      <c r="T61" s="49">
        <v>193716101.7471</v>
      </c>
      <c r="U61" s="49">
        <v>193523983.97710001</v>
      </c>
    </row>
    <row r="62" spans="1:21" ht="12.75" customHeight="1">
      <c r="A62" s="47">
        <v>52</v>
      </c>
      <c r="B62" s="48" t="s">
        <v>101</v>
      </c>
      <c r="C62" s="48" t="s">
        <v>42</v>
      </c>
      <c r="D62" s="49">
        <v>1574095604.3599999</v>
      </c>
      <c r="E62" s="49">
        <v>15096593</v>
      </c>
      <c r="F62" s="49">
        <v>6500075</v>
      </c>
      <c r="G62" s="50">
        <v>8596518</v>
      </c>
      <c r="H62" s="49">
        <v>1457254413</v>
      </c>
      <c r="I62" s="52">
        <f t="shared" si="32"/>
        <v>4.791032958934344E-3</v>
      </c>
      <c r="J62" s="49">
        <v>1573890429</v>
      </c>
      <c r="K62" s="52">
        <f t="shared" si="33"/>
        <v>7.032879912348639E-3</v>
      </c>
      <c r="L62" s="52">
        <f t="shared" si="34"/>
        <v>8.0038197146293358E-2</v>
      </c>
      <c r="M62" s="53">
        <f t="shared" si="28"/>
        <v>4.129941246373765E-3</v>
      </c>
      <c r="N62" s="54">
        <f t="shared" si="29"/>
        <v>5.461954556431196E-3</v>
      </c>
      <c r="O62" s="55">
        <f t="shared" si="30"/>
        <v>100.37357186492348</v>
      </c>
      <c r="P62" s="55">
        <f t="shared" si="31"/>
        <v>0.54823588819289293</v>
      </c>
      <c r="Q62" s="49">
        <v>100.37</v>
      </c>
      <c r="R62" s="49">
        <v>100.37</v>
      </c>
      <c r="S62" s="49">
        <v>117</v>
      </c>
      <c r="T62" s="49">
        <v>14584746</v>
      </c>
      <c r="U62" s="49">
        <v>15680327</v>
      </c>
    </row>
    <row r="63" spans="1:21" ht="15.75">
      <c r="A63" s="47">
        <v>53</v>
      </c>
      <c r="B63" s="56" t="s">
        <v>102</v>
      </c>
      <c r="C63" s="48" t="s">
        <v>58</v>
      </c>
      <c r="D63" s="49">
        <v>2822353471.6500001</v>
      </c>
      <c r="E63" s="49">
        <v>24412021.030000001</v>
      </c>
      <c r="F63" s="49">
        <v>5442280.0800000001</v>
      </c>
      <c r="G63" s="50">
        <v>18969740.949999999</v>
      </c>
      <c r="H63" s="49">
        <v>3374324163.1100001</v>
      </c>
      <c r="I63" s="52">
        <f t="shared" si="32"/>
        <v>1.109380636309561E-2</v>
      </c>
      <c r="J63" s="49">
        <v>2788157918.0500002</v>
      </c>
      <c r="K63" s="52">
        <f t="shared" si="33"/>
        <v>1.2458796020996485E-2</v>
      </c>
      <c r="L63" s="52">
        <f t="shared" si="34"/>
        <v>-0.17371367323516138</v>
      </c>
      <c r="M63" s="53">
        <f t="shared" si="28"/>
        <v>1.9519267702764328E-3</v>
      </c>
      <c r="N63" s="54">
        <f t="shared" si="29"/>
        <v>6.8036823980426398E-3</v>
      </c>
      <c r="O63" s="55">
        <f t="shared" si="30"/>
        <v>3901.320099554147</v>
      </c>
      <c r="P63" s="55">
        <f t="shared" si="31"/>
        <v>26.543342890466509</v>
      </c>
      <c r="Q63" s="49">
        <v>3901.32</v>
      </c>
      <c r="R63" s="49">
        <v>3901.32</v>
      </c>
      <c r="S63" s="49">
        <v>1031</v>
      </c>
      <c r="T63" s="49">
        <v>870175.59</v>
      </c>
      <c r="U63" s="49">
        <v>714670.38</v>
      </c>
    </row>
    <row r="64" spans="1:21" ht="15.75">
      <c r="A64" s="47">
        <v>54</v>
      </c>
      <c r="B64" s="48" t="s">
        <v>103</v>
      </c>
      <c r="C64" s="48" t="s">
        <v>60</v>
      </c>
      <c r="D64" s="49">
        <v>313948314.39999998</v>
      </c>
      <c r="E64" s="49">
        <v>3375080.51</v>
      </c>
      <c r="F64" s="49">
        <v>685016.98</v>
      </c>
      <c r="G64" s="50">
        <v>2690063.53</v>
      </c>
      <c r="H64" s="49">
        <v>349946497.24000001</v>
      </c>
      <c r="I64" s="52">
        <f t="shared" si="32"/>
        <v>1.1505233315361155E-3</v>
      </c>
      <c r="J64" s="49">
        <v>334323586.37</v>
      </c>
      <c r="K64" s="52">
        <f t="shared" si="33"/>
        <v>1.493914437423603E-3</v>
      </c>
      <c r="L64" s="52">
        <f t="shared" si="34"/>
        <v>-4.464371266241169E-2</v>
      </c>
      <c r="M64" s="53">
        <f t="shared" si="28"/>
        <v>2.0489639616448818E-3</v>
      </c>
      <c r="N64" s="54">
        <f t="shared" si="29"/>
        <v>8.0462870095646608E-3</v>
      </c>
      <c r="O64" s="55">
        <f t="shared" si="30"/>
        <v>107.48219624034962</v>
      </c>
      <c r="P64" s="55">
        <f t="shared" si="31"/>
        <v>0.86483259936820478</v>
      </c>
      <c r="Q64" s="49">
        <v>107.94</v>
      </c>
      <c r="R64" s="49">
        <v>107.94</v>
      </c>
      <c r="S64" s="49">
        <v>119</v>
      </c>
      <c r="T64" s="49">
        <v>3108785</v>
      </c>
      <c r="U64" s="49">
        <v>3110502</v>
      </c>
    </row>
    <row r="65" spans="1:21" ht="15.75">
      <c r="A65" s="47">
        <v>55</v>
      </c>
      <c r="B65" s="56" t="s">
        <v>104</v>
      </c>
      <c r="C65" s="56" t="s">
        <v>64</v>
      </c>
      <c r="D65" s="49">
        <v>350719929.79000002</v>
      </c>
      <c r="E65" s="49">
        <v>2781662.46</v>
      </c>
      <c r="F65" s="49">
        <v>740571.15</v>
      </c>
      <c r="G65" s="50">
        <v>2041091.31</v>
      </c>
      <c r="H65" s="57">
        <v>354179150.51999998</v>
      </c>
      <c r="I65" s="52">
        <f t="shared" si="32"/>
        <v>1.1644390769181962E-3</v>
      </c>
      <c r="J65" s="49">
        <v>331544999.63</v>
      </c>
      <c r="K65" s="52">
        <f t="shared" si="33"/>
        <v>1.4814984099108871E-3</v>
      </c>
      <c r="L65" s="52">
        <f t="shared" si="34"/>
        <v>-6.3905938158044878E-2</v>
      </c>
      <c r="M65" s="53">
        <f t="shared" si="28"/>
        <v>2.2336972381621439E-3</v>
      </c>
      <c r="N65" s="54">
        <f t="shared" si="29"/>
        <v>6.1563024997446257E-3</v>
      </c>
      <c r="O65" s="55">
        <f t="shared" si="30"/>
        <v>1.3663339703345547</v>
      </c>
      <c r="P65" s="55">
        <f t="shared" si="31"/>
        <v>8.4115652370566184E-3</v>
      </c>
      <c r="Q65" s="49">
        <v>1.3663000000000001</v>
      </c>
      <c r="R65" s="49">
        <v>1.3663000000000001</v>
      </c>
      <c r="S65" s="49">
        <v>240</v>
      </c>
      <c r="T65" s="49">
        <v>242463254.40000001</v>
      </c>
      <c r="U65" s="49">
        <v>242652972.72</v>
      </c>
    </row>
    <row r="66" spans="1:21" ht="15.75">
      <c r="A66" s="47">
        <v>56</v>
      </c>
      <c r="B66" s="48" t="s">
        <v>268</v>
      </c>
      <c r="C66" s="48" t="s">
        <v>46</v>
      </c>
      <c r="D66" s="49">
        <f>34800849.82+30173451.12+5879879.03</f>
        <v>70854179.969999999</v>
      </c>
      <c r="E66" s="49">
        <v>809434.71</v>
      </c>
      <c r="F66" s="49">
        <v>107181.61</v>
      </c>
      <c r="G66" s="50">
        <v>702253.1</v>
      </c>
      <c r="H66" s="49">
        <v>70436025.890000001</v>
      </c>
      <c r="I66" s="52">
        <f t="shared" si="32"/>
        <v>2.3157337423368831E-4</v>
      </c>
      <c r="J66" s="49">
        <v>71456856.540000007</v>
      </c>
      <c r="K66" s="52">
        <f t="shared" si="33"/>
        <v>3.1930271745730563E-4</v>
      </c>
      <c r="L66" s="52">
        <f t="shared" ref="L66" si="35">((J66-H66)/H66)</f>
        <v>1.4493018836614064E-2</v>
      </c>
      <c r="M66" s="53">
        <f t="shared" ref="M66" si="36">(F66/J66)</f>
        <v>1.499948573024648E-3</v>
      </c>
      <c r="N66" s="54">
        <f t="shared" ref="N66" si="37">G66/J66</f>
        <v>9.8276517328591672E-3</v>
      </c>
      <c r="O66" s="55">
        <f t="shared" ref="O66" si="38">J66/U66</f>
        <v>108.15770750426373</v>
      </c>
      <c r="P66" s="55">
        <f t="shared" ref="P66" si="39">G66/U66</f>
        <v>1.0629362815763523</v>
      </c>
      <c r="Q66" s="49">
        <v>108.15770000000001</v>
      </c>
      <c r="R66" s="49">
        <v>108.15770000000001</v>
      </c>
      <c r="S66" s="49">
        <v>66</v>
      </c>
      <c r="T66" s="49">
        <v>657646.05000000005</v>
      </c>
      <c r="U66" s="49">
        <v>660672.81000000006</v>
      </c>
    </row>
    <row r="67" spans="1:21" ht="15.75">
      <c r="A67" s="47">
        <v>57</v>
      </c>
      <c r="B67" s="48" t="s">
        <v>105</v>
      </c>
      <c r="C67" s="48" t="s">
        <v>106</v>
      </c>
      <c r="D67" s="49">
        <v>533408537.66000003</v>
      </c>
      <c r="E67" s="49">
        <v>11259118.039999999</v>
      </c>
      <c r="F67" s="49">
        <v>10043676.050000001</v>
      </c>
      <c r="G67" s="50">
        <v>215441.99</v>
      </c>
      <c r="H67" s="57">
        <v>689555451.47000003</v>
      </c>
      <c r="I67" s="52">
        <f t="shared" si="32"/>
        <v>2.2670597978869333E-3</v>
      </c>
      <c r="J67" s="49">
        <v>835521622.13999999</v>
      </c>
      <c r="K67" s="52">
        <f t="shared" si="33"/>
        <v>3.7335021068873632E-3</v>
      </c>
      <c r="L67" s="52">
        <f t="shared" si="34"/>
        <v>0.21168155564404292</v>
      </c>
      <c r="M67" s="53">
        <f t="shared" si="28"/>
        <v>1.2020845162900024E-2</v>
      </c>
      <c r="N67" s="54">
        <f t="shared" si="29"/>
        <v>2.5785327906678704E-4</v>
      </c>
      <c r="O67" s="55">
        <v>3901.32</v>
      </c>
      <c r="P67" s="55">
        <f t="shared" si="31"/>
        <v>0.2868577936261783</v>
      </c>
      <c r="Q67" s="49">
        <v>1000</v>
      </c>
      <c r="R67" s="49">
        <v>1000</v>
      </c>
      <c r="S67" s="49">
        <v>272</v>
      </c>
      <c r="T67" s="49">
        <v>598619.09</v>
      </c>
      <c r="U67" s="49">
        <v>751041.09</v>
      </c>
    </row>
    <row r="68" spans="1:21" ht="15.75">
      <c r="A68" s="47">
        <v>58</v>
      </c>
      <c r="B68" s="48" t="s">
        <v>107</v>
      </c>
      <c r="C68" s="48" t="s">
        <v>66</v>
      </c>
      <c r="D68" s="49">
        <v>237389536.09</v>
      </c>
      <c r="E68" s="49">
        <v>2496382.9700000002</v>
      </c>
      <c r="F68" s="49">
        <v>612788.98</v>
      </c>
      <c r="G68" s="50">
        <v>1883593.99</v>
      </c>
      <c r="H68" s="49">
        <v>275124069.97000003</v>
      </c>
      <c r="I68" s="52">
        <f t="shared" si="32"/>
        <v>9.0452873243241207E-4</v>
      </c>
      <c r="J68" s="49">
        <v>238940724.22</v>
      </c>
      <c r="K68" s="52">
        <f t="shared" si="33"/>
        <v>1.0676991159267505E-3</v>
      </c>
      <c r="L68" s="52">
        <f t="shared" si="34"/>
        <v>-0.13151646729399402</v>
      </c>
      <c r="M68" s="53">
        <f t="shared" si="28"/>
        <v>2.5646066906359023E-3</v>
      </c>
      <c r="N68" s="54">
        <f t="shared" si="29"/>
        <v>7.8831015355327952E-3</v>
      </c>
      <c r="O68" s="55">
        <f t="shared" si="30"/>
        <v>1105.8128547693645</v>
      </c>
      <c r="P68" s="55">
        <f t="shared" si="31"/>
        <v>8.7172350134442809</v>
      </c>
      <c r="Q68" s="49">
        <v>1103.1199999999999</v>
      </c>
      <c r="R68" s="49">
        <v>1105.81</v>
      </c>
      <c r="S68" s="49">
        <v>281</v>
      </c>
      <c r="T68" s="49">
        <v>248140</v>
      </c>
      <c r="U68" s="49">
        <v>216077</v>
      </c>
    </row>
    <row r="69" spans="1:21" ht="15.75">
      <c r="A69" s="47">
        <v>59</v>
      </c>
      <c r="B69" s="64" t="s">
        <v>108</v>
      </c>
      <c r="C69" s="66" t="s">
        <v>69</v>
      </c>
      <c r="D69" s="49">
        <v>216502636.56999999</v>
      </c>
      <c r="E69" s="49">
        <v>6137722.7300000004</v>
      </c>
      <c r="F69" s="49">
        <v>1515161.14</v>
      </c>
      <c r="G69" s="50">
        <v>4622561.59</v>
      </c>
      <c r="H69" s="67">
        <v>728144212.71000004</v>
      </c>
      <c r="I69" s="52">
        <f t="shared" si="32"/>
        <v>2.3939285349420382E-3</v>
      </c>
      <c r="J69" s="49">
        <v>733304847.96000004</v>
      </c>
      <c r="K69" s="52">
        <f t="shared" si="33"/>
        <v>3.2767496642841314E-3</v>
      </c>
      <c r="L69" s="52">
        <f t="shared" si="34"/>
        <v>7.0873807137643765E-3</v>
      </c>
      <c r="M69" s="53">
        <f t="shared" si="28"/>
        <v>2.0662090864598352E-3</v>
      </c>
      <c r="N69" s="54">
        <f t="shared" si="29"/>
        <v>6.3037379377207511E-3</v>
      </c>
      <c r="O69" s="55">
        <f t="shared" si="30"/>
        <v>1.0773375459118426</v>
      </c>
      <c r="P69" s="55">
        <f t="shared" si="31"/>
        <v>6.7912535598954544E-3</v>
      </c>
      <c r="Q69" s="49">
        <v>1.08</v>
      </c>
      <c r="R69" s="49">
        <v>1.08</v>
      </c>
      <c r="S69" s="49">
        <v>42</v>
      </c>
      <c r="T69" s="49">
        <v>680014723.14999998</v>
      </c>
      <c r="U69" s="49">
        <v>680663967.14999998</v>
      </c>
    </row>
    <row r="70" spans="1:21" ht="15.75">
      <c r="A70" s="47">
        <v>60</v>
      </c>
      <c r="B70" s="48" t="s">
        <v>273</v>
      </c>
      <c r="C70" s="48" t="s">
        <v>30</v>
      </c>
      <c r="D70" s="49">
        <v>68642815231.970001</v>
      </c>
      <c r="E70" s="49">
        <v>757093252.00999999</v>
      </c>
      <c r="F70" s="49">
        <v>80739713.420000002</v>
      </c>
      <c r="G70" s="50">
        <v>676353538.59000003</v>
      </c>
      <c r="H70" s="57">
        <v>67596057640.660004</v>
      </c>
      <c r="I70" s="52">
        <f t="shared" si="32"/>
        <v>0.22223637627126389</v>
      </c>
      <c r="J70" s="49">
        <v>68642815231.970001</v>
      </c>
      <c r="K70" s="52">
        <f t="shared" si="33"/>
        <v>0.30672826232173561</v>
      </c>
      <c r="L70" s="52">
        <f t="shared" si="34"/>
        <v>1.548548284982167E-2</v>
      </c>
      <c r="M70" s="53">
        <f t="shared" si="28"/>
        <v>1.1762296337519086E-3</v>
      </c>
      <c r="N70" s="54">
        <f t="shared" si="29"/>
        <v>9.8532313440867179E-3</v>
      </c>
      <c r="O70" s="55">
        <f t="shared" si="30"/>
        <v>1587.1764146697503</v>
      </c>
      <c r="P70" s="55">
        <f t="shared" si="31"/>
        <v>15.638816397619163</v>
      </c>
      <c r="Q70" s="50">
        <v>1587.17</v>
      </c>
      <c r="R70" s="50">
        <v>1587.17</v>
      </c>
      <c r="S70" s="49">
        <v>2452</v>
      </c>
      <c r="T70" s="49">
        <v>68642815231.970001</v>
      </c>
      <c r="U70" s="49">
        <v>43248384.109999999</v>
      </c>
    </row>
    <row r="71" spans="1:21" ht="15.75">
      <c r="A71" s="47">
        <v>61</v>
      </c>
      <c r="B71" s="48" t="s">
        <v>109</v>
      </c>
      <c r="C71" s="48" t="s">
        <v>75</v>
      </c>
      <c r="D71" s="49">
        <v>22735438.449999999</v>
      </c>
      <c r="E71" s="49">
        <v>269890.45</v>
      </c>
      <c r="F71" s="49">
        <v>253268.74</v>
      </c>
      <c r="G71" s="50">
        <v>16621.71</v>
      </c>
      <c r="H71" s="49">
        <v>22023612.440000001</v>
      </c>
      <c r="I71" s="52">
        <f t="shared" si="32"/>
        <v>7.2407296991892139E-5</v>
      </c>
      <c r="J71" s="49">
        <v>24320763.870000001</v>
      </c>
      <c r="K71" s="52">
        <f t="shared" si="33"/>
        <v>1.0867656891653769E-4</v>
      </c>
      <c r="L71" s="52">
        <f t="shared" si="34"/>
        <v>0.10430402533908736</v>
      </c>
      <c r="M71" s="53">
        <f t="shared" si="28"/>
        <v>1.0413683606065123E-2</v>
      </c>
      <c r="N71" s="54">
        <f t="shared" si="29"/>
        <v>6.8343700423419303E-4</v>
      </c>
      <c r="O71" s="55">
        <f t="shared" si="30"/>
        <v>0.74079827703042977</v>
      </c>
      <c r="P71" s="55">
        <f t="shared" si="31"/>
        <v>5.0628895519552871E-4</v>
      </c>
      <c r="Q71" s="50">
        <v>0.74070000000000003</v>
      </c>
      <c r="R71" s="50">
        <v>0.74070000000000003</v>
      </c>
      <c r="S71" s="49">
        <v>748</v>
      </c>
      <c r="T71" s="49">
        <v>33516724.43</v>
      </c>
      <c r="U71" s="49">
        <v>32830481.149999999</v>
      </c>
    </row>
    <row r="72" spans="1:21" ht="15" customHeight="1">
      <c r="A72" s="47">
        <v>62</v>
      </c>
      <c r="B72" s="66" t="s">
        <v>110</v>
      </c>
      <c r="C72" s="66" t="s">
        <v>111</v>
      </c>
      <c r="D72" s="49">
        <v>1113370709.55</v>
      </c>
      <c r="E72" s="49">
        <v>41209985.990000002</v>
      </c>
      <c r="F72" s="49">
        <v>12375393.25</v>
      </c>
      <c r="G72" s="50">
        <v>28834592.739999998</v>
      </c>
      <c r="H72" s="60">
        <v>1105604970.48</v>
      </c>
      <c r="I72" s="52">
        <f t="shared" si="32"/>
        <v>3.6349108336042571E-3</v>
      </c>
      <c r="J72" s="49">
        <v>1105604970.48</v>
      </c>
      <c r="K72" s="52">
        <f t="shared" si="33"/>
        <v>4.9403610598369061E-3</v>
      </c>
      <c r="L72" s="52">
        <f t="shared" si="34"/>
        <v>0</v>
      </c>
      <c r="M72" s="53">
        <f t="shared" si="28"/>
        <v>1.1193322733188514E-2</v>
      </c>
      <c r="N72" s="54">
        <f t="shared" si="29"/>
        <v>2.6080375459492929E-2</v>
      </c>
      <c r="O72" s="55">
        <f t="shared" si="30"/>
        <v>206.89014214840162</v>
      </c>
      <c r="P72" s="55">
        <f t="shared" si="31"/>
        <v>5.3957725860981771</v>
      </c>
      <c r="Q72" s="50">
        <v>206.82</v>
      </c>
      <c r="R72" s="50">
        <v>208.34</v>
      </c>
      <c r="S72" s="49">
        <v>485</v>
      </c>
      <c r="T72" s="49">
        <v>5326494.46</v>
      </c>
      <c r="U72" s="49">
        <v>5343922.91</v>
      </c>
    </row>
    <row r="73" spans="1:21" ht="15.75">
      <c r="A73" s="47">
        <v>63</v>
      </c>
      <c r="B73" s="64" t="s">
        <v>112</v>
      </c>
      <c r="C73" s="66" t="s">
        <v>36</v>
      </c>
      <c r="D73" s="49">
        <v>1249463771.0999999</v>
      </c>
      <c r="E73" s="49">
        <v>10081584.68</v>
      </c>
      <c r="F73" s="49">
        <v>1576754.83</v>
      </c>
      <c r="G73" s="50">
        <v>8504829.8499999996</v>
      </c>
      <c r="H73" s="49">
        <v>1241430106.8900001</v>
      </c>
      <c r="I73" s="52">
        <f t="shared" si="32"/>
        <v>4.0814647773678601E-3</v>
      </c>
      <c r="J73" s="49">
        <v>1239521834.0699999</v>
      </c>
      <c r="K73" s="52">
        <f t="shared" si="33"/>
        <v>5.5387643555893599E-3</v>
      </c>
      <c r="L73" s="52">
        <f t="shared" si="34"/>
        <v>-1.5371568720696886E-3</v>
      </c>
      <c r="M73" s="53">
        <f t="shared" si="28"/>
        <v>1.2720670073416032E-3</v>
      </c>
      <c r="N73" s="54">
        <f t="shared" si="29"/>
        <v>6.8613796193280315E-3</v>
      </c>
      <c r="O73" s="55">
        <f t="shared" si="30"/>
        <v>3.1062462348109676</v>
      </c>
      <c r="P73" s="55">
        <f t="shared" si="31"/>
        <v>2.1313134608146409E-2</v>
      </c>
      <c r="Q73" s="50">
        <v>3.52</v>
      </c>
      <c r="R73" s="50">
        <v>3.52</v>
      </c>
      <c r="S73" s="49">
        <v>787</v>
      </c>
      <c r="T73" s="49">
        <v>400244510</v>
      </c>
      <c r="U73" s="49">
        <v>399041718</v>
      </c>
    </row>
    <row r="74" spans="1:21" ht="15.75">
      <c r="A74" s="47">
        <v>64</v>
      </c>
      <c r="B74" s="48" t="s">
        <v>115</v>
      </c>
      <c r="C74" s="48" t="s">
        <v>22</v>
      </c>
      <c r="D74" s="49">
        <v>1628549021.1300001</v>
      </c>
      <c r="E74" s="49">
        <v>16926213.34</v>
      </c>
      <c r="F74" s="49">
        <v>2110858.39</v>
      </c>
      <c r="G74" s="50">
        <v>14815354.949999999</v>
      </c>
      <c r="H74" s="49">
        <v>1592420649.72</v>
      </c>
      <c r="I74" s="52">
        <f t="shared" si="32"/>
        <v>5.2354206302178217E-3</v>
      </c>
      <c r="J74" s="49">
        <v>1611850740.3399999</v>
      </c>
      <c r="K74" s="52">
        <f t="shared" si="33"/>
        <v>7.2025043704242947E-3</v>
      </c>
      <c r="L74" s="52">
        <f t="shared" si="34"/>
        <v>1.2201606794923398E-2</v>
      </c>
      <c r="M74" s="53">
        <f t="shared" si="28"/>
        <v>1.3095867608403622E-3</v>
      </c>
      <c r="N74" s="54">
        <f t="shared" si="29"/>
        <v>9.1915179111900173E-3</v>
      </c>
      <c r="O74" s="55">
        <f t="shared" si="30"/>
        <v>334.97481189143588</v>
      </c>
      <c r="P74" s="55">
        <f t="shared" si="31"/>
        <v>3.0789269832976398</v>
      </c>
      <c r="Q74" s="49">
        <v>334.97480000000002</v>
      </c>
      <c r="R74" s="49">
        <v>334.97480000000002</v>
      </c>
      <c r="S74" s="49">
        <v>102</v>
      </c>
      <c r="T74" s="49">
        <v>4796803.5705000004</v>
      </c>
      <c r="U74" s="49">
        <v>4811856.5429999996</v>
      </c>
    </row>
    <row r="75" spans="1:21" ht="15.75">
      <c r="A75" s="47">
        <v>65</v>
      </c>
      <c r="B75" s="56" t="s">
        <v>116</v>
      </c>
      <c r="C75" s="56" t="s">
        <v>40</v>
      </c>
      <c r="D75" s="49">
        <v>55095818.479999997</v>
      </c>
      <c r="E75" s="49">
        <v>938278.46</v>
      </c>
      <c r="F75" s="49">
        <v>154047.47</v>
      </c>
      <c r="G75" s="50">
        <v>784230.99</v>
      </c>
      <c r="H75" s="49">
        <v>55840293.229999997</v>
      </c>
      <c r="I75" s="52">
        <f t="shared" si="32"/>
        <v>1.8358680743380139E-4</v>
      </c>
      <c r="J75" s="49">
        <v>55075612.289999999</v>
      </c>
      <c r="K75" s="52">
        <f t="shared" si="33"/>
        <v>2.4610364241222716E-4</v>
      </c>
      <c r="L75" s="52">
        <f t="shared" si="34"/>
        <v>-1.3694070997270042E-2</v>
      </c>
      <c r="M75" s="53">
        <f t="shared" si="28"/>
        <v>2.7970178377475828E-3</v>
      </c>
      <c r="N75" s="54">
        <f t="shared" si="29"/>
        <v>1.4239169704925671E-2</v>
      </c>
      <c r="O75" s="55">
        <f t="shared" si="30"/>
        <v>12.197977539116453</v>
      </c>
      <c r="P75" s="55">
        <f t="shared" si="31"/>
        <v>0.17368907223635077</v>
      </c>
      <c r="Q75" s="49">
        <v>11.84</v>
      </c>
      <c r="R75" s="49">
        <v>12.23</v>
      </c>
      <c r="S75" s="49">
        <v>53</v>
      </c>
      <c r="T75" s="49">
        <v>4591172.95</v>
      </c>
      <c r="U75" s="49">
        <v>4515142.95</v>
      </c>
    </row>
    <row r="76" spans="1:21" ht="15.75">
      <c r="A76" s="47">
        <v>66</v>
      </c>
      <c r="B76" s="48" t="s">
        <v>117</v>
      </c>
      <c r="C76" s="48" t="s">
        <v>118</v>
      </c>
      <c r="D76" s="49">
        <v>6848469251.7600002</v>
      </c>
      <c r="E76" s="49">
        <v>68083417.859999999</v>
      </c>
      <c r="F76" s="49">
        <v>9560537.0899999999</v>
      </c>
      <c r="G76" s="50">
        <v>58522880.770000003</v>
      </c>
      <c r="H76" s="49">
        <v>6923768306</v>
      </c>
      <c r="I76" s="52">
        <f t="shared" si="32"/>
        <v>2.2763356801768705E-2</v>
      </c>
      <c r="J76" s="49">
        <v>6824743134</v>
      </c>
      <c r="K76" s="52">
        <f t="shared" si="33"/>
        <v>3.0496150182795157E-2</v>
      </c>
      <c r="L76" s="52">
        <f t="shared" si="34"/>
        <v>-1.4302207645248146E-2</v>
      </c>
      <c r="M76" s="53">
        <f t="shared" si="28"/>
        <v>1.4008640182178614E-3</v>
      </c>
      <c r="N76" s="54">
        <f t="shared" si="29"/>
        <v>8.5751037981849423E-3</v>
      </c>
      <c r="O76" s="55">
        <f t="shared" si="30"/>
        <v>1.0700000000360599</v>
      </c>
      <c r="P76" s="55">
        <f t="shared" si="31"/>
        <v>9.1753610643671053E-3</v>
      </c>
      <c r="Q76" s="49">
        <v>1.07</v>
      </c>
      <c r="R76" s="49">
        <v>1.07</v>
      </c>
      <c r="S76" s="49">
        <v>3316</v>
      </c>
      <c r="T76" s="49">
        <v>6470811501</v>
      </c>
      <c r="U76" s="49">
        <v>6378264611</v>
      </c>
    </row>
    <row r="77" spans="1:21" ht="15.75">
      <c r="A77" s="47">
        <v>67</v>
      </c>
      <c r="B77" s="56" t="s">
        <v>119</v>
      </c>
      <c r="C77" s="48" t="s">
        <v>44</v>
      </c>
      <c r="D77" s="58" t="s">
        <v>224</v>
      </c>
      <c r="E77" s="88">
        <v>216902399.69</v>
      </c>
      <c r="F77" s="58" t="s">
        <v>225</v>
      </c>
      <c r="G77" s="58" t="s">
        <v>226</v>
      </c>
      <c r="H77" s="57">
        <v>23540018055.41</v>
      </c>
      <c r="I77" s="52">
        <f t="shared" si="32"/>
        <v>7.73928020744164E-2</v>
      </c>
      <c r="J77" s="88" t="s">
        <v>227</v>
      </c>
      <c r="K77" s="52">
        <f t="shared" si="33"/>
        <v>0.10545827658893453</v>
      </c>
      <c r="L77" s="52">
        <f t="shared" si="34"/>
        <v>2.5710750275355111E-3</v>
      </c>
      <c r="M77" s="53">
        <f t="shared" si="28"/>
        <v>1.1583526597583427E-3</v>
      </c>
      <c r="N77" s="54">
        <f t="shared" si="29"/>
        <v>8.0322162250204207E-3</v>
      </c>
      <c r="O77" s="55">
        <f t="shared" si="30"/>
        <v>4847.4829728116292</v>
      </c>
      <c r="P77" s="55">
        <f t="shared" si="31"/>
        <v>38.936031384727791</v>
      </c>
      <c r="Q77" s="58" t="s">
        <v>228</v>
      </c>
      <c r="R77" s="58" t="s">
        <v>228</v>
      </c>
      <c r="S77" s="58">
        <v>442</v>
      </c>
      <c r="T77" s="88">
        <v>4892329.21</v>
      </c>
      <c r="U77" s="58" t="s">
        <v>229</v>
      </c>
    </row>
    <row r="78" spans="1:21" ht="15.75">
      <c r="A78" s="47">
        <v>68</v>
      </c>
      <c r="B78" s="48" t="s">
        <v>120</v>
      </c>
      <c r="C78" s="48" t="s">
        <v>44</v>
      </c>
      <c r="D78" s="58" t="s">
        <v>230</v>
      </c>
      <c r="E78" s="58" t="s">
        <v>231</v>
      </c>
      <c r="F78" s="58" t="s">
        <v>232</v>
      </c>
      <c r="G78" s="58" t="s">
        <v>233</v>
      </c>
      <c r="H78" s="57">
        <v>43172077367.309998</v>
      </c>
      <c r="I78" s="52">
        <f t="shared" si="32"/>
        <v>0.14193736092151099</v>
      </c>
      <c r="J78" s="58" t="s">
        <v>234</v>
      </c>
      <c r="K78" s="52">
        <f t="shared" si="33"/>
        <v>0.18399056701983474</v>
      </c>
      <c r="L78" s="52">
        <f t="shared" si="34"/>
        <v>-4.6251421433612896E-2</v>
      </c>
      <c r="M78" s="53">
        <f t="shared" si="28"/>
        <v>1.7203732154947768E-3</v>
      </c>
      <c r="N78" s="54">
        <f t="shared" si="29"/>
        <v>5.8582063298999723E-3</v>
      </c>
      <c r="O78" s="55">
        <f t="shared" si="30"/>
        <v>253.17335205011989</v>
      </c>
      <c r="P78" s="55">
        <f t="shared" si="31"/>
        <v>1.4831417335420063</v>
      </c>
      <c r="Q78" s="58" t="s">
        <v>235</v>
      </c>
      <c r="R78" s="58" t="s">
        <v>235</v>
      </c>
      <c r="S78" s="58">
        <v>6683</v>
      </c>
      <c r="T78" s="58" t="s">
        <v>236</v>
      </c>
      <c r="U78" s="58" t="s">
        <v>237</v>
      </c>
    </row>
    <row r="79" spans="1:21" ht="15.75">
      <c r="A79" s="47">
        <v>69</v>
      </c>
      <c r="B79" s="56" t="s">
        <v>121</v>
      </c>
      <c r="C79" s="48" t="s">
        <v>44</v>
      </c>
      <c r="D79" s="58" t="s">
        <v>238</v>
      </c>
      <c r="E79" s="58" t="s">
        <v>239</v>
      </c>
      <c r="F79" s="58" t="s">
        <v>240</v>
      </c>
      <c r="G79" s="58" t="s">
        <v>241</v>
      </c>
      <c r="H79" s="57">
        <v>279791550.33999997</v>
      </c>
      <c r="I79" s="52">
        <f t="shared" si="32"/>
        <v>9.1987406409746626E-4</v>
      </c>
      <c r="J79" s="58" t="s">
        <v>242</v>
      </c>
      <c r="K79" s="52">
        <f t="shared" si="33"/>
        <v>1.1840753562979243E-3</v>
      </c>
      <c r="L79" s="52">
        <f t="shared" si="34"/>
        <v>-5.2921363465075054E-2</v>
      </c>
      <c r="M79" s="53">
        <f t="shared" si="28"/>
        <v>5.6294328045618712E-5</v>
      </c>
      <c r="N79" s="54">
        <f t="shared" si="29"/>
        <v>1.9845369541481073E-2</v>
      </c>
      <c r="O79" s="55">
        <f t="shared" si="30"/>
        <v>5056.9030071619445</v>
      </c>
      <c r="P79" s="55">
        <f t="shared" si="31"/>
        <v>100.35610891255571</v>
      </c>
      <c r="Q79" s="58" t="s">
        <v>243</v>
      </c>
      <c r="R79" s="58" t="s">
        <v>244</v>
      </c>
      <c r="S79" s="49">
        <v>15</v>
      </c>
      <c r="T79" s="58" t="s">
        <v>245</v>
      </c>
      <c r="U79" s="58" t="s">
        <v>246</v>
      </c>
    </row>
    <row r="80" spans="1:21" ht="15.75">
      <c r="A80" s="47">
        <v>70</v>
      </c>
      <c r="B80" s="48" t="s">
        <v>122</v>
      </c>
      <c r="C80" s="48" t="s">
        <v>44</v>
      </c>
      <c r="D80" s="58" t="s">
        <v>247</v>
      </c>
      <c r="E80" s="58" t="s">
        <v>248</v>
      </c>
      <c r="F80" s="58" t="s">
        <v>249</v>
      </c>
      <c r="G80" s="57">
        <v>148788020.09</v>
      </c>
      <c r="H80" s="57">
        <v>18877777076.810001</v>
      </c>
      <c r="I80" s="52">
        <f t="shared" si="32"/>
        <v>6.2064696019837648E-2</v>
      </c>
      <c r="J80" s="57">
        <v>18896980661.959999</v>
      </c>
      <c r="K80" s="52">
        <f t="shared" si="33"/>
        <v>8.4440564128711135E-2</v>
      </c>
      <c r="L80" s="52">
        <f t="shared" si="34"/>
        <v>1.0172588155831091E-3</v>
      </c>
      <c r="M80" s="53">
        <f t="shared" si="28"/>
        <v>1.3891628953636894E-3</v>
      </c>
      <c r="N80" s="54">
        <f t="shared" si="29"/>
        <v>7.8736398555729736E-3</v>
      </c>
      <c r="O80" s="55">
        <f t="shared" si="30"/>
        <v>122.16633590862916</v>
      </c>
      <c r="P80" s="55">
        <f t="shared" si="31"/>
        <v>0.9618937314194983</v>
      </c>
      <c r="Q80" s="50">
        <v>122.17</v>
      </c>
      <c r="R80" s="50">
        <v>122.17</v>
      </c>
      <c r="S80" s="49">
        <v>4093</v>
      </c>
      <c r="T80" s="57">
        <v>155881627.46000001</v>
      </c>
      <c r="U80" s="58" t="s">
        <v>250</v>
      </c>
    </row>
    <row r="81" spans="1:21" ht="15.75">
      <c r="A81" s="47">
        <v>71</v>
      </c>
      <c r="B81" s="48" t="s">
        <v>123</v>
      </c>
      <c r="C81" s="48" t="s">
        <v>44</v>
      </c>
      <c r="D81" s="49">
        <v>14057921296.799999</v>
      </c>
      <c r="E81" s="58" t="s">
        <v>251</v>
      </c>
      <c r="F81" s="58" t="s">
        <v>252</v>
      </c>
      <c r="G81" s="58" t="s">
        <v>253</v>
      </c>
      <c r="H81" s="57">
        <v>14272702002.73</v>
      </c>
      <c r="I81" s="52">
        <f t="shared" si="32"/>
        <v>4.6924535000963934E-2</v>
      </c>
      <c r="J81" s="58" t="s">
        <v>254</v>
      </c>
      <c r="K81" s="52">
        <f t="shared" si="33"/>
        <v>6.26333129110902E-2</v>
      </c>
      <c r="L81" s="52">
        <f t="shared" si="34"/>
        <v>-1.793444688966658E-2</v>
      </c>
      <c r="M81" s="53">
        <f t="shared" si="28"/>
        <v>1.6703343870194075E-3</v>
      </c>
      <c r="N81" s="54">
        <f t="shared" si="29"/>
        <v>5.4648588634864286E-3</v>
      </c>
      <c r="O81" s="55">
        <f t="shared" si="30"/>
        <v>345.32915305448535</v>
      </c>
      <c r="P81" s="55">
        <f t="shared" si="31"/>
        <v>1.887175082890066</v>
      </c>
      <c r="Q81" s="49">
        <v>345.33</v>
      </c>
      <c r="R81" s="49">
        <v>345.33</v>
      </c>
      <c r="S81" s="49">
        <v>10182</v>
      </c>
      <c r="T81" s="58" t="s">
        <v>255</v>
      </c>
      <c r="U81" s="58" t="s">
        <v>256</v>
      </c>
    </row>
    <row r="82" spans="1:21" ht="15.75">
      <c r="A82" s="47">
        <v>72</v>
      </c>
      <c r="B82" s="48" t="s">
        <v>124</v>
      </c>
      <c r="C82" s="48" t="s">
        <v>48</v>
      </c>
      <c r="D82" s="49">
        <v>89034630768</v>
      </c>
      <c r="E82" s="49">
        <v>753861467</v>
      </c>
      <c r="F82" s="49">
        <v>167065073</v>
      </c>
      <c r="G82" s="50">
        <v>586796394</v>
      </c>
      <c r="H82" s="67">
        <v>102040249551</v>
      </c>
      <c r="I82" s="52">
        <f t="shared" si="32"/>
        <v>0.33547896261318538</v>
      </c>
      <c r="J82" s="49">
        <v>102060236707</v>
      </c>
      <c r="K82" s="52">
        <f t="shared" si="33"/>
        <v>0.45605295982532945</v>
      </c>
      <c r="L82" s="52">
        <f t="shared" si="34"/>
        <v>1.958752167693432E-4</v>
      </c>
      <c r="M82" s="53">
        <f t="shared" si="28"/>
        <v>1.6369261760544351E-3</v>
      </c>
      <c r="N82" s="54">
        <f t="shared" si="29"/>
        <v>5.7495104159380559E-3</v>
      </c>
      <c r="O82" s="55">
        <f t="shared" si="30"/>
        <v>1.9120228216687725</v>
      </c>
      <c r="P82" s="55">
        <f t="shared" si="31"/>
        <v>1.0993195128695879E-2</v>
      </c>
      <c r="Q82" s="49">
        <v>1.91</v>
      </c>
      <c r="R82" s="49">
        <v>1.91</v>
      </c>
      <c r="S82" s="49">
        <v>2039</v>
      </c>
      <c r="T82" s="49">
        <v>53871448013</v>
      </c>
      <c r="U82" s="49">
        <v>53378147766</v>
      </c>
    </row>
    <row r="83" spans="1:21" ht="15.75">
      <c r="A83" s="47">
        <v>73</v>
      </c>
      <c r="B83" s="64" t="s">
        <v>125</v>
      </c>
      <c r="C83" s="56" t="s">
        <v>265</v>
      </c>
      <c r="D83" s="49">
        <v>11087483531.129999</v>
      </c>
      <c r="E83" s="49">
        <v>58045492.75</v>
      </c>
      <c r="F83" s="49">
        <v>2241031.56</v>
      </c>
      <c r="G83" s="49">
        <v>55804461.189999998</v>
      </c>
      <c r="H83" s="57">
        <v>9613478628.8500004</v>
      </c>
      <c r="I83" s="52">
        <f t="shared" si="32"/>
        <v>3.1606349961920681E-2</v>
      </c>
      <c r="J83" s="49">
        <v>9759243528.5900002</v>
      </c>
      <c r="K83" s="52">
        <f t="shared" si="33"/>
        <v>4.3608872960456298E-2</v>
      </c>
      <c r="L83" s="52">
        <f t="shared" si="34"/>
        <v>1.5162555134055226E-2</v>
      </c>
      <c r="M83" s="53">
        <f t="shared" si="28"/>
        <v>2.2963168748016483E-4</v>
      </c>
      <c r="N83" s="54">
        <f t="shared" si="29"/>
        <v>5.7181133995190441E-3</v>
      </c>
      <c r="O83" s="55">
        <f t="shared" si="30"/>
        <v>1</v>
      </c>
      <c r="P83" s="55">
        <f t="shared" si="31"/>
        <v>5.7181133995190441E-3</v>
      </c>
      <c r="Q83" s="49">
        <v>1</v>
      </c>
      <c r="R83" s="49">
        <v>1</v>
      </c>
      <c r="S83" s="49">
        <v>5494</v>
      </c>
      <c r="T83" s="49">
        <v>9613478628.8500004</v>
      </c>
      <c r="U83" s="49">
        <v>9759243528.5900002</v>
      </c>
    </row>
    <row r="84" spans="1:21" ht="15.75">
      <c r="A84" s="47">
        <v>74</v>
      </c>
      <c r="B84" s="56" t="s">
        <v>126</v>
      </c>
      <c r="C84" s="56" t="s">
        <v>91</v>
      </c>
      <c r="D84" s="49">
        <v>2539863776.4699998</v>
      </c>
      <c r="E84" s="49">
        <v>21584088.140000001</v>
      </c>
      <c r="F84" s="49">
        <v>4446470.3899999997</v>
      </c>
      <c r="G84" s="49">
        <v>17137617.75</v>
      </c>
      <c r="H84" s="57">
        <v>2557202717.4699998</v>
      </c>
      <c r="I84" s="52">
        <f t="shared" si="32"/>
        <v>8.4073463032808392E-3</v>
      </c>
      <c r="J84" s="49">
        <v>2565508135.0700002</v>
      </c>
      <c r="K84" s="52">
        <f t="shared" si="33"/>
        <v>1.146389246395298E-2</v>
      </c>
      <c r="L84" s="52">
        <f t="shared" si="34"/>
        <v>3.2478526411928144E-3</v>
      </c>
      <c r="M84" s="53">
        <f t="shared" si="28"/>
        <v>1.7331733738114525E-3</v>
      </c>
      <c r="N84" s="54">
        <f t="shared" si="29"/>
        <v>6.6800091240141E-3</v>
      </c>
      <c r="O84" s="55">
        <f t="shared" si="30"/>
        <v>24.774528056879085</v>
      </c>
      <c r="P84" s="55">
        <f t="shared" si="31"/>
        <v>0.16549407346309561</v>
      </c>
      <c r="Q84" s="49">
        <v>24.748799999999999</v>
      </c>
      <c r="R84" s="49">
        <v>24.748799999999999</v>
      </c>
      <c r="S84" s="50">
        <v>1319</v>
      </c>
      <c r="T84" s="49">
        <v>104025819.42</v>
      </c>
      <c r="U84" s="49">
        <v>103554268.69</v>
      </c>
    </row>
    <row r="85" spans="1:21" ht="15.75" customHeight="1">
      <c r="A85" s="122" t="s">
        <v>49</v>
      </c>
      <c r="B85" s="122"/>
      <c r="C85" s="122"/>
      <c r="D85" s="122"/>
      <c r="E85" s="122"/>
      <c r="F85" s="122"/>
      <c r="G85" s="122"/>
      <c r="H85" s="74">
        <f>SUM(H56:H84)</f>
        <v>304162886269.12994</v>
      </c>
      <c r="I85" s="69">
        <f>(H85/$H$168)</f>
        <v>0.15890822079572969</v>
      </c>
      <c r="J85" s="74">
        <f>SUM(J56:J84)</f>
        <v>223790317567.69998</v>
      </c>
      <c r="K85" s="69">
        <f>(J85/$J$168)</f>
        <v>0.12091554890751119</v>
      </c>
      <c r="L85" s="70">
        <f t="shared" si="34"/>
        <v>-0.26424186621609896</v>
      </c>
      <c r="M85" s="89"/>
      <c r="N85" s="90"/>
      <c r="O85" s="73"/>
      <c r="P85" s="73"/>
      <c r="Q85" s="74"/>
      <c r="R85" s="74"/>
      <c r="S85" s="74">
        <f>SUM(S56:S84)</f>
        <v>43418</v>
      </c>
      <c r="T85" s="74"/>
      <c r="U85" s="49"/>
    </row>
    <row r="86" spans="1:21" ht="6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</row>
    <row r="87" spans="1:21">
      <c r="A87" s="125" t="s">
        <v>127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</row>
    <row r="88" spans="1:21">
      <c r="A88" s="128" t="s">
        <v>128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</row>
    <row r="89" spans="1:21" ht="16.5" customHeight="1">
      <c r="A89" s="91">
        <v>75</v>
      </c>
      <c r="B89" s="48" t="s">
        <v>129</v>
      </c>
      <c r="C89" s="48" t="s">
        <v>22</v>
      </c>
      <c r="D89" s="92">
        <v>1307623754.2</v>
      </c>
      <c r="E89" s="92">
        <v>8741927.4900000002</v>
      </c>
      <c r="F89" s="92">
        <v>2636801.9500000002</v>
      </c>
      <c r="G89" s="93">
        <v>6105125.54</v>
      </c>
      <c r="H89" s="51">
        <v>1328948782.01</v>
      </c>
      <c r="I89" s="52">
        <f>(H89/$H$110)</f>
        <v>2.3753750212245797E-3</v>
      </c>
      <c r="J89" s="94">
        <v>1300312418.5</v>
      </c>
      <c r="K89" s="52">
        <f>(J89/$J$110)</f>
        <v>2.2732487947086303E-3</v>
      </c>
      <c r="L89" s="52">
        <f>((J89-H89)/H89)</f>
        <v>-2.1548131799848783E-2</v>
      </c>
      <c r="M89" s="53">
        <f t="shared" ref="M89:M98" si="40">(F89/J89)</f>
        <v>2.0278218622580974E-3</v>
      </c>
      <c r="N89" s="54">
        <f t="shared" ref="N89:N98" si="41">G89/J89</f>
        <v>4.6951220746185626E-3</v>
      </c>
      <c r="O89" s="55">
        <f t="shared" ref="O89:O98" si="42">J89/U89</f>
        <v>81840.867482252041</v>
      </c>
      <c r="P89" s="55">
        <f t="shared" ref="P89:P98" si="43">G89/U89</f>
        <v>384.25286352185401</v>
      </c>
      <c r="Q89" s="49">
        <f>757.52*108.1088</f>
        <v>81894.578175999995</v>
      </c>
      <c r="R89" s="49">
        <f>757.52*108.1088</f>
        <v>81894.578175999995</v>
      </c>
      <c r="S89" s="49">
        <v>225</v>
      </c>
      <c r="T89" s="49">
        <v>16316.8822</v>
      </c>
      <c r="U89" s="49">
        <v>15888.302</v>
      </c>
    </row>
    <row r="90" spans="1:21" ht="15" customHeight="1">
      <c r="A90" s="47">
        <v>76</v>
      </c>
      <c r="B90" s="48" t="s">
        <v>130</v>
      </c>
      <c r="C90" s="56" t="s">
        <v>26</v>
      </c>
      <c r="D90" s="76">
        <f>8682685.82*757.523</f>
        <v>6577334210.4238605</v>
      </c>
      <c r="E90" s="94">
        <f>73935.29*757.523</f>
        <v>56007682.686669998</v>
      </c>
      <c r="F90" s="94">
        <f>32108.81*757.523</f>
        <v>24323162.077630002</v>
      </c>
      <c r="G90" s="51">
        <f>41826.48*757.523</f>
        <v>31684520.609040003</v>
      </c>
      <c r="H90" s="51">
        <v>9007154023.1399994</v>
      </c>
      <c r="I90" s="52">
        <f t="shared" ref="I90:I98" si="44">(H90/$H$110)</f>
        <v>1.6099468217676008E-2</v>
      </c>
      <c r="J90" s="94">
        <f>10636501*757.523</f>
        <v>8057394147.0230007</v>
      </c>
      <c r="K90" s="52">
        <f t="shared" ref="K90:K98" si="45">(J90/$J$110)</f>
        <v>1.4086200571968473E-2</v>
      </c>
      <c r="L90" s="52">
        <f t="shared" ref="L90:L98" si="46">((J90-H90)/H90)</f>
        <v>-0.10544505774820771</v>
      </c>
      <c r="M90" s="53">
        <f t="shared" si="40"/>
        <v>3.018738022964507E-3</v>
      </c>
      <c r="N90" s="54">
        <f t="shared" si="41"/>
        <v>3.9323533180695416E-3</v>
      </c>
      <c r="O90" s="55">
        <f t="shared" si="42"/>
        <v>870.85564239436087</v>
      </c>
      <c r="P90" s="55">
        <f t="shared" si="43"/>
        <v>3.4245120749290474</v>
      </c>
      <c r="Q90" s="49">
        <f>1.1496*757.523</f>
        <v>870.84844080000005</v>
      </c>
      <c r="R90" s="49">
        <f>1.1496*757.523</f>
        <v>870.84844080000005</v>
      </c>
      <c r="S90" s="49">
        <v>349</v>
      </c>
      <c r="T90" s="49">
        <v>9399580</v>
      </c>
      <c r="U90" s="49">
        <v>9252273</v>
      </c>
    </row>
    <row r="91" spans="1:21" ht="15" customHeight="1">
      <c r="A91" s="91">
        <v>77</v>
      </c>
      <c r="B91" s="48" t="s">
        <v>131</v>
      </c>
      <c r="C91" s="56" t="s">
        <v>69</v>
      </c>
      <c r="D91" s="75">
        <v>1948846280.47</v>
      </c>
      <c r="E91" s="94">
        <v>19874668.859999999</v>
      </c>
      <c r="F91" s="94">
        <v>3606559.43</v>
      </c>
      <c r="G91" s="51">
        <v>16268109.43</v>
      </c>
      <c r="H91" s="67">
        <v>1908278759.5999999</v>
      </c>
      <c r="I91" s="52">
        <f t="shared" si="44"/>
        <v>3.4108746405045096E-3</v>
      </c>
      <c r="J91" s="94">
        <v>1924439790.8599999</v>
      </c>
      <c r="K91" s="52">
        <f t="shared" si="45"/>
        <v>3.3643687261776492E-3</v>
      </c>
      <c r="L91" s="52">
        <f t="shared" si="46"/>
        <v>8.4689048592604746E-3</v>
      </c>
      <c r="M91" s="53">
        <f t="shared" si="40"/>
        <v>1.8740827575531938E-3</v>
      </c>
      <c r="N91" s="54">
        <f t="shared" si="41"/>
        <v>8.4534260345604552E-3</v>
      </c>
      <c r="O91" s="55">
        <f t="shared" si="42"/>
        <v>79998.960370072746</v>
      </c>
      <c r="P91" s="55">
        <f t="shared" si="43"/>
        <v>676.26529433014309</v>
      </c>
      <c r="Q91" s="51">
        <v>105.25</v>
      </c>
      <c r="R91" s="51">
        <v>105.25</v>
      </c>
      <c r="S91" s="49">
        <v>40</v>
      </c>
      <c r="T91" s="49">
        <v>24041.14</v>
      </c>
      <c r="U91" s="49">
        <v>24055.81</v>
      </c>
    </row>
    <row r="92" spans="1:21" ht="15.75">
      <c r="A92" s="47">
        <v>78</v>
      </c>
      <c r="B92" s="48" t="s">
        <v>132</v>
      </c>
      <c r="C92" s="48" t="s">
        <v>133</v>
      </c>
      <c r="D92" s="76">
        <v>22418493292.98</v>
      </c>
      <c r="E92" s="76">
        <v>138778842.31999999</v>
      </c>
      <c r="F92" s="76">
        <v>28413783.789999999</v>
      </c>
      <c r="G92" s="51">
        <v>110365058.53</v>
      </c>
      <c r="H92" s="67">
        <v>22052137758.240002</v>
      </c>
      <c r="I92" s="52">
        <f t="shared" si="44"/>
        <v>3.9416189626435533E-2</v>
      </c>
      <c r="J92" s="94">
        <v>22418493292.98</v>
      </c>
      <c r="K92" s="52">
        <f t="shared" si="45"/>
        <v>3.9192744860684643E-2</v>
      </c>
      <c r="L92" s="52">
        <f t="shared" si="46"/>
        <v>1.6613152827013582E-2</v>
      </c>
      <c r="M92" s="53">
        <f t="shared" si="40"/>
        <v>1.2674261119455933E-3</v>
      </c>
      <c r="N92" s="54">
        <f t="shared" si="41"/>
        <v>4.9229471886301605E-3</v>
      </c>
      <c r="O92" s="55">
        <f t="shared" si="42"/>
        <v>95755.709371457779</v>
      </c>
      <c r="P92" s="55">
        <f t="shared" si="43"/>
        <v>471.40030024550475</v>
      </c>
      <c r="Q92" s="58">
        <v>125.55</v>
      </c>
      <c r="R92" s="58">
        <v>123.98</v>
      </c>
      <c r="S92" s="49">
        <v>1927</v>
      </c>
      <c r="T92" s="49">
        <v>227789.56</v>
      </c>
      <c r="U92" s="49">
        <v>234121.74</v>
      </c>
    </row>
    <row r="93" spans="1:21" ht="13.5" customHeight="1">
      <c r="A93" s="91">
        <v>79</v>
      </c>
      <c r="B93" s="48" t="s">
        <v>134</v>
      </c>
      <c r="C93" s="48" t="s">
        <v>133</v>
      </c>
      <c r="D93" s="76">
        <v>16392630159.25</v>
      </c>
      <c r="E93" s="76">
        <v>100459216.95</v>
      </c>
      <c r="F93" s="76">
        <v>26309841.57</v>
      </c>
      <c r="G93" s="51">
        <v>74149375.379999995</v>
      </c>
      <c r="H93" s="67">
        <v>16353080115.139999</v>
      </c>
      <c r="I93" s="52">
        <f t="shared" si="44"/>
        <v>2.922964267052967E-2</v>
      </c>
      <c r="J93" s="94">
        <v>16392630159.25</v>
      </c>
      <c r="K93" s="52">
        <f t="shared" si="45"/>
        <v>2.8658133400438185E-2</v>
      </c>
      <c r="L93" s="52">
        <f t="shared" si="46"/>
        <v>2.4185073289884032E-3</v>
      </c>
      <c r="M93" s="53">
        <f t="shared" si="40"/>
        <v>1.6049798790314278E-3</v>
      </c>
      <c r="N93" s="54">
        <f t="shared" si="41"/>
        <v>4.5233360760084697E-3</v>
      </c>
      <c r="O93" s="55">
        <f t="shared" si="42"/>
        <v>84764.156932848913</v>
      </c>
      <c r="P93" s="55">
        <f t="shared" si="43"/>
        <v>383.41676900679897</v>
      </c>
      <c r="Q93" s="58">
        <v>111.14</v>
      </c>
      <c r="R93" s="58">
        <v>111.14</v>
      </c>
      <c r="S93" s="49">
        <v>126</v>
      </c>
      <c r="T93" s="49">
        <v>191240.56</v>
      </c>
      <c r="U93" s="49">
        <v>193391.06</v>
      </c>
    </row>
    <row r="94" spans="1:21" ht="15" customHeight="1">
      <c r="A94" s="47">
        <v>80</v>
      </c>
      <c r="B94" s="95" t="s">
        <v>135</v>
      </c>
      <c r="C94" s="96" t="s">
        <v>136</v>
      </c>
      <c r="D94" s="76">
        <f>150266.78*757.523</f>
        <v>113830541.98594001</v>
      </c>
      <c r="E94" s="76">
        <f>1419.44*757.523</f>
        <v>1075258.4471200001</v>
      </c>
      <c r="F94" s="76">
        <f>98.04*757.523</f>
        <v>74267.55492000001</v>
      </c>
      <c r="G94" s="51">
        <f>1321.4*757.523</f>
        <v>1000990.8922000001</v>
      </c>
      <c r="H94" s="51">
        <v>64100460.420400001</v>
      </c>
      <c r="I94" s="52">
        <f t="shared" si="44"/>
        <v>1.1457374023197476E-4</v>
      </c>
      <c r="J94" s="94">
        <f>88839.88*757.523</f>
        <v>67298252.417240009</v>
      </c>
      <c r="K94" s="52">
        <f t="shared" si="45"/>
        <v>1.1765301093560849E-4</v>
      </c>
      <c r="L94" s="52">
        <f t="shared" si="46"/>
        <v>4.9887192320732673E-2</v>
      </c>
      <c r="M94" s="53">
        <f t="shared" si="40"/>
        <v>1.1035584469497256E-3</v>
      </c>
      <c r="N94" s="54">
        <f t="shared" si="41"/>
        <v>1.4873950752747528E-2</v>
      </c>
      <c r="O94" s="55">
        <f t="shared" si="42"/>
        <v>81128.171877135261</v>
      </c>
      <c r="P94" s="55">
        <f t="shared" si="43"/>
        <v>1206.6964331609468</v>
      </c>
      <c r="Q94" s="58">
        <f>106.53*757.523</f>
        <v>80698.925190000009</v>
      </c>
      <c r="R94" s="58">
        <f>106.53*757.523</f>
        <v>80698.925190000009</v>
      </c>
      <c r="S94" s="49">
        <v>2</v>
      </c>
      <c r="T94" s="49">
        <v>829.53</v>
      </c>
      <c r="U94" s="49">
        <v>829.53</v>
      </c>
    </row>
    <row r="95" spans="1:21" ht="15" customHeight="1">
      <c r="A95" s="91">
        <v>81</v>
      </c>
      <c r="B95" s="48" t="s">
        <v>137</v>
      </c>
      <c r="C95" s="64" t="s">
        <v>138</v>
      </c>
      <c r="D95" s="97">
        <v>12872895.98</v>
      </c>
      <c r="E95" s="81">
        <v>17518.25</v>
      </c>
      <c r="F95" s="50">
        <f>21176.97*757.523</f>
        <v>16042041.845310001</v>
      </c>
      <c r="G95" s="81">
        <f>53008.7*757.523</f>
        <v>40155309.450099997</v>
      </c>
      <c r="H95" s="51">
        <f>12757179.25*758.022</f>
        <v>9670222529.4435005</v>
      </c>
      <c r="I95" s="52">
        <f t="shared" si="44"/>
        <v>1.7284642837311709E-2</v>
      </c>
      <c r="J95" s="81">
        <f>12757179.25*757.523</f>
        <v>9663856696.9977512</v>
      </c>
      <c r="K95" s="52">
        <f t="shared" si="45"/>
        <v>1.6894671062227546E-2</v>
      </c>
      <c r="L95" s="52">
        <f t="shared" si="46"/>
        <v>-6.5829223953914762E-4</v>
      </c>
      <c r="M95" s="53">
        <f t="shared" si="40"/>
        <v>1.6600041110185074E-3</v>
      </c>
      <c r="N95" s="54">
        <f t="shared" si="41"/>
        <v>4.1552053915053355E-3</v>
      </c>
      <c r="O95" s="55">
        <f t="shared" si="42"/>
        <v>964.80897886651144</v>
      </c>
      <c r="P95" s="55">
        <f t="shared" si="43"/>
        <v>4.0089794707588853</v>
      </c>
      <c r="Q95" s="58">
        <f>1.26*461.5</f>
        <v>581.49</v>
      </c>
      <c r="R95" s="58">
        <f>1.26*461.5</f>
        <v>581.49</v>
      </c>
      <c r="S95" s="49">
        <v>128</v>
      </c>
      <c r="T95" s="57">
        <v>10145221</v>
      </c>
      <c r="U95" s="57">
        <f>10016342</f>
        <v>10016342</v>
      </c>
    </row>
    <row r="96" spans="1:21" ht="15.75">
      <c r="A96" s="47">
        <v>82</v>
      </c>
      <c r="B96" s="48" t="s">
        <v>139</v>
      </c>
      <c r="C96" s="48" t="s">
        <v>48</v>
      </c>
      <c r="D96" s="75">
        <f>757.523*137256756</f>
        <v>103975149575.388</v>
      </c>
      <c r="E96" s="94">
        <f>932185*757.523</f>
        <v>706151577.755</v>
      </c>
      <c r="F96" s="98">
        <f>249893*757.523</f>
        <v>189299695.039</v>
      </c>
      <c r="G96" s="51">
        <f>682292*757.523</f>
        <v>516851882.71600002</v>
      </c>
      <c r="H96" s="51">
        <v>113443307654.14</v>
      </c>
      <c r="I96" s="52">
        <f t="shared" si="44"/>
        <v>0.20276958974985662</v>
      </c>
      <c r="J96" s="94">
        <f>148642900*757.523</f>
        <v>112600415536.7</v>
      </c>
      <c r="K96" s="52">
        <f t="shared" si="45"/>
        <v>0.19685173752148871</v>
      </c>
      <c r="L96" s="52">
        <f t="shared" si="46"/>
        <v>-7.4300735307345558E-3</v>
      </c>
      <c r="M96" s="53">
        <f t="shared" si="40"/>
        <v>1.6811633788092132E-3</v>
      </c>
      <c r="N96" s="54">
        <f t="shared" si="41"/>
        <v>4.5901418769413137E-3</v>
      </c>
      <c r="O96" s="55">
        <f t="shared" si="42"/>
        <v>92018.537283877769</v>
      </c>
      <c r="P96" s="55">
        <f t="shared" si="43"/>
        <v>422.37814144161302</v>
      </c>
      <c r="Q96" s="51">
        <f>121*757.523</f>
        <v>91660.282999999996</v>
      </c>
      <c r="R96" s="51">
        <f>121*757.523</f>
        <v>91660.282999999996</v>
      </c>
      <c r="S96" s="49">
        <v>1182</v>
      </c>
      <c r="T96" s="49">
        <v>1225599</v>
      </c>
      <c r="U96" s="49">
        <v>1223671</v>
      </c>
    </row>
    <row r="97" spans="1:21" ht="15.75">
      <c r="A97" s="91">
        <v>83</v>
      </c>
      <c r="B97" s="48" t="s">
        <v>274</v>
      </c>
      <c r="C97" s="48" t="s">
        <v>189</v>
      </c>
      <c r="D97" s="75">
        <v>3140617200.8699999</v>
      </c>
      <c r="E97" s="75">
        <v>24372754.800000001</v>
      </c>
      <c r="F97" s="75">
        <v>5243071.09</v>
      </c>
      <c r="G97" s="51">
        <v>19129683.719999999</v>
      </c>
      <c r="H97" s="51">
        <v>1959587481.46</v>
      </c>
      <c r="I97" s="52">
        <f t="shared" si="44"/>
        <v>3.5025843120336619E-3</v>
      </c>
      <c r="J97" s="51">
        <v>3198341843.4200001</v>
      </c>
      <c r="K97" s="52">
        <f t="shared" si="45"/>
        <v>5.5914460534091208E-3</v>
      </c>
      <c r="L97" s="99">
        <f t="shared" si="46"/>
        <v>0.63215057948679088</v>
      </c>
      <c r="M97" s="53">
        <f t="shared" si="40"/>
        <v>1.6393091628984732E-3</v>
      </c>
      <c r="N97" s="79">
        <f t="shared" si="41"/>
        <v>5.9811254257751724E-3</v>
      </c>
      <c r="O97" s="55">
        <f t="shared" si="42"/>
        <v>75666.371180297618</v>
      </c>
      <c r="P97" s="55">
        <f t="shared" si="43"/>
        <v>452.57005654261985</v>
      </c>
      <c r="Q97" s="51">
        <v>75666.37</v>
      </c>
      <c r="R97" s="51">
        <v>75666.37</v>
      </c>
      <c r="S97" s="49">
        <v>166</v>
      </c>
      <c r="T97" s="49">
        <v>25366</v>
      </c>
      <c r="U97" s="49">
        <v>42269</v>
      </c>
    </row>
    <row r="98" spans="1:21" ht="15.75">
      <c r="A98" s="47">
        <v>84</v>
      </c>
      <c r="B98" s="48" t="s">
        <v>278</v>
      </c>
      <c r="C98" s="48" t="s">
        <v>40</v>
      </c>
      <c r="D98" s="75">
        <f>1759627.93*757.52</f>
        <v>1332953349.5335999</v>
      </c>
      <c r="E98" s="75">
        <f>2967.33*757.52</f>
        <v>2247811.8215999999</v>
      </c>
      <c r="F98" s="75">
        <f>2443.19*757.52</f>
        <v>1850765.2888</v>
      </c>
      <c r="G98" s="51">
        <f>524.14*757.52</f>
        <v>397046.53279999999</v>
      </c>
      <c r="H98" s="51">
        <f>1784680.47*758.022</f>
        <v>1352827059.23034</v>
      </c>
      <c r="I98" s="52">
        <f t="shared" si="44"/>
        <v>2.4180552689714377E-3</v>
      </c>
      <c r="J98" s="94">
        <f>1789571.27*757.52</f>
        <v>1355636028.4503999</v>
      </c>
      <c r="K98" s="52">
        <f t="shared" si="45"/>
        <v>2.369967343150823E-3</v>
      </c>
      <c r="L98" s="52">
        <f t="shared" si="46"/>
        <v>2.0763697775663731E-3</v>
      </c>
      <c r="M98" s="53">
        <f t="shared" si="40"/>
        <v>1.36523760799982E-3</v>
      </c>
      <c r="N98" s="54">
        <f t="shared" si="41"/>
        <v>2.9288579269603495E-4</v>
      </c>
      <c r="O98" s="55">
        <f t="shared" si="42"/>
        <v>100014.16719911703</v>
      </c>
      <c r="P98" s="55">
        <f t="shared" si="43"/>
        <v>29.292728640947171</v>
      </c>
      <c r="Q98" s="51">
        <f>127.34*757.52</f>
        <v>96462.596799999999</v>
      </c>
      <c r="R98" s="51">
        <f>131.94*757.52</f>
        <v>99947.188799999989</v>
      </c>
      <c r="S98" s="49">
        <v>40</v>
      </c>
      <c r="T98" s="49">
        <v>13549.44</v>
      </c>
      <c r="U98" s="49">
        <v>13554.44</v>
      </c>
    </row>
    <row r="99" spans="1:21" ht="8.25" customHeight="1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</row>
    <row r="100" spans="1:21">
      <c r="A100" s="128" t="s">
        <v>140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</row>
    <row r="101" spans="1:21" ht="15.75">
      <c r="A101" s="47">
        <v>85</v>
      </c>
      <c r="B101" s="48" t="s">
        <v>141</v>
      </c>
      <c r="C101" s="56" t="s">
        <v>97</v>
      </c>
      <c r="D101" s="81">
        <f>738114.56*757.523</f>
        <v>559138755.83488011</v>
      </c>
      <c r="E101" s="75">
        <f>6488.39*757.523</f>
        <v>4915104.6579700001</v>
      </c>
      <c r="F101" s="75">
        <f>1439.9*757.523</f>
        <v>1090757.3677000001</v>
      </c>
      <c r="G101" s="50">
        <f>5048.49*757.523</f>
        <v>3824347.2902699998</v>
      </c>
      <c r="H101" s="49">
        <v>695519151.28460002</v>
      </c>
      <c r="I101" s="52">
        <f>(H101/$H$110)</f>
        <v>1.243177194719252E-3</v>
      </c>
      <c r="J101" s="75">
        <f>882233.75*757.523</f>
        <v>668312357.00125003</v>
      </c>
      <c r="K101" s="52">
        <f>(J101/$J$110)</f>
        <v>1.1683655700177992E-3</v>
      </c>
      <c r="L101" s="52">
        <f>((J101-H101)/H101)</f>
        <v>-3.9117246783355965E-2</v>
      </c>
      <c r="M101" s="53">
        <f>(F101/J101)</f>
        <v>1.6321071371391085E-3</v>
      </c>
      <c r="N101" s="54">
        <f t="shared" ref="N101:N109" si="47">G101/J101</f>
        <v>5.7223950001912749E-3</v>
      </c>
      <c r="O101" s="55">
        <f t="shared" ref="O101:O109" si="48">J101/U101</f>
        <v>74331.259815509955</v>
      </c>
      <c r="P101" s="55">
        <f t="shared" ref="P101:P109" si="49">G101/U101</f>
        <v>425.35282952619281</v>
      </c>
      <c r="Q101" s="49">
        <f>98.21*757.523</f>
        <v>74396.333830000003</v>
      </c>
      <c r="R101" s="49">
        <f>98.21*757.523</f>
        <v>74396.333830000003</v>
      </c>
      <c r="S101" s="49">
        <v>27</v>
      </c>
      <c r="T101" s="49">
        <v>8991</v>
      </c>
      <c r="U101" s="49">
        <v>8991</v>
      </c>
    </row>
    <row r="102" spans="1:21" ht="15.75">
      <c r="A102" s="47">
        <v>86</v>
      </c>
      <c r="B102" s="64" t="s">
        <v>142</v>
      </c>
      <c r="C102" s="66" t="s">
        <v>28</v>
      </c>
      <c r="D102" s="75">
        <f>5119630.45*757.523</f>
        <v>3878237817.3753505</v>
      </c>
      <c r="E102" s="75">
        <f>39256.96*757.523</f>
        <v>29738050.11008</v>
      </c>
      <c r="F102" s="76">
        <f>7152.97*757.523</f>
        <v>5418539.2933100006</v>
      </c>
      <c r="G102" s="50">
        <f>32103.99*757.523</f>
        <v>24319510.816770002</v>
      </c>
      <c r="H102" s="49">
        <v>4714274315.1831999</v>
      </c>
      <c r="I102" s="52">
        <f t="shared" ref="I102:I109" si="50">(H102/$H$110)</f>
        <v>8.4263363668160701E-3</v>
      </c>
      <c r="J102" s="75">
        <f>6340773.57*757.523</f>
        <v>4803281817.0671101</v>
      </c>
      <c r="K102" s="52">
        <f t="shared" ref="K102:K109" si="51">(J102/$J$110)</f>
        <v>8.397254725821637E-3</v>
      </c>
      <c r="L102" s="52">
        <f t="shared" ref="L102:L109" si="52">((J102-H102)/H102)</f>
        <v>1.8880424840201793E-2</v>
      </c>
      <c r="M102" s="53">
        <f t="shared" ref="M102:M109" si="53">(F102/J102)</f>
        <v>1.1280910635009477E-3</v>
      </c>
      <c r="N102" s="54">
        <f t="shared" si="47"/>
        <v>5.0631030497435038E-3</v>
      </c>
      <c r="O102" s="55">
        <f t="shared" si="48"/>
        <v>94989.3124420612</v>
      </c>
      <c r="P102" s="55">
        <f t="shared" si="49"/>
        <v>480.94067751843858</v>
      </c>
      <c r="Q102" s="49">
        <f>124.14*757.523</f>
        <v>94038.905220000001</v>
      </c>
      <c r="R102" s="49">
        <f>126.65*757.523</f>
        <v>95940.287950000013</v>
      </c>
      <c r="S102" s="49">
        <v>279</v>
      </c>
      <c r="T102" s="49">
        <v>49875.08</v>
      </c>
      <c r="U102" s="49">
        <v>50566.55</v>
      </c>
    </row>
    <row r="103" spans="1:21" ht="15" customHeight="1">
      <c r="A103" s="47">
        <v>87</v>
      </c>
      <c r="B103" s="48" t="s">
        <v>143</v>
      </c>
      <c r="C103" s="48" t="s">
        <v>60</v>
      </c>
      <c r="D103" s="75">
        <f>10279753.36*757.523</f>
        <v>7787149604.5272799</v>
      </c>
      <c r="E103" s="75">
        <f>70981.29*757.523</f>
        <v>53769959.744669996</v>
      </c>
      <c r="F103" s="75">
        <f>18269.49*757.523</f>
        <v>13839558.873270001</v>
      </c>
      <c r="G103" s="50">
        <f>52711.8*757.523</f>
        <v>39930400.871400006</v>
      </c>
      <c r="H103" s="49">
        <f>10507395.81*758.022</f>
        <v>7964837186.6878204</v>
      </c>
      <c r="I103" s="52">
        <f t="shared" si="50"/>
        <v>1.4236421717294249E-2</v>
      </c>
      <c r="J103" s="75">
        <f>10935340.31*757.523</f>
        <v>8283771797.6521311</v>
      </c>
      <c r="K103" s="52">
        <f t="shared" si="51"/>
        <v>1.4481961401535327E-2</v>
      </c>
      <c r="L103" s="52">
        <f t="shared" si="52"/>
        <v>4.0042828684228218E-2</v>
      </c>
      <c r="M103" s="53">
        <f t="shared" si="53"/>
        <v>1.670683260153611E-3</v>
      </c>
      <c r="N103" s="54">
        <f t="shared" si="47"/>
        <v>4.8203163784301109E-3</v>
      </c>
      <c r="O103" s="55">
        <f t="shared" si="48"/>
        <v>86375.665224100463</v>
      </c>
      <c r="P103" s="55">
        <f t="shared" si="49"/>
        <v>416.35803377752757</v>
      </c>
      <c r="Q103" s="49">
        <f>113*757.523</f>
        <v>85600.099000000002</v>
      </c>
      <c r="R103" s="49">
        <f>113*757.523</f>
        <v>85600.099000000002</v>
      </c>
      <c r="S103" s="49">
        <v>481</v>
      </c>
      <c r="T103" s="49">
        <v>94889</v>
      </c>
      <c r="U103" s="49">
        <v>95904</v>
      </c>
    </row>
    <row r="104" spans="1:21" ht="15" customHeight="1">
      <c r="A104" s="47">
        <v>88</v>
      </c>
      <c r="B104" s="48" t="s">
        <v>144</v>
      </c>
      <c r="C104" s="56" t="s">
        <v>58</v>
      </c>
      <c r="D104" s="75">
        <f>3623052.66*757.52</f>
        <v>2744534851.0032001</v>
      </c>
      <c r="E104" s="75">
        <f>32483.24*757.52</f>
        <v>24606703.9648</v>
      </c>
      <c r="F104" s="75">
        <f>5001.58*757.52</f>
        <v>3788796.8816</v>
      </c>
      <c r="G104" s="50">
        <f>28105.17*757.52</f>
        <v>21290228.378399998</v>
      </c>
      <c r="H104" s="49">
        <f>3680791.42*758.022</f>
        <v>2790120873.7712402</v>
      </c>
      <c r="I104" s="52">
        <f t="shared" si="50"/>
        <v>4.9870871770764996E-3</v>
      </c>
      <c r="J104" s="75">
        <f>3658893.08*757.52</f>
        <v>2771684685.9615998</v>
      </c>
      <c r="K104" s="52">
        <f t="shared" si="51"/>
        <v>4.8455500247724312E-3</v>
      </c>
      <c r="L104" s="52">
        <f t="shared" si="52"/>
        <v>-6.6076663498529043E-3</v>
      </c>
      <c r="M104" s="53">
        <f t="shared" si="53"/>
        <v>1.3669653336795512E-3</v>
      </c>
      <c r="N104" s="54">
        <f t="shared" si="47"/>
        <v>7.6813313167380113E-3</v>
      </c>
      <c r="O104" s="55">
        <f t="shared" si="48"/>
        <v>891.01298479995194</v>
      </c>
      <c r="P104" s="55">
        <f t="shared" si="49"/>
        <v>6.8441659437640805</v>
      </c>
      <c r="Q104" s="49">
        <f>1.18*757.52</f>
        <v>893.8735999999999</v>
      </c>
      <c r="R104" s="49">
        <f>1.18*757.52</f>
        <v>893.8735999999999</v>
      </c>
      <c r="S104" s="49">
        <v>148</v>
      </c>
      <c r="T104" s="49">
        <v>3152769.6</v>
      </c>
      <c r="U104" s="49">
        <v>3110711.89</v>
      </c>
    </row>
    <row r="105" spans="1:21" ht="15.75">
      <c r="A105" s="47">
        <v>89</v>
      </c>
      <c r="B105" s="56" t="s">
        <v>145</v>
      </c>
      <c r="C105" s="56" t="s">
        <v>42</v>
      </c>
      <c r="D105" s="75">
        <f>10590747.52*757.52</f>
        <v>8022703061.350399</v>
      </c>
      <c r="E105" s="75">
        <f>99877.06*757.52</f>
        <v>75658870.4912</v>
      </c>
      <c r="F105" s="75">
        <f>39034.68*757.52</f>
        <v>29569550.7936</v>
      </c>
      <c r="G105" s="50">
        <f>60842.38*757.52</f>
        <v>46089319.6976</v>
      </c>
      <c r="H105" s="49">
        <f>10573431*758.022</f>
        <v>8014893313.4820004</v>
      </c>
      <c r="I105" s="52">
        <f t="shared" si="50"/>
        <v>1.4325892489122121E-2</v>
      </c>
      <c r="J105" s="75">
        <f>10711000*757.52</f>
        <v>8113796720</v>
      </c>
      <c r="K105" s="52">
        <f t="shared" si="51"/>
        <v>1.4184805398942546E-2</v>
      </c>
      <c r="L105" s="52">
        <f t="shared" si="52"/>
        <v>1.2339952966264991E-2</v>
      </c>
      <c r="M105" s="53">
        <f t="shared" si="53"/>
        <v>3.6443544020166186E-3</v>
      </c>
      <c r="N105" s="54">
        <f t="shared" si="47"/>
        <v>5.6803641116609091E-3</v>
      </c>
      <c r="O105" s="55">
        <f t="shared" si="48"/>
        <v>777.92045741411573</v>
      </c>
      <c r="P105" s="55">
        <f t="shared" si="49"/>
        <v>4.4188714480219815</v>
      </c>
      <c r="Q105" s="49">
        <f>1.0269*757.52</f>
        <v>777.89728799999989</v>
      </c>
      <c r="R105" s="49">
        <f>1.0269*757.52</f>
        <v>777.89728799999989</v>
      </c>
      <c r="S105" s="49">
        <v>362</v>
      </c>
      <c r="T105" s="49">
        <v>10474814</v>
      </c>
      <c r="U105" s="49">
        <v>10430111</v>
      </c>
    </row>
    <row r="106" spans="1:21" ht="15.75">
      <c r="A106" s="47">
        <v>90</v>
      </c>
      <c r="B106" s="48" t="s">
        <v>146</v>
      </c>
      <c r="C106" s="56" t="s">
        <v>81</v>
      </c>
      <c r="D106" s="75">
        <f>247105*757.52</f>
        <v>187186979.59999999</v>
      </c>
      <c r="E106" s="75">
        <f>1996.6*757.52</f>
        <v>1512464.4319999998</v>
      </c>
      <c r="F106" s="75">
        <f>104.58*757.52</f>
        <v>79221.441599999991</v>
      </c>
      <c r="G106" s="50">
        <f>1892.02*757.52</f>
        <v>1433242.9904</v>
      </c>
      <c r="H106" s="49">
        <f>758.022*252983.1</f>
        <v>191766755.42820001</v>
      </c>
      <c r="I106" s="52">
        <f t="shared" si="50"/>
        <v>3.4276562566728152E-4</v>
      </c>
      <c r="J106" s="75">
        <f>241737.67*757.52</f>
        <v>183121119.7784</v>
      </c>
      <c r="K106" s="52">
        <f t="shared" si="51"/>
        <v>3.2013834436969392E-4</v>
      </c>
      <c r="L106" s="52">
        <f t="shared" si="52"/>
        <v>-4.5084121230997427E-2</v>
      </c>
      <c r="M106" s="53">
        <f t="shared" si="53"/>
        <v>4.3261772151605491E-4</v>
      </c>
      <c r="N106" s="54">
        <f t="shared" si="47"/>
        <v>7.8267487231096413E-3</v>
      </c>
      <c r="O106" s="55">
        <f t="shared" si="48"/>
        <v>716.7587912339277</v>
      </c>
      <c r="P106" s="55">
        <f t="shared" si="49"/>
        <v>5.6098909540677537</v>
      </c>
      <c r="Q106" s="49">
        <f>0.95*757.52</f>
        <v>719.64400000000001</v>
      </c>
      <c r="R106" s="49">
        <f>0.95*757.52</f>
        <v>719.64400000000001</v>
      </c>
      <c r="S106" s="49">
        <v>3</v>
      </c>
      <c r="T106" s="49">
        <v>255485</v>
      </c>
      <c r="U106" s="49">
        <v>255485</v>
      </c>
    </row>
    <row r="107" spans="1:21" ht="14.25" customHeight="1">
      <c r="A107" s="47">
        <v>91</v>
      </c>
      <c r="B107" s="48" t="s">
        <v>147</v>
      </c>
      <c r="C107" s="48" t="s">
        <v>44</v>
      </c>
      <c r="D107" s="100">
        <f>757.52*453687730.83</f>
        <v>343677529858.34155</v>
      </c>
      <c r="E107" s="81">
        <f>3527363.28*757.52</f>
        <v>2672048231.8655996</v>
      </c>
      <c r="F107" s="75">
        <f>755892.5*757.52</f>
        <v>572603686.60000002</v>
      </c>
      <c r="G107" s="50">
        <f>2771470.78*757.52</f>
        <v>2099444545.2655997</v>
      </c>
      <c r="H107" s="49">
        <v>335895627480.60602</v>
      </c>
      <c r="I107" s="52">
        <f t="shared" si="50"/>
        <v>0.6003828695709541</v>
      </c>
      <c r="J107" s="75">
        <f>453504231.91*757.52</f>
        <v>343538525756.4632</v>
      </c>
      <c r="K107" s="52">
        <f t="shared" si="51"/>
        <v>0.60058531203811594</v>
      </c>
      <c r="L107" s="52">
        <f t="shared" si="52"/>
        <v>2.2753789125458217E-2</v>
      </c>
      <c r="M107" s="53">
        <f t="shared" si="53"/>
        <v>1.6667815795597921E-3</v>
      </c>
      <c r="N107" s="54">
        <f t="shared" si="47"/>
        <v>6.1112346588862937E-3</v>
      </c>
      <c r="O107" s="55">
        <f t="shared" si="48"/>
        <v>1082.9402344490368</v>
      </c>
      <c r="P107" s="55">
        <f t="shared" si="49"/>
        <v>6.6181018942674026</v>
      </c>
      <c r="Q107" s="49">
        <f>1.4296*757.52</f>
        <v>1082.9505919999999</v>
      </c>
      <c r="R107" s="49">
        <f>1.4296*757.52</f>
        <v>1082.9505919999999</v>
      </c>
      <c r="S107" s="49">
        <v>5266</v>
      </c>
      <c r="T107" s="49">
        <v>311883349.5</v>
      </c>
      <c r="U107" s="49">
        <v>317227594.68000001</v>
      </c>
    </row>
    <row r="108" spans="1:21" ht="14.25" customHeight="1">
      <c r="A108" s="47">
        <v>92</v>
      </c>
      <c r="B108" s="48" t="s">
        <v>275</v>
      </c>
      <c r="C108" s="48" t="s">
        <v>48</v>
      </c>
      <c r="D108" s="100">
        <f>8839441*757.52</f>
        <v>6696053346.3199997</v>
      </c>
      <c r="E108" s="81">
        <f>133729*757.52</f>
        <v>101302392.08</v>
      </c>
      <c r="F108" s="75">
        <f>31592*757.52</f>
        <v>23931571.84</v>
      </c>
      <c r="G108" s="50">
        <f>165321*757.52</f>
        <v>125233963.92</v>
      </c>
      <c r="H108" s="49">
        <f>12830793*758.022</f>
        <v>9726023371.4460011</v>
      </c>
      <c r="I108" s="52">
        <f t="shared" si="50"/>
        <v>1.7384381764838745E-2</v>
      </c>
      <c r="J108" s="75">
        <f>15949741*757.52</f>
        <v>12082247802.32</v>
      </c>
      <c r="K108" s="52">
        <f t="shared" si="51"/>
        <v>2.112258166824155E-2</v>
      </c>
      <c r="L108" s="52">
        <f t="shared" ref="L108" si="54">((J108-H108)/H108)</f>
        <v>0.24225979528195302</v>
      </c>
      <c r="M108" s="53">
        <f t="shared" ref="M108" si="55">(F108/J108)</f>
        <v>1.980721818617619E-3</v>
      </c>
      <c r="N108" s="54">
        <f t="shared" ref="N108" si="56">G108/J108</f>
        <v>1.0365121289430342E-2</v>
      </c>
      <c r="O108" s="55">
        <f t="shared" ref="O108" si="57">J108/U108</f>
        <v>799.77810301979218</v>
      </c>
      <c r="P108" s="55">
        <f t="shared" ref="P108" si="58">G108/U108</f>
        <v>8.2897970424306617</v>
      </c>
      <c r="Q108" s="49">
        <f>1.06*757.52</f>
        <v>802.97120000000007</v>
      </c>
      <c r="R108" s="49">
        <f>1.06*757.52</f>
        <v>802.97120000000007</v>
      </c>
      <c r="S108" s="49">
        <v>60</v>
      </c>
      <c r="T108" s="49">
        <v>12239460</v>
      </c>
      <c r="U108" s="49">
        <v>15107000</v>
      </c>
    </row>
    <row r="109" spans="1:21" ht="14.25" customHeight="1">
      <c r="A109" s="47">
        <v>93</v>
      </c>
      <c r="B109" s="56" t="s">
        <v>148</v>
      </c>
      <c r="C109" s="56" t="s">
        <v>265</v>
      </c>
      <c r="D109" s="75">
        <f>19165375.71*757.523</f>
        <v>14518212903.966331</v>
      </c>
      <c r="E109" s="75">
        <f>96965.12*757.523</f>
        <v>73453308.597759992</v>
      </c>
      <c r="F109" s="75">
        <f>37832.09*757.523</f>
        <v>28658678.313069999</v>
      </c>
      <c r="G109" s="50">
        <f>59133.03*757.523</f>
        <v>44794630.28469</v>
      </c>
      <c r="H109" s="49">
        <v>12336332611.6546</v>
      </c>
      <c r="I109" s="52">
        <f t="shared" si="50"/>
        <v>2.2050072008736016E-2</v>
      </c>
      <c r="J109" s="75">
        <f>19250433.11*757.523</f>
        <v>14582645840.78653</v>
      </c>
      <c r="K109" s="52">
        <f t="shared" si="51"/>
        <v>2.5493859482993778E-2</v>
      </c>
      <c r="L109" s="52">
        <f t="shared" si="52"/>
        <v>0.18208922374626574</v>
      </c>
      <c r="M109" s="53">
        <f t="shared" si="53"/>
        <v>1.9652591598236513E-3</v>
      </c>
      <c r="N109" s="54">
        <f t="shared" si="47"/>
        <v>3.0717766017057681E-3</v>
      </c>
      <c r="O109" s="55">
        <f t="shared" si="48"/>
        <v>813.214181142538</v>
      </c>
      <c r="P109" s="55">
        <f t="shared" si="49"/>
        <v>2.4980122938089644</v>
      </c>
      <c r="Q109" s="49">
        <f>1.1*757.523</f>
        <v>833.27530000000013</v>
      </c>
      <c r="R109" s="49">
        <f>1.1*757.523</f>
        <v>833.27530000000013</v>
      </c>
      <c r="S109" s="49">
        <v>729</v>
      </c>
      <c r="T109" s="49">
        <v>15354513.279999999</v>
      </c>
      <c r="U109" s="49">
        <v>17932109.620000001</v>
      </c>
    </row>
    <row r="110" spans="1:21">
      <c r="A110" s="122" t="s">
        <v>49</v>
      </c>
      <c r="B110" s="122"/>
      <c r="C110" s="122"/>
      <c r="D110" s="122"/>
      <c r="E110" s="122"/>
      <c r="F110" s="122"/>
      <c r="G110" s="122"/>
      <c r="H110" s="74">
        <f>SUM(H89:H109)</f>
        <v>559469039682.36792</v>
      </c>
      <c r="I110" s="69">
        <f>(H110/$H$168)</f>
        <v>0.29229151122519331</v>
      </c>
      <c r="J110" s="74">
        <f>SUM(J89:J109)</f>
        <v>572006206063.62854</v>
      </c>
      <c r="K110" s="69">
        <f>(J110/$J$168)</f>
        <v>0.30905914579509591</v>
      </c>
      <c r="L110" s="69">
        <f t="shared" ref="L110" si="59">((J110-H110)/H110)</f>
        <v>2.2409044097200539E-2</v>
      </c>
      <c r="M110" s="53"/>
      <c r="N110" s="53"/>
      <c r="O110" s="73"/>
      <c r="P110" s="73"/>
      <c r="Q110" s="74"/>
      <c r="R110" s="74"/>
      <c r="S110" s="101">
        <f>SUM(S89:S109)</f>
        <v>11540</v>
      </c>
      <c r="T110" s="101"/>
      <c r="U110" s="74"/>
    </row>
    <row r="111" spans="1:21" ht="8.25" customHeight="1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</row>
    <row r="112" spans="1:21">
      <c r="A112" s="125" t="s">
        <v>149</v>
      </c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</row>
    <row r="113" spans="1:21" ht="15.75">
      <c r="A113" s="47">
        <v>94</v>
      </c>
      <c r="B113" s="48" t="s">
        <v>150</v>
      </c>
      <c r="C113" s="48" t="s">
        <v>42</v>
      </c>
      <c r="D113" s="75">
        <v>35829799544</v>
      </c>
      <c r="E113" s="75">
        <v>324332773</v>
      </c>
      <c r="F113" s="76">
        <v>110818060</v>
      </c>
      <c r="G113" s="58">
        <v>213514712</v>
      </c>
      <c r="H113" s="49">
        <v>53852343622</v>
      </c>
      <c r="I113" s="52">
        <f>(H113/$H$117)</f>
        <v>0.57851336387431374</v>
      </c>
      <c r="J113" s="75">
        <v>54065858337</v>
      </c>
      <c r="K113" s="52">
        <f>(J113/$J$117)</f>
        <v>0.58078754211566064</v>
      </c>
      <c r="L113" s="52">
        <f>((J113-H113)/H113)</f>
        <v>3.9648175109833848E-3</v>
      </c>
      <c r="M113" s="53">
        <f>(F113/J113)</f>
        <v>2.04968650103094E-3</v>
      </c>
      <c r="N113" s="54">
        <f>G113/J113</f>
        <v>3.9491597575152353E-3</v>
      </c>
      <c r="O113" s="55">
        <f>J113/U113</f>
        <v>101.88648282288824</v>
      </c>
      <c r="P113" s="55">
        <f>G113/U113</f>
        <v>0.40236599779891757</v>
      </c>
      <c r="Q113" s="49">
        <v>101.89</v>
      </c>
      <c r="R113" s="49">
        <v>101.89</v>
      </c>
      <c r="S113" s="49">
        <v>675</v>
      </c>
      <c r="T113" s="49">
        <v>530648000</v>
      </c>
      <c r="U113" s="49">
        <v>530648000</v>
      </c>
    </row>
    <row r="114" spans="1:21" ht="15.75">
      <c r="A114" s="47">
        <v>95</v>
      </c>
      <c r="B114" s="48" t="s">
        <v>151</v>
      </c>
      <c r="C114" s="48" t="s">
        <v>118</v>
      </c>
      <c r="D114" s="75">
        <v>3059953055.9699998</v>
      </c>
      <c r="E114" s="75">
        <v>29016263.469999999</v>
      </c>
      <c r="F114" s="76">
        <v>8101903.25</v>
      </c>
      <c r="G114" s="58">
        <v>20914360.219999999</v>
      </c>
      <c r="H114" s="49">
        <v>2424627095.6300001</v>
      </c>
      <c r="I114" s="52">
        <f t="shared" ref="I114:I116" si="60">(H114/$H$117)</f>
        <v>2.6046761995715446E-2</v>
      </c>
      <c r="J114" s="75">
        <v>2297008766.2199998</v>
      </c>
      <c r="K114" s="52">
        <f t="shared" ref="K114:K116" si="61">(J114/$J$117)</f>
        <v>2.4674981894036913E-2</v>
      </c>
      <c r="L114" s="52">
        <f>((J114-H114)/H114)</f>
        <v>-5.2634209046006214E-2</v>
      </c>
      <c r="M114" s="53">
        <f>(F114/J114)</f>
        <v>3.5271538224613055E-3</v>
      </c>
      <c r="N114" s="54">
        <f>G114/J114</f>
        <v>9.1050415338279518E-3</v>
      </c>
      <c r="O114" s="55">
        <f>J114/U114</f>
        <v>114.85043831099999</v>
      </c>
      <c r="P114" s="55">
        <f>G114/U114</f>
        <v>1.0457180109999999</v>
      </c>
      <c r="Q114" s="58">
        <v>92.15</v>
      </c>
      <c r="R114" s="58">
        <v>92.15</v>
      </c>
      <c r="S114" s="49">
        <v>2733</v>
      </c>
      <c r="T114" s="49">
        <v>20000000</v>
      </c>
      <c r="U114" s="49">
        <v>20000000</v>
      </c>
    </row>
    <row r="115" spans="1:21" ht="15.75">
      <c r="A115" s="47">
        <v>96</v>
      </c>
      <c r="B115" s="48" t="s">
        <v>152</v>
      </c>
      <c r="C115" s="48" t="s">
        <v>118</v>
      </c>
      <c r="D115" s="75">
        <v>11223047114.790001</v>
      </c>
      <c r="E115" s="75">
        <v>59765996.32</v>
      </c>
      <c r="F115" s="102" t="s">
        <v>258</v>
      </c>
      <c r="G115" s="58">
        <v>42114201.259999998</v>
      </c>
      <c r="H115" s="49">
        <v>9928976176</v>
      </c>
      <c r="I115" s="52">
        <f t="shared" si="60"/>
        <v>0.10666286778017024</v>
      </c>
      <c r="J115" s="75">
        <v>9971090377.2099991</v>
      </c>
      <c r="K115" s="52">
        <f t="shared" si="61"/>
        <v>0.10711168287195726</v>
      </c>
      <c r="L115" s="52">
        <f>((J115-H115)/H115)</f>
        <v>4.2415451969555701E-3</v>
      </c>
      <c r="M115" s="53">
        <f>(F115/J115)</f>
        <v>1.7702973689161495E-3</v>
      </c>
      <c r="N115" s="54">
        <f>G115/J115</f>
        <v>4.2236304824050681E-3</v>
      </c>
      <c r="O115" s="55">
        <f>J115/U115</f>
        <v>53.001891695956175</v>
      </c>
      <c r="P115" s="55">
        <f>G115/U115</f>
        <v>0.22386040539217253</v>
      </c>
      <c r="Q115" s="58">
        <v>36.6</v>
      </c>
      <c r="R115" s="58">
        <v>36.6</v>
      </c>
      <c r="S115" s="49">
        <v>5267</v>
      </c>
      <c r="T115" s="49">
        <v>188127066</v>
      </c>
      <c r="U115" s="49">
        <v>188127066</v>
      </c>
    </row>
    <row r="116" spans="1:21" ht="15.75" customHeight="1">
      <c r="A116" s="47">
        <v>97</v>
      </c>
      <c r="B116" s="48" t="s">
        <v>153</v>
      </c>
      <c r="C116" s="56" t="s">
        <v>154</v>
      </c>
      <c r="D116" s="75">
        <v>26810861612.700001</v>
      </c>
      <c r="E116" s="75">
        <v>143693174.15000001</v>
      </c>
      <c r="F116" s="103">
        <v>55987433.490000002</v>
      </c>
      <c r="G116" s="58">
        <v>87705740.659999996</v>
      </c>
      <c r="H116" s="57">
        <v>26881520025.630001</v>
      </c>
      <c r="I116" s="52">
        <f t="shared" si="60"/>
        <v>0.28877700634980064</v>
      </c>
      <c r="J116" s="75">
        <v>26756638333.75</v>
      </c>
      <c r="K116" s="52">
        <f t="shared" si="61"/>
        <v>0.28742579311834532</v>
      </c>
      <c r="L116" s="52">
        <f>((J116-H116)/H116)</f>
        <v>-4.6456335713506332E-3</v>
      </c>
      <c r="M116" s="53">
        <f>(F116/J116)</f>
        <v>2.0924688965646022E-3</v>
      </c>
      <c r="N116" s="54">
        <f>G116/J116</f>
        <v>3.2779058253132897E-3</v>
      </c>
      <c r="O116" s="55">
        <f>J116/U116</f>
        <v>10.027712093456078</v>
      </c>
      <c r="P116" s="55">
        <f>G116/U116</f>
        <v>3.2869895885704201E-2</v>
      </c>
      <c r="Q116" s="58">
        <v>10.029999999999999</v>
      </c>
      <c r="R116" s="58">
        <v>10.029999999999999</v>
      </c>
      <c r="S116" s="49">
        <v>28836</v>
      </c>
      <c r="T116" s="49">
        <v>2668269500</v>
      </c>
      <c r="U116" s="49">
        <v>2668269500</v>
      </c>
    </row>
    <row r="117" spans="1:21" ht="16.5" customHeight="1">
      <c r="A117" s="122" t="s">
        <v>49</v>
      </c>
      <c r="B117" s="122"/>
      <c r="C117" s="122"/>
      <c r="D117" s="122"/>
      <c r="E117" s="122"/>
      <c r="F117" s="122"/>
      <c r="G117" s="122"/>
      <c r="H117" s="87">
        <f>SUM(H113:H116)</f>
        <v>93087466919.259995</v>
      </c>
      <c r="I117" s="69">
        <f>(H117/$H$168)</f>
        <v>4.8633033201270805E-2</v>
      </c>
      <c r="J117" s="87">
        <f>SUM(J113:J116)</f>
        <v>93090595814.179993</v>
      </c>
      <c r="K117" s="69">
        <f>(J117/$J$168)</f>
        <v>5.0297531248614878E-2</v>
      </c>
      <c r="L117" s="70">
        <f>((J117-H117)/H117)</f>
        <v>3.3612418766449363E-5</v>
      </c>
      <c r="M117" s="89"/>
      <c r="N117" s="90"/>
      <c r="O117" s="73"/>
      <c r="P117" s="73"/>
      <c r="Q117" s="74"/>
      <c r="R117" s="74"/>
      <c r="S117" s="74">
        <f>SUM(S113:S116)</f>
        <v>37511</v>
      </c>
      <c r="T117" s="74"/>
      <c r="U117" s="74"/>
    </row>
    <row r="118" spans="1:21" ht="6.75" customHeight="1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</row>
    <row r="119" spans="1:21" ht="15" customHeight="1">
      <c r="A119" s="125" t="s">
        <v>3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</row>
    <row r="120" spans="1:21" ht="15.75">
      <c r="A120" s="47">
        <v>98</v>
      </c>
      <c r="B120" s="48" t="s">
        <v>155</v>
      </c>
      <c r="C120" s="48" t="s">
        <v>52</v>
      </c>
      <c r="D120" s="94">
        <v>215076631.00999999</v>
      </c>
      <c r="E120" s="94">
        <v>1252824.8799999999</v>
      </c>
      <c r="F120" s="75">
        <v>492762.89</v>
      </c>
      <c r="G120" s="50">
        <v>760061.99</v>
      </c>
      <c r="H120" s="49">
        <v>194316104</v>
      </c>
      <c r="I120" s="52">
        <f>(H120/$H$144)</f>
        <v>5.0279439506158152E-3</v>
      </c>
      <c r="J120" s="75">
        <v>201073370.47</v>
      </c>
      <c r="K120" s="52">
        <f>(J120/$J$144)</f>
        <v>5.1119520509314651E-3</v>
      </c>
      <c r="L120" s="52">
        <f>((J120-H120)/H120)</f>
        <v>3.4774608644891312E-2</v>
      </c>
      <c r="M120" s="53">
        <f t="shared" ref="M120:M143" si="62">(F120/J120)</f>
        <v>2.4506621083049875E-3</v>
      </c>
      <c r="N120" s="54">
        <f t="shared" ref="N120:N143" si="63">G120/J120</f>
        <v>3.7800231240138322E-3</v>
      </c>
      <c r="O120" s="55">
        <f t="shared" ref="O120:O143" si="64">J120/U120</f>
        <v>4.5537848365307942</v>
      </c>
      <c r="P120" s="55">
        <f t="shared" ref="P120:P143" si="65">G120/U120</f>
        <v>1.7213411983869952E-2</v>
      </c>
      <c r="Q120" s="49">
        <v>4.5087000000000002</v>
      </c>
      <c r="R120" s="49">
        <v>4.6003999999999996</v>
      </c>
      <c r="S120" s="49">
        <v>11821</v>
      </c>
      <c r="T120" s="49">
        <v>44110710.899999999</v>
      </c>
      <c r="U120" s="49">
        <v>44155219.82</v>
      </c>
    </row>
    <row r="121" spans="1:21" ht="15.75">
      <c r="A121" s="47">
        <v>99</v>
      </c>
      <c r="B121" s="48" t="s">
        <v>156</v>
      </c>
      <c r="C121" s="56" t="s">
        <v>26</v>
      </c>
      <c r="D121" s="76">
        <v>3538826894.79</v>
      </c>
      <c r="E121" s="76">
        <v>187222343.44</v>
      </c>
      <c r="F121" s="76">
        <v>17934127.34</v>
      </c>
      <c r="G121" s="76">
        <v>75981198.939999998</v>
      </c>
      <c r="H121" s="57">
        <v>5901850628</v>
      </c>
      <c r="I121" s="52">
        <f t="shared" ref="I121:I143" si="66">(H121/$H$144)</f>
        <v>0.15271083328477372</v>
      </c>
      <c r="J121" s="49">
        <v>5968591398</v>
      </c>
      <c r="K121" s="52">
        <f t="shared" ref="K121:K143" si="67">(J121/$J$144)</f>
        <v>0.15174139154707331</v>
      </c>
      <c r="L121" s="52">
        <f t="shared" ref="L121:L144" si="68">((J121-H121)/H121)</f>
        <v>1.1308447842336684E-2</v>
      </c>
      <c r="M121" s="53">
        <f t="shared" si="62"/>
        <v>3.0047503915261314E-3</v>
      </c>
      <c r="N121" s="54">
        <f t="shared" si="63"/>
        <v>1.2730172644329504E-2</v>
      </c>
      <c r="O121" s="55">
        <f t="shared" si="64"/>
        <v>640.25072407241498</v>
      </c>
      <c r="P121" s="55">
        <f t="shared" si="65"/>
        <v>8.1505022530988143</v>
      </c>
      <c r="Q121" s="58">
        <v>637.04949999999997</v>
      </c>
      <c r="R121" s="49">
        <v>656.25710000000004</v>
      </c>
      <c r="S121" s="49">
        <v>1994</v>
      </c>
      <c r="T121" s="49">
        <v>9346070</v>
      </c>
      <c r="U121" s="49">
        <v>9322272</v>
      </c>
    </row>
    <row r="122" spans="1:21" ht="15.75">
      <c r="A122" s="47">
        <v>100</v>
      </c>
      <c r="B122" s="48" t="s">
        <v>157</v>
      </c>
      <c r="C122" s="48" t="s">
        <v>100</v>
      </c>
      <c r="D122" s="104">
        <v>1304523290.3099999</v>
      </c>
      <c r="E122" s="104">
        <v>7000630.3399999999</v>
      </c>
      <c r="F122" s="105">
        <v>2122386.8199999998</v>
      </c>
      <c r="G122" s="50">
        <v>79756731.189999998</v>
      </c>
      <c r="H122" s="49">
        <v>1177612653.5699999</v>
      </c>
      <c r="I122" s="52">
        <f t="shared" si="66"/>
        <v>3.0470816858729932E-2</v>
      </c>
      <c r="J122" s="75">
        <v>1254260829.77</v>
      </c>
      <c r="K122" s="52">
        <f t="shared" si="67"/>
        <v>3.1887470758353735E-2</v>
      </c>
      <c r="L122" s="52">
        <f t="shared" si="68"/>
        <v>6.5087765461450106E-2</v>
      </c>
      <c r="M122" s="53">
        <f t="shared" si="62"/>
        <v>1.6921415144481491E-3</v>
      </c>
      <c r="N122" s="54">
        <f t="shared" si="63"/>
        <v>6.3588632680672469E-2</v>
      </c>
      <c r="O122" s="55">
        <f t="shared" si="64"/>
        <v>2.9688512953764326</v>
      </c>
      <c r="P122" s="55">
        <f t="shared" si="65"/>
        <v>0.18878519450523062</v>
      </c>
      <c r="Q122" s="106">
        <v>2.8734000000000002</v>
      </c>
      <c r="R122" s="106">
        <v>2.9416000000000002</v>
      </c>
      <c r="S122" s="106">
        <v>2758</v>
      </c>
      <c r="T122" s="106">
        <v>423593440.2335</v>
      </c>
      <c r="U122" s="106">
        <v>422473443.4235</v>
      </c>
    </row>
    <row r="123" spans="1:21" ht="16.5" customHeight="1">
      <c r="A123" s="47">
        <v>101</v>
      </c>
      <c r="B123" s="48" t="s">
        <v>158</v>
      </c>
      <c r="C123" s="48" t="s">
        <v>58</v>
      </c>
      <c r="D123" s="94">
        <v>2842290820.3899999</v>
      </c>
      <c r="E123" s="94">
        <v>28083935.140000001</v>
      </c>
      <c r="F123" s="75">
        <v>7588096.6799999997</v>
      </c>
      <c r="G123" s="50">
        <v>20968730.690000001</v>
      </c>
      <c r="H123" s="49">
        <v>2732899103.4200001</v>
      </c>
      <c r="I123" s="52">
        <f t="shared" si="66"/>
        <v>7.071397188307138E-2</v>
      </c>
      <c r="J123" s="75">
        <v>2810484545.9400001</v>
      </c>
      <c r="K123" s="52">
        <f t="shared" si="67"/>
        <v>7.1451839719734178E-2</v>
      </c>
      <c r="L123" s="52">
        <f t="shared" si="68"/>
        <v>2.8389428070325805E-2</v>
      </c>
      <c r="M123" s="53">
        <f t="shared" si="62"/>
        <v>2.6999247126128817E-3</v>
      </c>
      <c r="N123" s="54">
        <f t="shared" si="63"/>
        <v>7.4608952112158863E-3</v>
      </c>
      <c r="O123" s="55">
        <f t="shared" si="64"/>
        <v>5229.0497234849163</v>
      </c>
      <c r="P123" s="55">
        <f t="shared" si="65"/>
        <v>39.013392041158369</v>
      </c>
      <c r="Q123" s="49">
        <v>5229.05</v>
      </c>
      <c r="R123" s="49">
        <v>5265.04</v>
      </c>
      <c r="S123" s="49">
        <v>836</v>
      </c>
      <c r="T123" s="49">
        <v>537260.86</v>
      </c>
      <c r="U123" s="49">
        <v>537475.19999999995</v>
      </c>
    </row>
    <row r="124" spans="1:21" ht="15" customHeight="1">
      <c r="A124" s="47">
        <v>102</v>
      </c>
      <c r="B124" s="48" t="s">
        <v>159</v>
      </c>
      <c r="C124" s="56" t="s">
        <v>60</v>
      </c>
      <c r="D124" s="94">
        <v>333399056.11000001</v>
      </c>
      <c r="E124" s="94">
        <v>1990688.81</v>
      </c>
      <c r="F124" s="75">
        <v>830275.39</v>
      </c>
      <c r="G124" s="50">
        <v>265664.28000000003</v>
      </c>
      <c r="H124" s="49">
        <v>393330628.58999997</v>
      </c>
      <c r="I124" s="52">
        <f t="shared" si="66"/>
        <v>1.0177459890874544E-2</v>
      </c>
      <c r="J124" s="75">
        <v>384996678.5</v>
      </c>
      <c r="K124" s="52">
        <f t="shared" si="67"/>
        <v>9.7878926267539416E-3</v>
      </c>
      <c r="L124" s="52">
        <f t="shared" si="68"/>
        <v>-2.1188154403015275E-2</v>
      </c>
      <c r="M124" s="53">
        <f t="shared" si="62"/>
        <v>2.1565780599325352E-3</v>
      </c>
      <c r="N124" s="54">
        <f t="shared" si="63"/>
        <v>6.90043044098626E-4</v>
      </c>
      <c r="O124" s="55">
        <f t="shared" si="64"/>
        <v>145.83726787999271</v>
      </c>
      <c r="P124" s="55">
        <f t="shared" si="65"/>
        <v>0.10063399227093693</v>
      </c>
      <c r="Q124" s="49">
        <v>152.66</v>
      </c>
      <c r="R124" s="49">
        <v>153.85</v>
      </c>
      <c r="S124" s="49">
        <v>608</v>
      </c>
      <c r="T124" s="49">
        <v>2644112</v>
      </c>
      <c r="U124" s="49">
        <v>2639906</v>
      </c>
    </row>
    <row r="125" spans="1:21" ht="15.75" customHeight="1">
      <c r="A125" s="47">
        <v>103</v>
      </c>
      <c r="B125" s="48" t="s">
        <v>160</v>
      </c>
      <c r="C125" s="56" t="s">
        <v>62</v>
      </c>
      <c r="D125" s="94">
        <v>248331135.28999999</v>
      </c>
      <c r="E125" s="94">
        <v>1956454.75</v>
      </c>
      <c r="F125" s="75">
        <v>691169.45</v>
      </c>
      <c r="G125" s="50">
        <v>3676035.92</v>
      </c>
      <c r="H125" s="49">
        <v>331444396.5</v>
      </c>
      <c r="I125" s="52">
        <f t="shared" si="66"/>
        <v>8.5761489348699822E-3</v>
      </c>
      <c r="J125" s="49">
        <v>331444396.5</v>
      </c>
      <c r="K125" s="52">
        <f t="shared" si="67"/>
        <v>8.4264159818751797E-3</v>
      </c>
      <c r="L125" s="52">
        <f t="shared" si="68"/>
        <v>0</v>
      </c>
      <c r="M125" s="53">
        <f t="shared" si="62"/>
        <v>2.0853254944076267E-3</v>
      </c>
      <c r="N125" s="54">
        <f t="shared" si="63"/>
        <v>1.1090958117917675E-2</v>
      </c>
      <c r="O125" s="55">
        <f t="shared" si="64"/>
        <v>137.41595449214111</v>
      </c>
      <c r="P125" s="55">
        <f t="shared" si="65"/>
        <v>1.5240745960060182</v>
      </c>
      <c r="Q125" s="49">
        <v>141.68</v>
      </c>
      <c r="R125" s="49">
        <v>142.58000000000001</v>
      </c>
      <c r="S125" s="49">
        <f>549+27+3</f>
        <v>579</v>
      </c>
      <c r="T125" s="49">
        <v>2411979</v>
      </c>
      <c r="U125" s="49">
        <v>2411979</v>
      </c>
    </row>
    <row r="126" spans="1:21" ht="15" customHeight="1">
      <c r="A126" s="47">
        <v>104</v>
      </c>
      <c r="B126" s="48" t="s">
        <v>161</v>
      </c>
      <c r="C126" s="56" t="s">
        <v>64</v>
      </c>
      <c r="D126" s="94">
        <v>155718652.12</v>
      </c>
      <c r="E126" s="94">
        <v>4038587.21</v>
      </c>
      <c r="F126" s="75">
        <v>416589.6</v>
      </c>
      <c r="G126" s="50">
        <v>3910563.6</v>
      </c>
      <c r="H126" s="57">
        <v>161479444.72</v>
      </c>
      <c r="I126" s="52">
        <f t="shared" si="66"/>
        <v>4.1782928975805577E-3</v>
      </c>
      <c r="J126" s="75">
        <v>170594313.59999999</v>
      </c>
      <c r="K126" s="52">
        <f t="shared" si="67"/>
        <v>4.3370733242613924E-3</v>
      </c>
      <c r="L126" s="52">
        <f t="shared" si="68"/>
        <v>5.6446000887635427E-2</v>
      </c>
      <c r="M126" s="53">
        <f t="shared" si="62"/>
        <v>2.4419899538785095E-3</v>
      </c>
      <c r="N126" s="54">
        <f t="shared" si="63"/>
        <v>2.2923176731255362E-2</v>
      </c>
      <c r="O126" s="55">
        <f t="shared" si="64"/>
        <v>1.4589704976311344</v>
      </c>
      <c r="P126" s="55">
        <f t="shared" si="65"/>
        <v>3.3444238562886079E-2</v>
      </c>
      <c r="Q126" s="49">
        <v>1.4477</v>
      </c>
      <c r="R126" s="49">
        <v>1.4605999999999999</v>
      </c>
      <c r="S126" s="49">
        <v>240</v>
      </c>
      <c r="T126" s="49">
        <v>113299290.75</v>
      </c>
      <c r="U126" s="49">
        <v>116927870.63</v>
      </c>
    </row>
    <row r="127" spans="1:21" ht="15" customHeight="1">
      <c r="A127" s="47">
        <v>105</v>
      </c>
      <c r="B127" s="61" t="s">
        <v>270</v>
      </c>
      <c r="C127" s="62" t="s">
        <v>46</v>
      </c>
      <c r="D127" s="94">
        <f>29294482.05+14119902.36+18427987.82</f>
        <v>61842372.229999997</v>
      </c>
      <c r="E127" s="94">
        <v>681050.84</v>
      </c>
      <c r="F127" s="75">
        <v>150664.10999999999</v>
      </c>
      <c r="G127" s="50">
        <v>530386.73</v>
      </c>
      <c r="H127" s="49">
        <v>81807956.609999999</v>
      </c>
      <c r="I127" s="52">
        <f t="shared" si="66"/>
        <v>2.1167870911486092E-3</v>
      </c>
      <c r="J127" s="75">
        <v>106358499.08</v>
      </c>
      <c r="K127" s="52">
        <f t="shared" si="67"/>
        <v>2.7039858447447562E-3</v>
      </c>
      <c r="L127" s="52">
        <f t="shared" ref="L127" si="69">((J127-H127)/H127)</f>
        <v>0.30009969063325809</v>
      </c>
      <c r="M127" s="53">
        <f t="shared" ref="M127" si="70">(F127/J127)</f>
        <v>1.4165685986850425E-3</v>
      </c>
      <c r="N127" s="54">
        <f t="shared" ref="N127" si="71">G127/J127</f>
        <v>4.9867827638396568E-3</v>
      </c>
      <c r="O127" s="55">
        <f t="shared" ref="O127" si="72">J127/U127</f>
        <v>121.83520438046583</v>
      </c>
      <c r="P127" s="55">
        <f t="shared" ref="P127" si="73">G127/U127</f>
        <v>0.60756569723338882</v>
      </c>
      <c r="Q127" s="49">
        <v>121.75490000000001</v>
      </c>
      <c r="R127" s="49">
        <v>122.03</v>
      </c>
      <c r="S127" s="49">
        <v>64</v>
      </c>
      <c r="T127" s="49">
        <v>697887.64</v>
      </c>
      <c r="U127" s="49">
        <v>872970.17</v>
      </c>
    </row>
    <row r="128" spans="1:21" ht="15" customHeight="1">
      <c r="A128" s="47">
        <v>106</v>
      </c>
      <c r="B128" s="61" t="s">
        <v>162</v>
      </c>
      <c r="C128" s="62" t="s">
        <v>163</v>
      </c>
      <c r="D128" s="94">
        <v>79830807.340000004</v>
      </c>
      <c r="E128" s="94">
        <v>1287366.1200000001</v>
      </c>
      <c r="F128" s="75">
        <v>442784.87</v>
      </c>
      <c r="G128" s="50">
        <v>844581.25</v>
      </c>
      <c r="H128" s="49">
        <v>174893840.34</v>
      </c>
      <c r="I128" s="52">
        <f t="shared" si="66"/>
        <v>4.5253914031616813E-3</v>
      </c>
      <c r="J128" s="75">
        <v>179714807.28</v>
      </c>
      <c r="K128" s="52">
        <f t="shared" si="67"/>
        <v>4.5689465268839132E-3</v>
      </c>
      <c r="L128" s="52">
        <f t="shared" si="68"/>
        <v>2.7565104240537357E-2</v>
      </c>
      <c r="M128" s="53">
        <f t="shared" si="62"/>
        <v>2.4638196301216878E-3</v>
      </c>
      <c r="N128" s="54">
        <f t="shared" si="63"/>
        <v>4.6995640636562684E-3</v>
      </c>
      <c r="O128" s="55">
        <f t="shared" si="64"/>
        <v>112.94301170375296</v>
      </c>
      <c r="P128" s="55">
        <f t="shared" si="65"/>
        <v>0.53078291904406671</v>
      </c>
      <c r="Q128" s="49">
        <v>112.94</v>
      </c>
      <c r="R128" s="49">
        <v>112.94</v>
      </c>
      <c r="S128" s="49">
        <v>49</v>
      </c>
      <c r="T128" s="49">
        <v>1566195</v>
      </c>
      <c r="U128" s="49">
        <v>1591199</v>
      </c>
    </row>
    <row r="129" spans="1:21" ht="15.75">
      <c r="A129" s="47">
        <v>107</v>
      </c>
      <c r="B129" s="48" t="s">
        <v>271</v>
      </c>
      <c r="C129" s="56" t="s">
        <v>69</v>
      </c>
      <c r="D129" s="94">
        <v>538093126.88999999</v>
      </c>
      <c r="E129" s="94">
        <v>9743307.4100000001</v>
      </c>
      <c r="F129" s="75">
        <v>1006452.92</v>
      </c>
      <c r="G129" s="50">
        <v>8736854.4900000002</v>
      </c>
      <c r="H129" s="67">
        <v>442982711.25999999</v>
      </c>
      <c r="I129" s="52">
        <f t="shared" si="66"/>
        <v>1.1462211301370623E-2</v>
      </c>
      <c r="J129" s="75">
        <v>549570455.97000003</v>
      </c>
      <c r="K129" s="52">
        <f t="shared" si="67"/>
        <v>1.3971903952076732E-2</v>
      </c>
      <c r="L129" s="52">
        <f t="shared" si="68"/>
        <v>0.24061378017852361</v>
      </c>
      <c r="M129" s="53">
        <f t="shared" si="62"/>
        <v>1.8313446603012815E-3</v>
      </c>
      <c r="N129" s="54">
        <f t="shared" si="63"/>
        <v>1.5897605839417482E-2</v>
      </c>
      <c r="O129" s="55">
        <f t="shared" si="64"/>
        <v>1.3299035566898434</v>
      </c>
      <c r="P129" s="55">
        <f t="shared" si="65"/>
        <v>2.1142282548694533E-2</v>
      </c>
      <c r="Q129" s="49">
        <v>1.26</v>
      </c>
      <c r="R129" s="49">
        <v>1.26</v>
      </c>
      <c r="S129" s="49">
        <v>105</v>
      </c>
      <c r="T129" s="49">
        <v>353578472.02999997</v>
      </c>
      <c r="U129" s="49">
        <v>413240834.80000001</v>
      </c>
    </row>
    <row r="130" spans="1:21" ht="15.75">
      <c r="A130" s="47">
        <v>108</v>
      </c>
      <c r="B130" s="66" t="s">
        <v>164</v>
      </c>
      <c r="C130" s="66" t="s">
        <v>73</v>
      </c>
      <c r="D130" s="94">
        <v>6372021825.2600002</v>
      </c>
      <c r="E130" s="94">
        <v>32056606.030000001</v>
      </c>
      <c r="F130" s="75">
        <v>19910945.690000001</v>
      </c>
      <c r="G130" s="50">
        <v>186984503.78999999</v>
      </c>
      <c r="H130" s="67">
        <v>5985241799.6499996</v>
      </c>
      <c r="I130" s="52">
        <f t="shared" si="66"/>
        <v>0.15486858618533814</v>
      </c>
      <c r="J130" s="75">
        <v>6372021825.2600002</v>
      </c>
      <c r="K130" s="52">
        <f t="shared" si="67"/>
        <v>0.16199793121326253</v>
      </c>
      <c r="L130" s="52">
        <f t="shared" si="68"/>
        <v>6.4622289049812223E-2</v>
      </c>
      <c r="M130" s="53">
        <f t="shared" si="62"/>
        <v>3.1247453690552238E-3</v>
      </c>
      <c r="N130" s="54">
        <f t="shared" si="63"/>
        <v>2.9344611320814236E-2</v>
      </c>
      <c r="O130" s="55">
        <f t="shared" si="64"/>
        <v>262.64336890212667</v>
      </c>
      <c r="P130" s="55">
        <f t="shared" si="65"/>
        <v>7.707167576422135</v>
      </c>
      <c r="Q130" s="49">
        <v>262.64</v>
      </c>
      <c r="R130" s="49">
        <v>265</v>
      </c>
      <c r="S130" s="49">
        <v>5456</v>
      </c>
      <c r="T130" s="49">
        <v>24277076.449999999</v>
      </c>
      <c r="U130" s="49">
        <v>24261118.23</v>
      </c>
    </row>
    <row r="131" spans="1:21" ht="15.75">
      <c r="A131" s="47">
        <v>109</v>
      </c>
      <c r="B131" s="107" t="s">
        <v>165</v>
      </c>
      <c r="C131" s="48" t="s">
        <v>75</v>
      </c>
      <c r="D131" s="94">
        <v>2382663439.7600002</v>
      </c>
      <c r="E131" s="94">
        <v>17567592.359999999</v>
      </c>
      <c r="F131" s="75">
        <v>12628769.109999999</v>
      </c>
      <c r="G131" s="50">
        <v>4938823.25</v>
      </c>
      <c r="H131" s="49">
        <v>2251366892.8699999</v>
      </c>
      <c r="I131" s="52">
        <f t="shared" si="66"/>
        <v>5.8254289359478101E-2</v>
      </c>
      <c r="J131" s="75">
        <v>2324248093.8499999</v>
      </c>
      <c r="K131" s="52">
        <f t="shared" si="67"/>
        <v>5.9090096229340118E-2</v>
      </c>
      <c r="L131" s="52">
        <f t="shared" si="68"/>
        <v>3.2371978645867196E-2</v>
      </c>
      <c r="M131" s="53">
        <f t="shared" si="62"/>
        <v>5.4334858414710283E-3</v>
      </c>
      <c r="N131" s="54">
        <f t="shared" si="63"/>
        <v>2.1249122514365873E-3</v>
      </c>
      <c r="O131" s="55">
        <f t="shared" si="64"/>
        <v>1.6319528558405354</v>
      </c>
      <c r="P131" s="55">
        <f t="shared" si="65"/>
        <v>3.4677566171424806E-3</v>
      </c>
      <c r="Q131" s="49">
        <v>1.6173999999999999</v>
      </c>
      <c r="R131" s="49">
        <v>1.6442000000000001</v>
      </c>
      <c r="S131" s="49">
        <v>10319</v>
      </c>
      <c r="T131" s="49">
        <v>1424514876.6300001</v>
      </c>
      <c r="U131" s="49">
        <v>1424212767.8699999</v>
      </c>
    </row>
    <row r="132" spans="1:21" ht="15.75">
      <c r="A132" s="47">
        <v>110</v>
      </c>
      <c r="B132" s="48" t="s">
        <v>263</v>
      </c>
      <c r="C132" s="56" t="s">
        <v>76</v>
      </c>
      <c r="D132" s="75">
        <v>160340322.68000001</v>
      </c>
      <c r="E132" s="94">
        <v>807438.05</v>
      </c>
      <c r="F132" s="75">
        <v>269384.59000000003</v>
      </c>
      <c r="G132" s="50">
        <v>538053.46</v>
      </c>
      <c r="H132" s="49">
        <v>144856285.88999999</v>
      </c>
      <c r="I132" s="52">
        <f t="shared" si="66"/>
        <v>3.7481674002135226E-3</v>
      </c>
      <c r="J132" s="75">
        <v>152863396.78999999</v>
      </c>
      <c r="K132" s="52">
        <f t="shared" si="67"/>
        <v>3.886294604334887E-3</v>
      </c>
      <c r="L132" s="52">
        <f t="shared" ref="L132:L133" si="74">((J132-H132)/H132)</f>
        <v>5.5276240522143395E-2</v>
      </c>
      <c r="M132" s="53">
        <f t="shared" ref="M132:M133" si="75">(F132/J132)</f>
        <v>1.7622569932164598E-3</v>
      </c>
      <c r="N132" s="54">
        <f t="shared" ref="N132:N133" si="76">G132/J132</f>
        <v>3.5198318976201E-3</v>
      </c>
      <c r="O132" s="55">
        <f t="shared" ref="O132:O133" si="77">J132/U132</f>
        <v>99.856515653232321</v>
      </c>
      <c r="P132" s="55">
        <f t="shared" ref="P132:P133" si="78">G132/U132</f>
        <v>0.35147814898144791</v>
      </c>
      <c r="Q132" s="49">
        <v>99.86</v>
      </c>
      <c r="R132" s="49">
        <v>104.74</v>
      </c>
      <c r="S132" s="49">
        <v>37</v>
      </c>
      <c r="T132" s="49">
        <v>2009899.47</v>
      </c>
      <c r="U132" s="49">
        <v>1530830.47</v>
      </c>
    </row>
    <row r="133" spans="1:21" ht="15.75">
      <c r="A133" s="47">
        <v>111</v>
      </c>
      <c r="B133" s="48" t="s">
        <v>264</v>
      </c>
      <c r="C133" s="56" t="s">
        <v>265</v>
      </c>
      <c r="D133" s="94">
        <v>2618615500.6599998</v>
      </c>
      <c r="E133" s="94">
        <v>11891647.779999999</v>
      </c>
      <c r="F133" s="75">
        <v>6887405.0099999998</v>
      </c>
      <c r="G133" s="50">
        <v>-14187735.779999999</v>
      </c>
      <c r="H133" s="49">
        <v>2559551591.46</v>
      </c>
      <c r="I133" s="52">
        <f t="shared" si="66"/>
        <v>6.6228591844196244E-2</v>
      </c>
      <c r="J133" s="75">
        <v>2134409623.76</v>
      </c>
      <c r="K133" s="52">
        <f t="shared" si="67"/>
        <v>5.4263772612971155E-2</v>
      </c>
      <c r="L133" s="52">
        <f t="shared" si="74"/>
        <v>-0.16610017517071957</v>
      </c>
      <c r="M133" s="53">
        <f t="shared" si="75"/>
        <v>3.2268431201444218E-3</v>
      </c>
      <c r="N133" s="54">
        <f t="shared" si="76"/>
        <v>-6.6471475868848098E-3</v>
      </c>
      <c r="O133" s="55">
        <f t="shared" si="77"/>
        <v>2.9764094841785598</v>
      </c>
      <c r="P133" s="55">
        <f t="shared" si="78"/>
        <v>-1.9784633120338575E-2</v>
      </c>
      <c r="Q133" s="49">
        <v>3.62</v>
      </c>
      <c r="R133" s="49">
        <v>3.69</v>
      </c>
      <c r="S133" s="49">
        <v>2231</v>
      </c>
      <c r="T133" s="49">
        <v>704416446.05999994</v>
      </c>
      <c r="U133" s="49">
        <v>717108863.91999996</v>
      </c>
    </row>
    <row r="134" spans="1:21" ht="15.75" customHeight="1">
      <c r="A134" s="47">
        <v>112</v>
      </c>
      <c r="B134" s="56" t="s">
        <v>166</v>
      </c>
      <c r="C134" s="56" t="s">
        <v>111</v>
      </c>
      <c r="D134" s="94">
        <v>196819522.13999999</v>
      </c>
      <c r="E134" s="94">
        <v>6883883.25</v>
      </c>
      <c r="F134" s="75">
        <v>3866242.4</v>
      </c>
      <c r="G134" s="50">
        <v>3017640.85</v>
      </c>
      <c r="H134" s="60">
        <v>184363101.75</v>
      </c>
      <c r="I134" s="52">
        <f t="shared" si="66"/>
        <v>4.7704092613995623E-3</v>
      </c>
      <c r="J134" s="75">
        <v>191021534.22999999</v>
      </c>
      <c r="K134" s="52">
        <f t="shared" si="67"/>
        <v>4.856401031109266E-3</v>
      </c>
      <c r="L134" s="52">
        <f t="shared" si="68"/>
        <v>3.6115862755601469E-2</v>
      </c>
      <c r="M134" s="53">
        <f t="shared" si="62"/>
        <v>2.023982487411519E-2</v>
      </c>
      <c r="N134" s="54">
        <f t="shared" si="63"/>
        <v>1.579738568305394E-2</v>
      </c>
      <c r="O134" s="55">
        <f t="shared" si="64"/>
        <v>172.25100619542272</v>
      </c>
      <c r="P134" s="55">
        <f t="shared" si="65"/>
        <v>2.7211155791632065</v>
      </c>
      <c r="Q134" s="49">
        <v>172.251</v>
      </c>
      <c r="R134" s="49">
        <v>177.47929999999999</v>
      </c>
      <c r="S134" s="49">
        <v>137</v>
      </c>
      <c r="T134" s="49">
        <v>1110160.1200000001</v>
      </c>
      <c r="U134" s="49">
        <v>1108971.95</v>
      </c>
    </row>
    <row r="135" spans="1:21" ht="14.25" customHeight="1">
      <c r="A135" s="47">
        <v>113</v>
      </c>
      <c r="B135" s="64" t="s">
        <v>167</v>
      </c>
      <c r="C135" s="66" t="s">
        <v>32</v>
      </c>
      <c r="D135" s="75">
        <v>1498965138.25</v>
      </c>
      <c r="E135" s="94">
        <v>14469001.73</v>
      </c>
      <c r="F135" s="75">
        <v>3385983.36</v>
      </c>
      <c r="G135" s="50">
        <v>11083018.369999999</v>
      </c>
      <c r="H135" s="49">
        <v>1521972664.45</v>
      </c>
      <c r="I135" s="52">
        <f t="shared" si="66"/>
        <v>3.9381158296710253E-2</v>
      </c>
      <c r="J135" s="75">
        <v>1491038463.4400001</v>
      </c>
      <c r="K135" s="52">
        <f t="shared" si="67"/>
        <v>3.7907143613216662E-2</v>
      </c>
      <c r="L135" s="52">
        <f t="shared" si="68"/>
        <v>-2.0325070044000283E-2</v>
      </c>
      <c r="M135" s="53">
        <f t="shared" si="62"/>
        <v>2.2708893452608463E-3</v>
      </c>
      <c r="N135" s="54">
        <f t="shared" si="63"/>
        <v>7.4330868329380182E-3</v>
      </c>
      <c r="O135" s="55">
        <f t="shared" si="64"/>
        <v>1998.84504784503</v>
      </c>
      <c r="P135" s="55">
        <f t="shared" si="65"/>
        <v>14.857588806220255</v>
      </c>
      <c r="Q135" s="49">
        <v>552.20000000000005</v>
      </c>
      <c r="R135" s="49">
        <v>552.20000000000005</v>
      </c>
      <c r="S135" s="49">
        <v>830</v>
      </c>
      <c r="T135" s="49">
        <v>745950</v>
      </c>
      <c r="U135" s="49">
        <v>745950</v>
      </c>
    </row>
    <row r="136" spans="1:21" ht="15.75">
      <c r="A136" s="47">
        <v>114</v>
      </c>
      <c r="B136" s="48" t="s">
        <v>168</v>
      </c>
      <c r="C136" s="56" t="s">
        <v>81</v>
      </c>
      <c r="D136" s="94">
        <v>25204715.609999999</v>
      </c>
      <c r="E136" s="94">
        <v>132061.44</v>
      </c>
      <c r="F136" s="75">
        <v>10347.629999999999</v>
      </c>
      <c r="G136" s="50">
        <v>121713.81</v>
      </c>
      <c r="H136" s="57">
        <v>23312711.59</v>
      </c>
      <c r="I136" s="52">
        <f t="shared" si="66"/>
        <v>6.0321818314858612E-4</v>
      </c>
      <c r="J136" s="75">
        <v>25230348.059999999</v>
      </c>
      <c r="K136" s="52">
        <f t="shared" si="67"/>
        <v>6.414391384078126E-4</v>
      </c>
      <c r="L136" s="52">
        <f t="shared" si="68"/>
        <v>8.2257118078987002E-2</v>
      </c>
      <c r="M136" s="53">
        <f t="shared" si="62"/>
        <v>4.1012632784107538E-4</v>
      </c>
      <c r="N136" s="54">
        <f t="shared" si="63"/>
        <v>4.8241034848411045E-3</v>
      </c>
      <c r="O136" s="55">
        <f t="shared" si="64"/>
        <v>3.9947020658273202</v>
      </c>
      <c r="P136" s="55">
        <f t="shared" si="65"/>
        <v>1.9270856156659535E-2</v>
      </c>
      <c r="Q136" s="49">
        <v>1.55</v>
      </c>
      <c r="R136" s="49">
        <v>1.55</v>
      </c>
      <c r="S136" s="49">
        <v>6</v>
      </c>
      <c r="T136" s="49">
        <v>16220952.390000001</v>
      </c>
      <c r="U136" s="49">
        <v>6315952.3899999997</v>
      </c>
    </row>
    <row r="137" spans="1:21" ht="15.75">
      <c r="A137" s="47">
        <v>115</v>
      </c>
      <c r="B137" s="56" t="s">
        <v>169</v>
      </c>
      <c r="C137" s="56" t="s">
        <v>40</v>
      </c>
      <c r="D137" s="94">
        <v>200270621.83000001</v>
      </c>
      <c r="E137" s="94">
        <v>2044430.95</v>
      </c>
      <c r="F137" s="75">
        <v>333230.89</v>
      </c>
      <c r="G137" s="50">
        <v>1711200.06</v>
      </c>
      <c r="H137" s="49">
        <v>199211117.53</v>
      </c>
      <c r="I137" s="52">
        <f t="shared" si="66"/>
        <v>5.1546027975137854E-3</v>
      </c>
      <c r="J137" s="75">
        <v>201678648.03999999</v>
      </c>
      <c r="K137" s="52">
        <f t="shared" si="67"/>
        <v>5.1273402145063426E-3</v>
      </c>
      <c r="L137" s="52">
        <f t="shared" si="68"/>
        <v>1.2386510053227301E-2</v>
      </c>
      <c r="M137" s="53">
        <f t="shared" si="62"/>
        <v>1.6522864132543598E-3</v>
      </c>
      <c r="N137" s="54">
        <f t="shared" si="63"/>
        <v>8.4847854576088223E-3</v>
      </c>
      <c r="O137" s="55">
        <f t="shared" si="64"/>
        <v>2.0531899718235147</v>
      </c>
      <c r="P137" s="55">
        <f t="shared" si="65"/>
        <v>1.7420876414636428E-2</v>
      </c>
      <c r="Q137" s="49">
        <v>2</v>
      </c>
      <c r="R137" s="49">
        <v>2.06</v>
      </c>
      <c r="S137" s="49">
        <v>112</v>
      </c>
      <c r="T137" s="49">
        <v>98545593.900000006</v>
      </c>
      <c r="U137" s="49">
        <v>98226978.900000006</v>
      </c>
    </row>
    <row r="138" spans="1:21" ht="15.75">
      <c r="A138" s="47">
        <v>116</v>
      </c>
      <c r="B138" s="48" t="s">
        <v>170</v>
      </c>
      <c r="C138" s="48" t="s">
        <v>44</v>
      </c>
      <c r="D138" s="94">
        <v>2035372180.03</v>
      </c>
      <c r="E138" s="94">
        <v>11066851.73</v>
      </c>
      <c r="F138" s="75">
        <v>2930334.93</v>
      </c>
      <c r="G138" s="50">
        <v>78445275.900000006</v>
      </c>
      <c r="H138" s="49">
        <v>1953267684.6400001</v>
      </c>
      <c r="I138" s="52">
        <f t="shared" si="66"/>
        <v>5.0540949703885833E-2</v>
      </c>
      <c r="J138" s="75">
        <v>2057480708.6300001</v>
      </c>
      <c r="K138" s="52">
        <f t="shared" si="67"/>
        <v>5.2307984412099426E-2</v>
      </c>
      <c r="L138" s="52">
        <f t="shared" si="68"/>
        <v>5.3353170591775363E-2</v>
      </c>
      <c r="M138" s="53">
        <f t="shared" si="62"/>
        <v>1.4242344619363168E-3</v>
      </c>
      <c r="N138" s="54">
        <f t="shared" si="63"/>
        <v>3.8126858527015688E-2</v>
      </c>
      <c r="O138" s="55">
        <f t="shared" si="64"/>
        <v>4709.5038808278114</v>
      </c>
      <c r="P138" s="55">
        <f t="shared" si="65"/>
        <v>179.55858819675333</v>
      </c>
      <c r="Q138" s="49">
        <v>4686.51</v>
      </c>
      <c r="R138" s="49">
        <v>4725.26</v>
      </c>
      <c r="S138" s="49">
        <v>1757</v>
      </c>
      <c r="T138" s="49">
        <v>429586.49</v>
      </c>
      <c r="U138" s="49">
        <v>436878.44</v>
      </c>
    </row>
    <row r="139" spans="1:21" ht="15.75">
      <c r="A139" s="47">
        <v>117</v>
      </c>
      <c r="B139" s="48" t="s">
        <v>171</v>
      </c>
      <c r="C139" s="48" t="s">
        <v>48</v>
      </c>
      <c r="D139" s="105">
        <v>1274488307</v>
      </c>
      <c r="E139" s="105">
        <v>-13973797</v>
      </c>
      <c r="F139" s="105">
        <v>1950785</v>
      </c>
      <c r="G139" s="105">
        <v>-15924582</v>
      </c>
      <c r="H139" s="57">
        <v>1455917962.3299999</v>
      </c>
      <c r="I139" s="52">
        <f t="shared" si="66"/>
        <v>3.7671987862056083E-2</v>
      </c>
      <c r="J139" s="76">
        <v>1548589609.9100001</v>
      </c>
      <c r="K139" s="52">
        <f t="shared" si="67"/>
        <v>3.9370284657419069E-2</v>
      </c>
      <c r="L139" s="52">
        <f t="shared" si="68"/>
        <v>6.3651696028045227E-2</v>
      </c>
      <c r="M139" s="53">
        <f t="shared" si="62"/>
        <v>1.2597172210869827E-3</v>
      </c>
      <c r="N139" s="54">
        <f t="shared" si="63"/>
        <v>-1.0283280927427568E-2</v>
      </c>
      <c r="O139" s="55">
        <f t="shared" si="64"/>
        <v>1.720545500433238</v>
      </c>
      <c r="P139" s="55">
        <f t="shared" si="65"/>
        <v>-1.7692852729376436E-2</v>
      </c>
      <c r="Q139" s="49">
        <v>1.72</v>
      </c>
      <c r="R139" s="49">
        <v>1.73</v>
      </c>
      <c r="S139" s="49">
        <v>1391</v>
      </c>
      <c r="T139" s="49">
        <v>901512804</v>
      </c>
      <c r="U139" s="49">
        <v>900057342</v>
      </c>
    </row>
    <row r="140" spans="1:21" ht="15.75">
      <c r="A140" s="47">
        <v>118</v>
      </c>
      <c r="B140" s="108" t="s">
        <v>172</v>
      </c>
      <c r="C140" s="64" t="s">
        <v>87</v>
      </c>
      <c r="D140" s="94">
        <v>5606484743.25</v>
      </c>
      <c r="E140" s="94">
        <v>121337528.66</v>
      </c>
      <c r="F140" s="75">
        <v>10049681.66</v>
      </c>
      <c r="G140" s="50">
        <v>111287847</v>
      </c>
      <c r="H140" s="57">
        <v>6659582758.3599997</v>
      </c>
      <c r="I140" s="52">
        <f t="shared" si="66"/>
        <v>0.17231720971269343</v>
      </c>
      <c r="J140" s="75">
        <v>6547307836.9499998</v>
      </c>
      <c r="K140" s="52">
        <f t="shared" si="67"/>
        <v>0.16645428306564261</v>
      </c>
      <c r="L140" s="52">
        <f t="shared" si="68"/>
        <v>-1.6859152515081719E-2</v>
      </c>
      <c r="M140" s="53">
        <f t="shared" si="62"/>
        <v>1.5349334276424595E-3</v>
      </c>
      <c r="N140" s="54">
        <f t="shared" si="63"/>
        <v>1.6997497257108102E-2</v>
      </c>
      <c r="O140" s="55">
        <f t="shared" si="64"/>
        <v>292.56652158584603</v>
      </c>
      <c r="P140" s="55">
        <f t="shared" si="65"/>
        <v>4.9728986481770763</v>
      </c>
      <c r="Q140" s="49">
        <v>290.3</v>
      </c>
      <c r="R140" s="49">
        <v>293.73</v>
      </c>
      <c r="S140" s="49">
        <v>28</v>
      </c>
      <c r="T140" s="49">
        <v>22378868.920000002</v>
      </c>
      <c r="U140" s="49">
        <v>22378868.920000002</v>
      </c>
    </row>
    <row r="141" spans="1:21" ht="15.75">
      <c r="A141" s="47">
        <v>119</v>
      </c>
      <c r="B141" s="48" t="s">
        <v>173</v>
      </c>
      <c r="C141" s="48" t="s">
        <v>48</v>
      </c>
      <c r="D141" s="94">
        <v>526703947.88999999</v>
      </c>
      <c r="E141" s="94">
        <v>3234256.75</v>
      </c>
      <c r="F141" s="75">
        <v>1504695</v>
      </c>
      <c r="G141" s="50">
        <v>14734481</v>
      </c>
      <c r="H141" s="67">
        <v>810470571</v>
      </c>
      <c r="I141" s="52">
        <f t="shared" si="66"/>
        <v>2.0970987585319206E-2</v>
      </c>
      <c r="J141" s="75">
        <v>837203172</v>
      </c>
      <c r="K141" s="52">
        <f t="shared" si="67"/>
        <v>2.128448169018116E-2</v>
      </c>
      <c r="L141" s="52">
        <f t="shared" si="68"/>
        <v>3.2984048966782288E-2</v>
      </c>
      <c r="M141" s="53">
        <f t="shared" si="62"/>
        <v>1.7972877436732884E-3</v>
      </c>
      <c r="N141" s="54">
        <f t="shared" si="63"/>
        <v>1.7599647842710276E-2</v>
      </c>
      <c r="O141" s="55">
        <f t="shared" si="64"/>
        <v>1.377611603431794</v>
      </c>
      <c r="P141" s="55">
        <f t="shared" si="65"/>
        <v>2.4245479084431015E-2</v>
      </c>
      <c r="Q141" s="49">
        <v>1.37</v>
      </c>
      <c r="R141" s="49">
        <v>1.37</v>
      </c>
      <c r="S141" s="49">
        <v>137</v>
      </c>
      <c r="T141" s="49">
        <v>606919575</v>
      </c>
      <c r="U141" s="49">
        <v>607720761</v>
      </c>
    </row>
    <row r="142" spans="1:21" ht="15.75">
      <c r="A142" s="47">
        <v>120</v>
      </c>
      <c r="B142" s="48" t="s">
        <v>174</v>
      </c>
      <c r="C142" s="48" t="s">
        <v>42</v>
      </c>
      <c r="D142" s="94">
        <v>256085477.75</v>
      </c>
      <c r="E142" s="94">
        <v>1082493.58</v>
      </c>
      <c r="F142" s="75">
        <v>474072.14</v>
      </c>
      <c r="G142" s="50">
        <v>608421.43999999994</v>
      </c>
      <c r="H142" s="49">
        <v>248088844.72</v>
      </c>
      <c r="I142" s="52">
        <f t="shared" si="66"/>
        <v>6.4193177011473545E-3</v>
      </c>
      <c r="J142" s="75">
        <v>256085477.75999999</v>
      </c>
      <c r="K142" s="52">
        <f t="shared" si="67"/>
        <v>6.5105422970184517E-3</v>
      </c>
      <c r="L142" s="52">
        <f t="shared" si="68"/>
        <v>3.223294077984528E-2</v>
      </c>
      <c r="M142" s="53">
        <f t="shared" si="62"/>
        <v>1.8512261770825377E-3</v>
      </c>
      <c r="N142" s="54">
        <f t="shared" si="63"/>
        <v>2.3758529586367432E-3</v>
      </c>
      <c r="O142" s="55">
        <f t="shared" si="64"/>
        <v>194.90855504519075</v>
      </c>
      <c r="P142" s="55">
        <f t="shared" si="65"/>
        <v>0.46307406716772903</v>
      </c>
      <c r="Q142" s="49">
        <v>183.33</v>
      </c>
      <c r="R142" s="49">
        <v>186.32</v>
      </c>
      <c r="S142" s="49">
        <v>734</v>
      </c>
      <c r="T142" s="49">
        <v>1292834</v>
      </c>
      <c r="U142" s="49">
        <v>1313875</v>
      </c>
    </row>
    <row r="143" spans="1:21" ht="15.75">
      <c r="A143" s="47">
        <v>121</v>
      </c>
      <c r="B143" s="48" t="s">
        <v>175</v>
      </c>
      <c r="C143" s="48" t="s">
        <v>91</v>
      </c>
      <c r="D143" s="75">
        <v>3229559945.77</v>
      </c>
      <c r="E143" s="75">
        <v>14034676.23</v>
      </c>
      <c r="F143" s="75">
        <v>27031226.16</v>
      </c>
      <c r="G143" s="50">
        <v>161766722.56999999</v>
      </c>
      <c r="H143" s="57">
        <v>3057408091.98</v>
      </c>
      <c r="I143" s="52">
        <f t="shared" si="66"/>
        <v>7.9110666610702957E-2</v>
      </c>
      <c r="J143" s="75">
        <v>3237702329.52</v>
      </c>
      <c r="K143" s="52">
        <f t="shared" si="67"/>
        <v>8.2313132887801968E-2</v>
      </c>
      <c r="L143" s="52">
        <f t="shared" si="68"/>
        <v>5.89696344472092E-2</v>
      </c>
      <c r="M143" s="53">
        <f t="shared" si="62"/>
        <v>8.3488917166784343E-3</v>
      </c>
      <c r="N143" s="54">
        <f t="shared" si="63"/>
        <v>4.9963432739038256E-2</v>
      </c>
      <c r="O143" s="55">
        <f t="shared" si="64"/>
        <v>18.143085596745134</v>
      </c>
      <c r="P143" s="55">
        <f t="shared" si="65"/>
        <v>0.90649083689158927</v>
      </c>
      <c r="Q143" s="49">
        <v>17.284600000000001</v>
      </c>
      <c r="R143" s="49">
        <v>17.494199999999999</v>
      </c>
      <c r="S143" s="49">
        <v>6288</v>
      </c>
      <c r="T143" s="49">
        <v>178638524.34</v>
      </c>
      <c r="U143" s="49">
        <v>178453786.83000001</v>
      </c>
    </row>
    <row r="144" spans="1:21">
      <c r="A144" s="122" t="s">
        <v>49</v>
      </c>
      <c r="B144" s="122"/>
      <c r="C144" s="122"/>
      <c r="D144" s="122"/>
      <c r="E144" s="122"/>
      <c r="F144" s="122"/>
      <c r="G144" s="122"/>
      <c r="H144" s="87">
        <f>SUM(H120:H143)</f>
        <v>38647229545.230003</v>
      </c>
      <c r="I144" s="69">
        <f>(H144/$H$168)</f>
        <v>2.019103172332027E-2</v>
      </c>
      <c r="J144" s="87">
        <f>SUM(J120:J143)</f>
        <v>39333970363.309998</v>
      </c>
      <c r="K144" s="69">
        <f>(J144/$J$168)</f>
        <v>2.1252432495220068E-2</v>
      </c>
      <c r="L144" s="70">
        <f t="shared" si="68"/>
        <v>1.7769470830406638E-2</v>
      </c>
      <c r="M144" s="89"/>
      <c r="N144" s="90"/>
      <c r="O144" s="73"/>
      <c r="P144" s="73"/>
      <c r="Q144" s="74"/>
      <c r="R144" s="74"/>
      <c r="S144" s="74">
        <f>SUM(S120:S143)</f>
        <v>48517</v>
      </c>
      <c r="T144" s="74"/>
      <c r="U144" s="109"/>
    </row>
    <row r="145" spans="1:21" ht="6" customHeight="1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</row>
    <row r="146" spans="1:21">
      <c r="A146" s="125" t="s">
        <v>4</v>
      </c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</row>
    <row r="147" spans="1:21" ht="15.75">
      <c r="A147" s="47">
        <v>122</v>
      </c>
      <c r="B147" s="56" t="s">
        <v>176</v>
      </c>
      <c r="C147" s="56" t="s">
        <v>26</v>
      </c>
      <c r="D147" s="76">
        <v>592640663.84000003</v>
      </c>
      <c r="E147" s="76">
        <v>7676289.9500000002</v>
      </c>
      <c r="F147" s="76">
        <v>1781810.63</v>
      </c>
      <c r="G147" s="76">
        <v>22921604.68</v>
      </c>
      <c r="H147" s="65">
        <v>648052008</v>
      </c>
      <c r="I147" s="52">
        <f>(H147/$H$150)</f>
        <v>0.17288305427523373</v>
      </c>
      <c r="J147" s="49">
        <v>670855166</v>
      </c>
      <c r="K147" s="52">
        <f>(J147/$J$150)</f>
        <v>0.17273047601524746</v>
      </c>
      <c r="L147" s="52">
        <f>((J147-H147)/H147)</f>
        <v>3.5187234540595698E-2</v>
      </c>
      <c r="M147" s="53">
        <f>(F147/J147)</f>
        <v>2.6560287828207613E-3</v>
      </c>
      <c r="N147" s="54">
        <f>G147/J147</f>
        <v>3.4167739687645186E-2</v>
      </c>
      <c r="O147" s="55">
        <f>J147/U147</f>
        <v>50.87346576940169</v>
      </c>
      <c r="P147" s="55">
        <f>G147/U147</f>
        <v>1.7382313354172449</v>
      </c>
      <c r="Q147" s="49">
        <v>50.619100000000003</v>
      </c>
      <c r="R147" s="49">
        <v>52.145299999999999</v>
      </c>
      <c r="S147" s="49">
        <v>269</v>
      </c>
      <c r="T147" s="49">
        <v>13191058</v>
      </c>
      <c r="U147" s="49">
        <v>13186740</v>
      </c>
    </row>
    <row r="148" spans="1:21" ht="15.75">
      <c r="A148" s="47">
        <v>123</v>
      </c>
      <c r="B148" s="56" t="s">
        <v>177</v>
      </c>
      <c r="C148" s="48" t="s">
        <v>44</v>
      </c>
      <c r="D148" s="75">
        <v>2443433495.4200001</v>
      </c>
      <c r="E148" s="75">
        <v>12881984.710000001</v>
      </c>
      <c r="F148" s="75">
        <v>7204252</v>
      </c>
      <c r="G148" s="58">
        <v>67624209.010000005</v>
      </c>
      <c r="H148" s="65">
        <v>2367028738.29</v>
      </c>
      <c r="I148" s="52">
        <f t="shared" ref="I148:I149" si="79">(H148/$H$150)</f>
        <v>0.63146036549712858</v>
      </c>
      <c r="J148" s="75">
        <v>2438346017.6100001</v>
      </c>
      <c r="K148" s="52">
        <f t="shared" ref="K148:K149" si="80">(J148/$J$150)</f>
        <v>0.62782056345029069</v>
      </c>
      <c r="L148" s="52">
        <f>((J148-H148)/H148)</f>
        <v>3.0129452239570836E-2</v>
      </c>
      <c r="M148" s="53">
        <f>(F148/J148)</f>
        <v>2.954565081399485E-3</v>
      </c>
      <c r="N148" s="54">
        <f>G148/J148</f>
        <v>2.7733639328303125E-2</v>
      </c>
      <c r="O148" s="55">
        <f>J148/U148</f>
        <v>1.9620865410685875</v>
      </c>
      <c r="P148" s="55">
        <f>G148/U148</f>
        <v>5.4415800460914023E-2</v>
      </c>
      <c r="Q148" s="49">
        <v>1.95</v>
      </c>
      <c r="R148" s="49">
        <v>1.97</v>
      </c>
      <c r="S148" s="49">
        <v>9824</v>
      </c>
      <c r="T148" s="49">
        <v>1240670949.95</v>
      </c>
      <c r="U148" s="49">
        <v>1242731126.5699999</v>
      </c>
    </row>
    <row r="149" spans="1:21" ht="15.75">
      <c r="A149" s="47">
        <v>124</v>
      </c>
      <c r="B149" s="56" t="s">
        <v>178</v>
      </c>
      <c r="C149" s="48" t="s">
        <v>91</v>
      </c>
      <c r="D149" s="75">
        <v>779094532.94000006</v>
      </c>
      <c r="E149" s="75">
        <v>4001376.93</v>
      </c>
      <c r="F149" s="76">
        <v>6821788.2800000003</v>
      </c>
      <c r="G149" s="50">
        <v>40323754.149999999</v>
      </c>
      <c r="H149" s="65">
        <v>733418554.10000002</v>
      </c>
      <c r="I149" s="52">
        <f t="shared" si="79"/>
        <v>0.19565658022763777</v>
      </c>
      <c r="J149" s="75">
        <v>774625118.94000006</v>
      </c>
      <c r="K149" s="52">
        <f t="shared" si="80"/>
        <v>0.1994489605344619</v>
      </c>
      <c r="L149" s="52">
        <f>((J149-H149)/H149)</f>
        <v>5.6184241058048839E-2</v>
      </c>
      <c r="M149" s="53">
        <f>(F149/J149)</f>
        <v>8.80656734877764E-3</v>
      </c>
      <c r="N149" s="54">
        <f>G149/J149</f>
        <v>5.2055830832311731E-2</v>
      </c>
      <c r="O149" s="55">
        <f>J149/U149</f>
        <v>21.34906104921577</v>
      </c>
      <c r="P149" s="55">
        <f>G149/U149</f>
        <v>1.1113431104066718</v>
      </c>
      <c r="Q149" s="49">
        <v>20.176400000000001</v>
      </c>
      <c r="R149" s="49">
        <v>20.407499999999999</v>
      </c>
      <c r="S149" s="49">
        <v>1507</v>
      </c>
      <c r="T149" s="49">
        <v>36433318.170000002</v>
      </c>
      <c r="U149" s="49">
        <v>36283802.700000003</v>
      </c>
    </row>
    <row r="150" spans="1:21">
      <c r="A150" s="122" t="s">
        <v>49</v>
      </c>
      <c r="B150" s="122"/>
      <c r="C150" s="122"/>
      <c r="D150" s="122"/>
      <c r="E150" s="122"/>
      <c r="F150" s="122"/>
      <c r="G150" s="122"/>
      <c r="H150" s="87">
        <f>SUM(H147:H149)</f>
        <v>3748499300.3899999</v>
      </c>
      <c r="I150" s="69">
        <f>(H150/$H$168)</f>
        <v>1.9583827658445907E-3</v>
      </c>
      <c r="J150" s="87">
        <f>SUM(J147:J149)</f>
        <v>3883826302.5500002</v>
      </c>
      <c r="K150" s="69">
        <f>(J150/$J$168)</f>
        <v>2.0984598187193562E-3</v>
      </c>
      <c r="L150" s="70">
        <f>((J150-H150)/H150)</f>
        <v>3.610164797040797E-2</v>
      </c>
      <c r="M150" s="89"/>
      <c r="N150" s="90"/>
      <c r="O150" s="73"/>
      <c r="P150" s="73"/>
      <c r="Q150" s="74"/>
      <c r="R150" s="74"/>
      <c r="S150" s="74">
        <f>SUM(S147:S149)</f>
        <v>11600</v>
      </c>
      <c r="T150" s="74"/>
      <c r="U150" s="109"/>
    </row>
    <row r="151" spans="1:21" ht="6.75" customHeight="1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</row>
    <row r="152" spans="1:21">
      <c r="A152" s="125" t="s">
        <v>179</v>
      </c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</row>
    <row r="153" spans="1:21" ht="15.75" customHeight="1">
      <c r="A153" s="126" t="s">
        <v>180</v>
      </c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</row>
    <row r="154" spans="1:21" ht="13.5" customHeight="1">
      <c r="A154" s="47">
        <v>125</v>
      </c>
      <c r="B154" s="66" t="s">
        <v>181</v>
      </c>
      <c r="C154" s="64" t="s">
        <v>114</v>
      </c>
      <c r="D154" s="110">
        <v>3127794468.3099999</v>
      </c>
      <c r="E154" s="94">
        <v>39706636.689999998</v>
      </c>
      <c r="F154" s="76">
        <v>10976961.43</v>
      </c>
      <c r="G154" s="50">
        <v>-5336875.5199999996</v>
      </c>
      <c r="H154" s="57">
        <v>3695456254.4400001</v>
      </c>
      <c r="I154" s="52">
        <f>(H154/$H$167)</f>
        <v>8.3593737273143412E-2</v>
      </c>
      <c r="J154" s="94">
        <v>3649588869.9000001</v>
      </c>
      <c r="K154" s="52">
        <f>(J154/$J$167)</f>
        <v>8.0931461293038354E-2</v>
      </c>
      <c r="L154" s="52">
        <f>((J154-H154)/H154)</f>
        <v>-1.2411832634980167E-2</v>
      </c>
      <c r="M154" s="53">
        <f>(F154/J154)</f>
        <v>3.0077254784867786E-3</v>
      </c>
      <c r="N154" s="54">
        <f>G154/J154</f>
        <v>-1.4623223903426229E-3</v>
      </c>
      <c r="O154" s="55">
        <f>J154/U154</f>
        <v>1.8035939077207594</v>
      </c>
      <c r="P154" s="55">
        <f>G154/U154</f>
        <v>-2.6374357543456125E-3</v>
      </c>
      <c r="Q154" s="51">
        <v>1.79</v>
      </c>
      <c r="R154" s="51">
        <v>1.82</v>
      </c>
      <c r="S154" s="51">
        <v>15352</v>
      </c>
      <c r="T154" s="51">
        <v>2024458753.8800001</v>
      </c>
      <c r="U154" s="49">
        <v>2023509202.53</v>
      </c>
    </row>
    <row r="155" spans="1:21" ht="15" customHeight="1">
      <c r="A155" s="47">
        <v>126</v>
      </c>
      <c r="B155" s="48" t="s">
        <v>182</v>
      </c>
      <c r="C155" s="48" t="s">
        <v>44</v>
      </c>
      <c r="D155" s="75">
        <v>493688510.61000001</v>
      </c>
      <c r="E155" s="75">
        <v>2452070.1800000002</v>
      </c>
      <c r="F155" s="75">
        <v>1299534.56</v>
      </c>
      <c r="G155" s="50">
        <v>58727495.270000003</v>
      </c>
      <c r="H155" s="57">
        <v>413293650.38</v>
      </c>
      <c r="I155" s="52">
        <f>(H155/$H$167)</f>
        <v>9.348983846044618E-3</v>
      </c>
      <c r="J155" s="75">
        <v>506890587.66000003</v>
      </c>
      <c r="K155" s="52">
        <f>(J155/$J$167)</f>
        <v>1.1240552686181009E-2</v>
      </c>
      <c r="L155" s="52">
        <f>((J155-H155)/H155)</f>
        <v>0.22646594544567275</v>
      </c>
      <c r="M155" s="53">
        <f>(F155/J155)</f>
        <v>2.5637377999049981E-3</v>
      </c>
      <c r="N155" s="54">
        <f>G155/J155</f>
        <v>0.11585832662845148</v>
      </c>
      <c r="O155" s="55">
        <f>J155/U155</f>
        <v>377.75922233842874</v>
      </c>
      <c r="P155" s="55">
        <f>G155/U155</f>
        <v>43.766551368595508</v>
      </c>
      <c r="Q155" s="49">
        <v>374.9</v>
      </c>
      <c r="R155" s="49">
        <v>379.72</v>
      </c>
      <c r="S155" s="49">
        <v>625</v>
      </c>
      <c r="T155" s="49">
        <v>1243065.2</v>
      </c>
      <c r="U155" s="49">
        <v>1341835.1100000001</v>
      </c>
    </row>
    <row r="156" spans="1:21" ht="6.75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</row>
    <row r="157" spans="1:21">
      <c r="A157" s="126" t="s">
        <v>140</v>
      </c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</row>
    <row r="158" spans="1:21" ht="15.75">
      <c r="A158" s="47">
        <v>127</v>
      </c>
      <c r="B158" s="66" t="s">
        <v>183</v>
      </c>
      <c r="C158" s="64" t="s">
        <v>184</v>
      </c>
      <c r="D158" s="50">
        <v>401785910</v>
      </c>
      <c r="E158" s="75">
        <v>3638547</v>
      </c>
      <c r="F158" s="75">
        <v>821852</v>
      </c>
      <c r="G158" s="50">
        <v>2816695</v>
      </c>
      <c r="H158" s="49">
        <v>488003214</v>
      </c>
      <c r="I158" s="52">
        <f>(H158/$H$167)</f>
        <v>1.1038965056223458E-2</v>
      </c>
      <c r="J158" s="75">
        <v>446918173</v>
      </c>
      <c r="K158" s="52">
        <f>(J158/$J$167)</f>
        <v>9.9106343505195923E-3</v>
      </c>
      <c r="L158" s="52">
        <f>((J158-H158)/H158)</f>
        <v>-8.419010330534421E-2</v>
      </c>
      <c r="M158" s="53">
        <f>(F158/J158)</f>
        <v>1.8389317097651341E-3</v>
      </c>
      <c r="N158" s="79">
        <f t="shared" ref="N158:N166" si="81">G158/J158</f>
        <v>6.302484817505955E-3</v>
      </c>
      <c r="O158" s="111">
        <f t="shared" ref="O158:O166" si="82">J158/U158</f>
        <v>1031.6575400965826</v>
      </c>
      <c r="P158" s="111">
        <f t="shared" ref="P158:P166" si="83">G158/U158</f>
        <v>6.5020059833242536</v>
      </c>
      <c r="Q158" s="49">
        <v>1031.6600000000001</v>
      </c>
      <c r="R158" s="49">
        <v>1031.6600000000001</v>
      </c>
      <c r="S158" s="106">
        <v>22</v>
      </c>
      <c r="T158" s="49">
        <v>459230</v>
      </c>
      <c r="U158" s="49">
        <v>433204</v>
      </c>
    </row>
    <row r="159" spans="1:21" ht="15.75" customHeight="1">
      <c r="A159" s="47">
        <v>128</v>
      </c>
      <c r="B159" s="56" t="s">
        <v>185</v>
      </c>
      <c r="C159" s="62" t="s">
        <v>60</v>
      </c>
      <c r="D159" s="75">
        <v>19815374.210000001</v>
      </c>
      <c r="E159" s="75">
        <v>443677.44</v>
      </c>
      <c r="F159" s="75">
        <v>234635.01</v>
      </c>
      <c r="G159" s="50">
        <v>209042.43</v>
      </c>
      <c r="H159" s="49">
        <v>45677618.189999998</v>
      </c>
      <c r="I159" s="52">
        <f t="shared" ref="I159:I166" si="84">(H159/$H$167)</f>
        <v>1.0332588322890164E-3</v>
      </c>
      <c r="J159" s="75">
        <v>45818335.630000003</v>
      </c>
      <c r="K159" s="52">
        <f t="shared" ref="K159:K166" si="85">(J159/$J$167)</f>
        <v>1.0160445433001306E-3</v>
      </c>
      <c r="L159" s="52">
        <f t="shared" ref="L159:L167" si="86">((J159-H159)/H159)</f>
        <v>3.0806650078530522E-3</v>
      </c>
      <c r="M159" s="53">
        <f t="shared" ref="M159:M167" si="87">(F159/J159)</f>
        <v>5.1209850112139479E-3</v>
      </c>
      <c r="N159" s="79">
        <f t="shared" si="81"/>
        <v>4.5624186720376507E-3</v>
      </c>
      <c r="O159" s="111">
        <f t="shared" si="82"/>
        <v>104.825621277949</v>
      </c>
      <c r="P159" s="111">
        <f t="shared" si="83"/>
        <v>0.47825837182646175</v>
      </c>
      <c r="Q159" s="49">
        <v>106.17</v>
      </c>
      <c r="R159" s="49">
        <v>106.17</v>
      </c>
      <c r="S159" s="106">
        <v>54</v>
      </c>
      <c r="T159" s="49">
        <v>438912</v>
      </c>
      <c r="U159" s="49">
        <v>437091</v>
      </c>
    </row>
    <row r="160" spans="1:21" ht="14.25" customHeight="1">
      <c r="A160" s="47">
        <v>129</v>
      </c>
      <c r="B160" s="56" t="s">
        <v>186</v>
      </c>
      <c r="C160" s="62" t="s">
        <v>163</v>
      </c>
      <c r="D160" s="75">
        <v>35012384.899999999</v>
      </c>
      <c r="E160" s="75">
        <v>580123.94999999995</v>
      </c>
      <c r="F160" s="75">
        <v>250745.67</v>
      </c>
      <c r="G160" s="50">
        <v>329378.28000000003</v>
      </c>
      <c r="H160" s="49">
        <v>52573938.920000002</v>
      </c>
      <c r="I160" s="52">
        <f t="shared" si="84"/>
        <v>1.1892583039543392E-3</v>
      </c>
      <c r="J160" s="75">
        <v>53226660.380000003</v>
      </c>
      <c r="K160" s="52">
        <f t="shared" si="85"/>
        <v>1.1803278555098456E-3</v>
      </c>
      <c r="L160" s="52">
        <f t="shared" si="86"/>
        <v>1.2415304491322691E-2</v>
      </c>
      <c r="M160" s="53">
        <f t="shared" si="87"/>
        <v>4.7109036751480666E-3</v>
      </c>
      <c r="N160" s="79">
        <f t="shared" si="81"/>
        <v>6.188219919274973E-3</v>
      </c>
      <c r="O160" s="111">
        <f t="shared" si="82"/>
        <v>107.65888495371166</v>
      </c>
      <c r="P160" s="111">
        <f t="shared" si="83"/>
        <v>0.66621685635749128</v>
      </c>
      <c r="Q160" s="49">
        <v>102.14</v>
      </c>
      <c r="R160" s="49">
        <v>107.66</v>
      </c>
      <c r="S160" s="106">
        <v>6</v>
      </c>
      <c r="T160" s="49">
        <v>496927</v>
      </c>
      <c r="U160" s="49">
        <v>494401</v>
      </c>
    </row>
    <row r="161" spans="1:21" ht="15" customHeight="1">
      <c r="A161" s="47">
        <v>130</v>
      </c>
      <c r="B161" s="48" t="s">
        <v>187</v>
      </c>
      <c r="C161" s="48" t="s">
        <v>73</v>
      </c>
      <c r="D161" s="75">
        <v>10438289813.950001</v>
      </c>
      <c r="E161" s="75">
        <v>130772335.45999999</v>
      </c>
      <c r="F161" s="75">
        <v>17109703.25</v>
      </c>
      <c r="G161" s="50">
        <v>113662632.20999999</v>
      </c>
      <c r="H161" s="57">
        <v>10021917927.59</v>
      </c>
      <c r="I161" s="52">
        <f t="shared" si="84"/>
        <v>0.22670260896889383</v>
      </c>
      <c r="J161" s="75">
        <v>10438289813.950001</v>
      </c>
      <c r="K161" s="52">
        <f t="shared" si="85"/>
        <v>0.23147430523218315</v>
      </c>
      <c r="L161" s="52">
        <f t="shared" si="86"/>
        <v>4.1546128133193243E-2</v>
      </c>
      <c r="M161" s="53">
        <f t="shared" si="87"/>
        <v>1.6391289717913513E-3</v>
      </c>
      <c r="N161" s="79">
        <f t="shared" si="81"/>
        <v>1.0889009046108138E-2</v>
      </c>
      <c r="O161" s="111">
        <f t="shared" si="82"/>
        <v>133.09776878315671</v>
      </c>
      <c r="P161" s="111">
        <f t="shared" si="83"/>
        <v>1.4493028082966029</v>
      </c>
      <c r="Q161" s="49">
        <v>131.66999999999999</v>
      </c>
      <c r="R161" s="49">
        <v>131.66999999999999</v>
      </c>
      <c r="S161" s="49">
        <v>559</v>
      </c>
      <c r="T161" s="49">
        <v>76108667.060000002</v>
      </c>
      <c r="U161" s="49">
        <v>78425731.019999996</v>
      </c>
    </row>
    <row r="162" spans="1:21" ht="15" customHeight="1">
      <c r="A162" s="47">
        <v>131</v>
      </c>
      <c r="B162" s="66" t="s">
        <v>113</v>
      </c>
      <c r="C162" s="64" t="s">
        <v>114</v>
      </c>
      <c r="D162" s="75">
        <v>11443158635.43</v>
      </c>
      <c r="E162" s="75">
        <v>199426383.55000001</v>
      </c>
      <c r="F162" s="75">
        <v>43052634.770000003</v>
      </c>
      <c r="G162" s="50">
        <v>144293501.69</v>
      </c>
      <c r="H162" s="67">
        <v>16747846518.85</v>
      </c>
      <c r="I162" s="52">
        <f t="shared" si="84"/>
        <v>0.37884769441001842</v>
      </c>
      <c r="J162" s="75">
        <v>16836676847.959999</v>
      </c>
      <c r="K162" s="52">
        <f t="shared" si="85"/>
        <v>0.37336174270539296</v>
      </c>
      <c r="L162" s="52">
        <f t="shared" si="86"/>
        <v>5.3039851428073803E-3</v>
      </c>
      <c r="M162" s="53">
        <f t="shared" si="87"/>
        <v>2.5570743656113133E-3</v>
      </c>
      <c r="N162" s="79">
        <f t="shared" si="81"/>
        <v>8.5701889388869034E-3</v>
      </c>
      <c r="O162" s="111">
        <f t="shared" si="82"/>
        <v>1194.2806784538495</v>
      </c>
      <c r="P162" s="111">
        <f t="shared" si="83"/>
        <v>10.235211060411528</v>
      </c>
      <c r="Q162" s="50">
        <v>1194.28</v>
      </c>
      <c r="R162" s="50">
        <v>1194.28</v>
      </c>
      <c r="S162" s="49">
        <v>7557</v>
      </c>
      <c r="T162" s="49">
        <v>14144030.189999999</v>
      </c>
      <c r="U162" s="49">
        <v>14097755.369999999</v>
      </c>
    </row>
    <row r="163" spans="1:21" ht="13.5" customHeight="1">
      <c r="A163" s="47">
        <v>132</v>
      </c>
      <c r="B163" s="48" t="s">
        <v>188</v>
      </c>
      <c r="C163" s="48" t="s">
        <v>189</v>
      </c>
      <c r="D163" s="75">
        <v>372160201.06</v>
      </c>
      <c r="E163" s="75">
        <v>7342178.96</v>
      </c>
      <c r="F163" s="75">
        <v>1380003.25</v>
      </c>
      <c r="G163" s="50">
        <v>5962175.71</v>
      </c>
      <c r="H163" s="57">
        <v>659058419.82000005</v>
      </c>
      <c r="I163" s="52">
        <f t="shared" si="84"/>
        <v>1.4908350309354376E-2</v>
      </c>
      <c r="J163" s="75">
        <v>675876199.65999997</v>
      </c>
      <c r="K163" s="52">
        <f t="shared" si="85"/>
        <v>1.4987893278282585E-2</v>
      </c>
      <c r="L163" s="52">
        <f t="shared" si="86"/>
        <v>2.5517889361906843E-2</v>
      </c>
      <c r="M163" s="53">
        <f t="shared" si="87"/>
        <v>2.0417988541306998E-3</v>
      </c>
      <c r="N163" s="79">
        <f t="shared" si="81"/>
        <v>8.8214020748167733E-3</v>
      </c>
      <c r="O163" s="111">
        <f t="shared" si="82"/>
        <v>103.36104196921112</v>
      </c>
      <c r="P163" s="111">
        <f t="shared" si="83"/>
        <v>0.91178931008242259</v>
      </c>
      <c r="Q163" s="49">
        <v>103.36</v>
      </c>
      <c r="R163" s="49">
        <v>103.36</v>
      </c>
      <c r="S163" s="49">
        <v>490</v>
      </c>
      <c r="T163" s="49">
        <v>6433632</v>
      </c>
      <c r="U163" s="49">
        <v>6538984</v>
      </c>
    </row>
    <row r="164" spans="1:21" ht="15" customHeight="1">
      <c r="A164" s="47">
        <v>133</v>
      </c>
      <c r="B164" s="56" t="s">
        <v>190</v>
      </c>
      <c r="C164" s="56" t="s">
        <v>44</v>
      </c>
      <c r="D164" s="75">
        <v>8465687661.54</v>
      </c>
      <c r="E164" s="75">
        <v>62816258.299999997</v>
      </c>
      <c r="F164" s="75">
        <v>13683514.93</v>
      </c>
      <c r="G164" s="50">
        <v>49132743.369999997</v>
      </c>
      <c r="H164" s="49">
        <v>8349644078.1400003</v>
      </c>
      <c r="I164" s="52">
        <f t="shared" si="84"/>
        <v>0.18887463558895862</v>
      </c>
      <c r="J164" s="75">
        <v>8475993216.6300001</v>
      </c>
      <c r="K164" s="52">
        <f t="shared" si="85"/>
        <v>0.18795939525937408</v>
      </c>
      <c r="L164" s="52">
        <f t="shared" si="86"/>
        <v>1.5132278371097442E-2</v>
      </c>
      <c r="M164" s="53">
        <f t="shared" si="87"/>
        <v>1.6143848373017548E-3</v>
      </c>
      <c r="N164" s="79">
        <f t="shared" si="81"/>
        <v>5.7966945128744285E-3</v>
      </c>
      <c r="O164" s="111">
        <f t="shared" si="82"/>
        <v>125.65406516543752</v>
      </c>
      <c r="P164" s="111">
        <f t="shared" si="83"/>
        <v>0.72837823006485747</v>
      </c>
      <c r="Q164" s="49">
        <v>125.65</v>
      </c>
      <c r="R164" s="49">
        <v>125.65</v>
      </c>
      <c r="S164" s="49">
        <v>1077</v>
      </c>
      <c r="T164" s="49">
        <v>67236938.75</v>
      </c>
      <c r="U164" s="49">
        <v>67454986.079999998</v>
      </c>
    </row>
    <row r="165" spans="1:21" ht="15" customHeight="1">
      <c r="A165" s="47">
        <v>134</v>
      </c>
      <c r="B165" s="48" t="s">
        <v>191</v>
      </c>
      <c r="C165" s="48" t="s">
        <v>48</v>
      </c>
      <c r="D165" s="75">
        <v>2241864457</v>
      </c>
      <c r="E165" s="75">
        <v>34998523</v>
      </c>
      <c r="F165" s="75">
        <v>6121583</v>
      </c>
      <c r="G165" s="50">
        <v>28876941</v>
      </c>
      <c r="H165" s="57">
        <v>3733862266</v>
      </c>
      <c r="I165" s="52">
        <f t="shared" si="84"/>
        <v>8.4462507411119908E-2</v>
      </c>
      <c r="J165" s="75">
        <v>3648805152</v>
      </c>
      <c r="K165" s="52">
        <f t="shared" si="85"/>
        <v>8.0914081956036416E-2</v>
      </c>
      <c r="L165" s="52">
        <f t="shared" ref="L165:L166" si="88">((J165-H165)/H165)</f>
        <v>-2.2779928112109962E-2</v>
      </c>
      <c r="M165" s="53">
        <f t="shared" ref="M165" si="89">(F165/J165)</f>
        <v>1.6776952303535883E-3</v>
      </c>
      <c r="N165" s="79">
        <f t="shared" ref="N165" si="90">G165/J165</f>
        <v>7.9140814039280333E-3</v>
      </c>
      <c r="O165" s="111">
        <f t="shared" ref="O165" si="91">J165/U165</f>
        <v>1.141658303207993</v>
      </c>
      <c r="P165" s="111">
        <f t="shared" ref="P165" si="92">G165/U165</f>
        <v>9.0351767470584106E-3</v>
      </c>
      <c r="Q165" s="50">
        <v>1.1399999999999999</v>
      </c>
      <c r="R165" s="50">
        <v>1.1399999999999999</v>
      </c>
      <c r="S165" s="49">
        <v>221</v>
      </c>
      <c r="T165" s="49">
        <v>3317914008</v>
      </c>
      <c r="U165" s="49">
        <v>3196057123</v>
      </c>
    </row>
    <row r="166" spans="1:21" ht="15.75">
      <c r="A166" s="47">
        <v>135</v>
      </c>
      <c r="B166" s="48" t="s">
        <v>261</v>
      </c>
      <c r="C166" s="48" t="s">
        <v>262</v>
      </c>
      <c r="D166" s="75">
        <v>74514963</v>
      </c>
      <c r="E166" s="75">
        <v>0</v>
      </c>
      <c r="F166" s="75">
        <v>100903.15</v>
      </c>
      <c r="G166" s="50">
        <v>0</v>
      </c>
      <c r="H166" s="75">
        <v>0</v>
      </c>
      <c r="I166" s="52">
        <f t="shared" si="84"/>
        <v>0</v>
      </c>
      <c r="J166" s="75">
        <v>316726141.60000002</v>
      </c>
      <c r="K166" s="52">
        <f t="shared" si="85"/>
        <v>7.0235608401820176E-3</v>
      </c>
      <c r="L166" s="52" t="e">
        <f t="shared" si="88"/>
        <v>#DIV/0!</v>
      </c>
      <c r="M166" s="53">
        <f t="shared" si="87"/>
        <v>3.185816917109187E-4</v>
      </c>
      <c r="N166" s="79">
        <f t="shared" si="81"/>
        <v>0</v>
      </c>
      <c r="O166" s="111">
        <f t="shared" si="82"/>
        <v>99.146674468023861</v>
      </c>
      <c r="P166" s="111">
        <f t="shared" si="83"/>
        <v>0</v>
      </c>
      <c r="Q166" s="50">
        <v>99.01</v>
      </c>
      <c r="R166" s="50">
        <v>99.012799999999999</v>
      </c>
      <c r="S166" s="49">
        <v>109</v>
      </c>
      <c r="T166" s="49">
        <v>2182360</v>
      </c>
      <c r="U166" s="49">
        <v>3194521.08</v>
      </c>
    </row>
    <row r="167" spans="1:21" ht="14.25" customHeight="1">
      <c r="A167" s="122" t="s">
        <v>49</v>
      </c>
      <c r="B167" s="122"/>
      <c r="C167" s="122"/>
      <c r="D167" s="122"/>
      <c r="E167" s="122"/>
      <c r="F167" s="122"/>
      <c r="G167" s="122"/>
      <c r="H167" s="87">
        <f>SUM(H154:H166)</f>
        <v>44207333886.330002</v>
      </c>
      <c r="I167" s="69">
        <f>(H167/$H$168)</f>
        <v>2.3095877541692181E-2</v>
      </c>
      <c r="J167" s="87">
        <f>SUM(J154:J166)</f>
        <v>45094809998.369995</v>
      </c>
      <c r="K167" s="69">
        <f>(J167/$J$168)</f>
        <v>2.4365056375521332E-2</v>
      </c>
      <c r="L167" s="70">
        <f t="shared" si="86"/>
        <v>2.0075314071686706E-2</v>
      </c>
      <c r="M167" s="53">
        <f t="shared" si="87"/>
        <v>0</v>
      </c>
      <c r="N167" s="53"/>
      <c r="O167" s="112"/>
      <c r="P167" s="112"/>
      <c r="Q167" s="74"/>
      <c r="R167" s="74"/>
      <c r="S167" s="74">
        <f>SUM(S154:S166)</f>
        <v>26072</v>
      </c>
      <c r="T167" s="74"/>
      <c r="U167" s="74"/>
    </row>
    <row r="168" spans="1:21" ht="15" customHeight="1">
      <c r="A168" s="123" t="s">
        <v>192</v>
      </c>
      <c r="B168" s="123"/>
      <c r="C168" s="123"/>
      <c r="D168" s="123"/>
      <c r="E168" s="123"/>
      <c r="F168" s="123"/>
      <c r="G168" s="123"/>
      <c r="H168" s="113">
        <f>SUM(H21,H53,H85,H110,H117,H144,H150,H167)</f>
        <v>1914078986889.6677</v>
      </c>
      <c r="I168" s="114"/>
      <c r="J168" s="113">
        <f>SUM(J21,J53,J85,J110,J117,J144,J150,J167)</f>
        <v>1850798508460.4639</v>
      </c>
      <c r="K168" s="115"/>
      <c r="L168" s="115"/>
      <c r="M168" s="89"/>
      <c r="N168" s="89"/>
      <c r="O168" s="112"/>
      <c r="P168" s="112"/>
      <c r="Q168" s="74"/>
      <c r="R168" s="74"/>
      <c r="S168" s="113">
        <f>SUM(S21,S53,S85,S110,S117,S144,S150,S167)</f>
        <v>499457</v>
      </c>
      <c r="T168" s="74"/>
      <c r="U168" s="74"/>
    </row>
    <row r="169" spans="1:21" ht="5.25" customHeight="1">
      <c r="A169" s="4"/>
      <c r="B169" s="4"/>
      <c r="C169" s="4"/>
      <c r="D169" s="5"/>
      <c r="E169" s="5"/>
      <c r="F169" s="5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5.75">
      <c r="A170" s="13" t="s">
        <v>194</v>
      </c>
      <c r="B170" s="14" t="s">
        <v>259</v>
      </c>
      <c r="C170" s="7"/>
      <c r="D170" s="5"/>
      <c r="E170" s="5"/>
      <c r="F170" s="5"/>
      <c r="G170" s="6"/>
      <c r="H170" s="8"/>
      <c r="I170" s="5"/>
      <c r="J170" s="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9"/>
    </row>
    <row r="172" spans="1:21">
      <c r="B172" s="28"/>
    </row>
  </sheetData>
  <sheetProtection algorithmName="SHA-512" hashValue="6zEqGfFQowFHK+/vsmpzsMfYjAnVm6sWImp9k37KdZU2rTuP5AUD78cEAdfX3uqYKGg/vy0F287vnzaVvaeJZw==" saltValue="QqnSz6DMa0NN/G9ARs+2Mg==" spinCount="100000" sheet="1" objects="1" scenarios="1"/>
  <mergeCells count="32">
    <mergeCell ref="A151:U151"/>
    <mergeCell ref="A1:U1"/>
    <mergeCell ref="A3:U3"/>
    <mergeCell ref="A4:U4"/>
    <mergeCell ref="A23:U23"/>
    <mergeCell ref="A146:U146"/>
    <mergeCell ref="A54:U54"/>
    <mergeCell ref="A22:U22"/>
    <mergeCell ref="A21:G21"/>
    <mergeCell ref="A53:G53"/>
    <mergeCell ref="A85:G85"/>
    <mergeCell ref="A110:G110"/>
    <mergeCell ref="A117:G117"/>
    <mergeCell ref="A144:G144"/>
    <mergeCell ref="A55:U55"/>
    <mergeCell ref="A86:U86"/>
    <mergeCell ref="A99:U99"/>
    <mergeCell ref="A111:U111"/>
    <mergeCell ref="A118:U118"/>
    <mergeCell ref="A150:G150"/>
    <mergeCell ref="A87:U87"/>
    <mergeCell ref="A88:U88"/>
    <mergeCell ref="A100:U100"/>
    <mergeCell ref="A119:U119"/>
    <mergeCell ref="A112:U112"/>
    <mergeCell ref="A145:U145"/>
    <mergeCell ref="A167:G167"/>
    <mergeCell ref="A168:G168"/>
    <mergeCell ref="A156:U156"/>
    <mergeCell ref="A152:U152"/>
    <mergeCell ref="A153:U153"/>
    <mergeCell ref="A157:U157"/>
  </mergeCells>
  <pageMargins left="0.7" right="0.7" top="0.75" bottom="0.75" header="0.3" footer="0.3"/>
  <ignoredErrors>
    <ignoredError sqref="F115 D77:D80 E78:E81 F77:F81 G77:G79 G81 J77:J79 J81 J18 F47:G47 D47:E47 F57 D18:G18 Q18:R18 T18:U18 T47:U47 Q77:Q79 R77:R79 T78:T79 T81 U77:U81" numberStoredAsText="1"/>
    <ignoredError sqref="L115:L116 L25:L26 L166" evalError="1"/>
    <ignoredError sqref="I21 I53 I85 I110 I117 I144 I150 I1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A4" sqref="A4"/>
    </sheetView>
  </sheetViews>
  <sheetFormatPr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2"/>
      <c r="B1" s="2"/>
      <c r="C1" s="2"/>
      <c r="D1" s="2"/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 ht="33" customHeight="1">
      <c r="A4" s="32" t="s">
        <v>5</v>
      </c>
      <c r="B4" s="33" t="s">
        <v>203</v>
      </c>
      <c r="C4" s="33" t="s">
        <v>272</v>
      </c>
      <c r="D4" s="1"/>
    </row>
    <row r="5" spans="1:4" ht="19.5" customHeight="1">
      <c r="A5" s="34" t="s">
        <v>0</v>
      </c>
      <c r="B5" s="35">
        <f>'August 2023'!H21/1000000000</f>
        <v>21.703801741949999</v>
      </c>
      <c r="C5" s="36">
        <f>'August 2023'!J21/1000000000</f>
        <v>21.743603431120004</v>
      </c>
      <c r="D5" s="1"/>
    </row>
    <row r="6" spans="1:4" ht="15.75">
      <c r="A6" s="32" t="s">
        <v>1</v>
      </c>
      <c r="B6" s="35">
        <f>'August 2023'!H53/1000000000</f>
        <v>849.05272954500992</v>
      </c>
      <c r="C6" s="36">
        <f>'August 2023'!J53/1000000000</f>
        <v>851.85517891960512</v>
      </c>
      <c r="D6" s="1"/>
    </row>
    <row r="7" spans="1:4" ht="15.75">
      <c r="A7" s="32" t="s">
        <v>6</v>
      </c>
      <c r="B7" s="35">
        <f>'August 2023'!H85/1000000000</f>
        <v>304.16288626912996</v>
      </c>
      <c r="C7" s="36">
        <f>'August 2023'!J85/1000000000</f>
        <v>223.79031756769999</v>
      </c>
      <c r="D7" s="1"/>
    </row>
    <row r="8" spans="1:4" ht="15.75">
      <c r="A8" s="32" t="s">
        <v>2</v>
      </c>
      <c r="B8" s="35">
        <f>'August 2023'!H110/1000000000</f>
        <v>559.46903968236791</v>
      </c>
      <c r="C8" s="36">
        <f>'August 2023'!J110/1000000000</f>
        <v>572.0062060636285</v>
      </c>
      <c r="D8" s="1"/>
    </row>
    <row r="9" spans="1:4" ht="15.75">
      <c r="A9" s="32" t="s">
        <v>7</v>
      </c>
      <c r="B9" s="35">
        <f>'August 2023'!H117/1000000000</f>
        <v>93.087466919259995</v>
      </c>
      <c r="C9" s="36">
        <f>'August 2023'!J117/1000000000</f>
        <v>93.090595814179991</v>
      </c>
      <c r="D9" s="1"/>
    </row>
    <row r="10" spans="1:4" ht="15.75">
      <c r="A10" s="32" t="s">
        <v>3</v>
      </c>
      <c r="B10" s="35">
        <f>'August 2023'!H144/1000000000</f>
        <v>38.647229545230005</v>
      </c>
      <c r="C10" s="36">
        <f>'August 2023'!J144/1000000000</f>
        <v>39.333970363309994</v>
      </c>
      <c r="D10" s="1"/>
    </row>
    <row r="11" spans="1:4" ht="15.75">
      <c r="A11" s="32" t="s">
        <v>4</v>
      </c>
      <c r="B11" s="35">
        <f>'August 2023'!H150/1000000000</f>
        <v>3.7484993003899998</v>
      </c>
      <c r="C11" s="36">
        <f>'August 2023'!J150/1000000000</f>
        <v>3.8838263025500002</v>
      </c>
      <c r="D11" s="1"/>
    </row>
    <row r="12" spans="1:4" ht="15.75">
      <c r="A12" s="32" t="s">
        <v>8</v>
      </c>
      <c r="B12" s="35">
        <f>'August 2023'!H167/1000000000</f>
        <v>44.207333886330005</v>
      </c>
      <c r="C12" s="36">
        <f>'August 2023'!J167/1000000000</f>
        <v>45.094809998369996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1"/>
      <c r="B16" s="116"/>
      <c r="C16" s="117"/>
      <c r="D16" s="1"/>
    </row>
    <row r="17" spans="1:4" ht="16.5">
      <c r="A17" s="23"/>
      <c r="B17" s="24"/>
      <c r="C17" s="25"/>
      <c r="D17" s="2"/>
    </row>
    <row r="18" spans="1:4" ht="16.5">
      <c r="A18" s="22"/>
      <c r="B18" s="21"/>
      <c r="C18" s="26"/>
      <c r="D18" s="2"/>
    </row>
    <row r="19" spans="1:4" ht="16.5">
      <c r="A19" s="20"/>
      <c r="B19" s="24"/>
      <c r="C19" s="27"/>
      <c r="D19" s="2"/>
    </row>
    <row r="20" spans="1:4" ht="16.5">
      <c r="A20" s="20"/>
      <c r="B20" s="21"/>
      <c r="C20" s="26"/>
      <c r="D20" s="1"/>
    </row>
    <row r="21" spans="1:4" ht="16.5">
      <c r="A21" s="20"/>
      <c r="B21" s="24"/>
      <c r="C21" s="27"/>
      <c r="D21" s="1"/>
    </row>
    <row r="22" spans="1:4" ht="16.5">
      <c r="A22" s="20"/>
      <c r="B22" s="29"/>
      <c r="C22" s="30"/>
      <c r="D22" s="1"/>
    </row>
    <row r="23" spans="1:4" ht="16.5">
      <c r="A23" s="10"/>
      <c r="B23" s="11"/>
      <c r="C23" s="12"/>
      <c r="D23" s="1"/>
    </row>
    <row r="24" spans="1:4" ht="16.5">
      <c r="A24" s="10"/>
      <c r="B24" s="11"/>
      <c r="C24" s="11"/>
      <c r="D24" s="1"/>
    </row>
    <row r="25" spans="1:4" ht="16.5">
      <c r="A25" s="10"/>
      <c r="B25" s="11"/>
      <c r="C25" s="11"/>
      <c r="D25" s="1"/>
    </row>
    <row r="26" spans="1:4" ht="16.5">
      <c r="A26" s="10"/>
      <c r="B26" s="11"/>
      <c r="C26" s="11"/>
      <c r="D26" s="1"/>
    </row>
    <row r="27" spans="1:4">
      <c r="B27" s="2"/>
      <c r="C27" s="2"/>
    </row>
    <row r="28" spans="1:4">
      <c r="B28" s="2"/>
      <c r="C28" s="2"/>
    </row>
  </sheetData>
  <sheetProtection algorithmName="SHA-512" hashValue="JLLkDtX/K+TPj+2sOq+ekLBTGmbEasXvT76TAns+VLZlAznBoKfqSDWYFBKUtHU1Ew3dmPPIv/rXeIdMay3Csg==" saltValue="t775GRI3HFhNXBmZKdyXZ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E7" sqref="E7"/>
    </sheetView>
  </sheetViews>
  <sheetFormatPr defaultRowHeight="15"/>
  <cols>
    <col min="1" max="1" width="26.7109375" customWidth="1"/>
    <col min="2" max="2" width="21.28515625" customWidth="1"/>
  </cols>
  <sheetData>
    <row r="1" spans="1:3">
      <c r="A1" s="37" t="s">
        <v>5</v>
      </c>
      <c r="B1" s="38" t="s">
        <v>272</v>
      </c>
      <c r="C1" s="2"/>
    </row>
    <row r="2" spans="1:3">
      <c r="A2" s="37" t="s">
        <v>4</v>
      </c>
      <c r="B2" s="39">
        <f>'August 2023'!J150</f>
        <v>3883826302.5500002</v>
      </c>
      <c r="C2" s="2"/>
    </row>
    <row r="3" spans="1:3">
      <c r="A3" s="37" t="s">
        <v>0</v>
      </c>
      <c r="B3" s="40">
        <f>'August 2023'!J21</f>
        <v>21743603431.120003</v>
      </c>
      <c r="C3" s="2"/>
    </row>
    <row r="4" spans="1:3">
      <c r="A4" s="37" t="s">
        <v>8</v>
      </c>
      <c r="B4" s="41">
        <f>'August 2023'!J167</f>
        <v>45094809998.369995</v>
      </c>
      <c r="C4" s="2"/>
    </row>
    <row r="5" spans="1:3">
      <c r="A5" s="37" t="s">
        <v>3</v>
      </c>
      <c r="B5" s="41">
        <f>'August 2023'!J144</f>
        <v>39333970363.309998</v>
      </c>
      <c r="C5" s="2"/>
    </row>
    <row r="6" spans="1:3">
      <c r="A6" s="37" t="s">
        <v>7</v>
      </c>
      <c r="B6" s="42">
        <f>'August 2023'!J117</f>
        <v>93090595814.179993</v>
      </c>
      <c r="C6" s="2"/>
    </row>
    <row r="7" spans="1:3">
      <c r="A7" s="37" t="s">
        <v>6</v>
      </c>
      <c r="B7" s="42">
        <f>'August 2023'!J85</f>
        <v>223790317567.69998</v>
      </c>
      <c r="C7" s="2"/>
    </row>
    <row r="8" spans="1:3">
      <c r="A8" s="37" t="s">
        <v>2</v>
      </c>
      <c r="B8" s="41">
        <f>'August 2023'!J110</f>
        <v>572006206063.62854</v>
      </c>
      <c r="C8" s="2"/>
    </row>
    <row r="9" spans="1:3">
      <c r="A9" s="37" t="s">
        <v>1</v>
      </c>
      <c r="B9" s="43">
        <f>'August 2023'!J53</f>
        <v>851855178919.6051</v>
      </c>
      <c r="C9" s="2"/>
    </row>
    <row r="10" spans="1:3">
      <c r="A10" s="1"/>
      <c r="B10" s="1"/>
      <c r="C10" s="2"/>
    </row>
    <row r="11" spans="1:3" ht="16.5">
      <c r="A11" s="10"/>
      <c r="B11" s="1"/>
      <c r="C11" s="2"/>
    </row>
    <row r="12" spans="1:3">
      <c r="A12" s="44"/>
      <c r="B12" s="1"/>
      <c r="C12" s="2"/>
    </row>
    <row r="13" spans="1:3" ht="15.75" customHeight="1">
      <c r="A13" s="31"/>
      <c r="B13" s="15"/>
      <c r="C13" s="2"/>
    </row>
    <row r="14" spans="1:3">
      <c r="A14" s="16"/>
      <c r="B14" s="15"/>
      <c r="C14" s="2"/>
    </row>
    <row r="15" spans="1:3">
      <c r="A15" s="16"/>
      <c r="B15" s="15"/>
      <c r="C15" s="2"/>
    </row>
    <row r="16" spans="1:3">
      <c r="A16" s="17"/>
      <c r="B16" s="15"/>
      <c r="C16" s="2"/>
    </row>
    <row r="17" spans="1:17">
      <c r="A17" s="17"/>
      <c r="B17" s="15"/>
      <c r="C17" s="2"/>
    </row>
    <row r="18" spans="1:17">
      <c r="A18" s="16"/>
      <c r="B18" s="15"/>
      <c r="C18" s="2"/>
    </row>
    <row r="19" spans="1:17" ht="15" customHeight="1">
      <c r="A19" s="18"/>
      <c r="B19" s="15"/>
      <c r="C19" s="2"/>
    </row>
    <row r="20" spans="1:17" ht="16.5">
      <c r="A20" s="19"/>
      <c r="B20" s="15"/>
      <c r="C20" s="2"/>
    </row>
    <row r="21" spans="1:17" ht="16.5">
      <c r="A21" s="20"/>
      <c r="B21" s="21"/>
      <c r="C21" s="2"/>
    </row>
    <row r="22" spans="1:17" ht="16.5">
      <c r="A22" s="2"/>
      <c r="B22" s="21"/>
      <c r="C22" s="2"/>
    </row>
    <row r="23" spans="1:17">
      <c r="A23" s="2"/>
      <c r="B23" s="2"/>
      <c r="C23" s="2"/>
    </row>
    <row r="32" spans="1:17" ht="16.5" customHeight="1">
      <c r="A32" s="137" t="s">
        <v>276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3"/>
    </row>
    <row r="33" spans="1:17" ht="15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3"/>
    </row>
  </sheetData>
  <sheetProtection algorithmName="SHA-512" hashValue="TeWrpQ4RVlaNpbTm9mr2fzcvnburXtq7LG40i+Av+14Ecs3ZcUGQ2nbF3Qdt8QBZDWMnbR7Lbu7ig11g0zc2zg==" saltValue="ad+PX98C0IuNEnyWrzqd+w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FCE2-DF19-46A7-82E6-668A9D444BD6}">
  <dimension ref="A1:D21"/>
  <sheetViews>
    <sheetView workbookViewId="0">
      <selection activeCell="A4" sqref="A4"/>
    </sheetView>
  </sheetViews>
  <sheetFormatPr defaultRowHeight="15"/>
  <cols>
    <col min="1" max="1" width="34.7109375" customWidth="1"/>
    <col min="2" max="2" width="15" customWidth="1"/>
  </cols>
  <sheetData>
    <row r="1" spans="1:4">
      <c r="A1" s="2"/>
      <c r="B1" s="2"/>
      <c r="C1" s="2"/>
      <c r="D1" s="2"/>
    </row>
    <row r="2" spans="1:4">
      <c r="A2" s="2"/>
      <c r="B2" s="2"/>
      <c r="C2" s="2"/>
      <c r="D2" s="2"/>
    </row>
    <row r="3" spans="1:4">
      <c r="A3" s="1"/>
      <c r="B3" s="1"/>
      <c r="C3" s="1"/>
      <c r="D3" s="2"/>
    </row>
    <row r="4" spans="1:4">
      <c r="A4" s="1"/>
      <c r="B4" s="1"/>
      <c r="C4" s="1"/>
      <c r="D4" s="2"/>
    </row>
    <row r="5" spans="1:4" ht="15.75">
      <c r="A5" s="118" t="s">
        <v>5</v>
      </c>
      <c r="B5" s="119" t="s">
        <v>9</v>
      </c>
      <c r="C5" s="1"/>
      <c r="D5" s="2"/>
    </row>
    <row r="6" spans="1:4" ht="16.5">
      <c r="A6" s="120" t="s">
        <v>0</v>
      </c>
      <c r="B6" s="121">
        <f>'August 2023'!S21</f>
        <v>40993</v>
      </c>
      <c r="C6" s="1"/>
      <c r="D6" s="2"/>
    </row>
    <row r="7" spans="1:4" ht="16.5">
      <c r="A7" s="120" t="s">
        <v>1</v>
      </c>
      <c r="B7" s="121">
        <f>'August 2023'!S53</f>
        <v>279806</v>
      </c>
      <c r="C7" s="1"/>
      <c r="D7" s="2"/>
    </row>
    <row r="8" spans="1:4" ht="16.5">
      <c r="A8" s="120" t="s">
        <v>6</v>
      </c>
      <c r="B8" s="121">
        <f>'August 2023'!S85</f>
        <v>43418</v>
      </c>
      <c r="C8" s="1"/>
      <c r="D8" s="2"/>
    </row>
    <row r="9" spans="1:4" ht="16.5">
      <c r="A9" s="120" t="s">
        <v>2</v>
      </c>
      <c r="B9" s="121">
        <f>'August 2023'!S110</f>
        <v>11540</v>
      </c>
      <c r="C9" s="1"/>
      <c r="D9" s="2"/>
    </row>
    <row r="10" spans="1:4" ht="16.5">
      <c r="A10" s="120" t="s">
        <v>7</v>
      </c>
      <c r="B10" s="121">
        <f>'August 2023'!S117</f>
        <v>37511</v>
      </c>
      <c r="C10" s="1"/>
      <c r="D10" s="2"/>
    </row>
    <row r="11" spans="1:4" ht="16.5">
      <c r="A11" s="120" t="s">
        <v>3</v>
      </c>
      <c r="B11" s="121">
        <f>'August 2023'!S144</f>
        <v>48517</v>
      </c>
      <c r="C11" s="1"/>
      <c r="D11" s="2"/>
    </row>
    <row r="12" spans="1:4" ht="16.5">
      <c r="A12" s="120" t="s">
        <v>4</v>
      </c>
      <c r="B12" s="121">
        <f>'August 2023'!S150</f>
        <v>11600</v>
      </c>
      <c r="C12" s="1"/>
      <c r="D12" s="2"/>
    </row>
    <row r="13" spans="1:4" ht="16.5">
      <c r="A13" s="120" t="s">
        <v>8</v>
      </c>
      <c r="B13" s="121">
        <f>'August 2023'!S167</f>
        <v>26072</v>
      </c>
      <c r="C13" s="1"/>
      <c r="D13" s="2"/>
    </row>
    <row r="14" spans="1:4">
      <c r="A14" s="1"/>
      <c r="B14" s="1"/>
      <c r="C14" s="1"/>
      <c r="D14" s="2"/>
    </row>
    <row r="15" spans="1:4">
      <c r="A15" s="1"/>
      <c r="B15" s="1"/>
      <c r="C15" s="1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</sheetData>
  <sheetProtection algorithmName="SHA-512" hashValue="NM6XSwgszNsd4Vqs5qrwRp++WfcNhVTD6zZhzqSgnvUIR0cTTOq7AwcIeofx57h5WMP1MfJmdxF/9/dejIIjpA==" saltValue="KsyX0Hncv0GI7MO51hxlG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August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2024-06-23T19:19:59Z</dcterms:modified>
</cp:coreProperties>
</file>