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isaac\Desktop\Weekly NAV\2025\"/>
    </mc:Choice>
  </mc:AlternateContent>
  <bookViews>
    <workbookView xWindow="0" yWindow="0" windowWidth="11496" windowHeight="9168"/>
  </bookViews>
  <sheets>
    <sheet name="Weekly Valuation" sheetId="1" r:id="rId1"/>
    <sheet name="NAV Comparison" sheetId="2" r:id="rId2"/>
    <sheet name="Market Share" sheetId="3" r:id="rId3"/>
    <sheet name="8-Week Movement in NAV" sheetId="5" r:id="rId4"/>
    <sheet name="8-Week Movement in ETFs" sheetId="6" r:id="rId5"/>
    <sheet name="NAV Trend" sheetId="4" state="hidden" r:id="rId6"/>
  </sheets>
  <calcPr calcId="162913"/>
</workbook>
</file>

<file path=xl/calcChain.xml><?xml version="1.0" encoding="utf-8"?>
<calcChain xmlns="http://schemas.openxmlformats.org/spreadsheetml/2006/main">
  <c r="N133" i="1" l="1"/>
  <c r="M133" i="1"/>
  <c r="K133" i="1"/>
  <c r="N124" i="1"/>
  <c r="M124" i="1"/>
  <c r="N118" i="1" l="1"/>
  <c r="M118" i="1"/>
  <c r="K118" i="1"/>
  <c r="N113" i="1"/>
  <c r="M113" i="1"/>
  <c r="K113" i="1"/>
  <c r="N139" i="1"/>
  <c r="M139" i="1"/>
  <c r="K139" i="1"/>
  <c r="N132" i="1" l="1"/>
  <c r="M132" i="1"/>
  <c r="K132" i="1"/>
  <c r="N140" i="1"/>
  <c r="M140" i="1"/>
  <c r="N126" i="1" l="1"/>
  <c r="M126" i="1"/>
  <c r="K126" i="1"/>
  <c r="N135" i="1"/>
  <c r="M135" i="1"/>
  <c r="K135" i="1"/>
  <c r="R147" i="1"/>
  <c r="S147" i="1"/>
  <c r="N128" i="1" l="1"/>
  <c r="M128" i="1"/>
  <c r="K128" i="1"/>
  <c r="N123" i="1"/>
  <c r="N122" i="1"/>
  <c r="M123" i="1"/>
  <c r="M122" i="1"/>
  <c r="K123" i="1"/>
  <c r="K122" i="1"/>
  <c r="N148" i="1" l="1"/>
  <c r="M148" i="1"/>
  <c r="K148" i="1"/>
  <c r="N138" i="1" l="1"/>
  <c r="M138" i="1"/>
  <c r="K138" i="1"/>
  <c r="K142" i="1" l="1"/>
  <c r="N142" i="1"/>
  <c r="M142" i="1"/>
  <c r="V147" i="1"/>
  <c r="U147" i="1"/>
  <c r="T147" i="1"/>
  <c r="N147" i="1"/>
  <c r="M147" i="1"/>
  <c r="K147" i="1"/>
  <c r="N120" i="1"/>
  <c r="M120" i="1"/>
  <c r="K120" i="1"/>
  <c r="N137" i="1"/>
  <c r="M137" i="1"/>
  <c r="N127" i="1" l="1"/>
  <c r="M127" i="1"/>
  <c r="K127" i="1"/>
  <c r="N119" i="1"/>
  <c r="M119" i="1"/>
  <c r="K119" i="1"/>
  <c r="N145" i="1" l="1"/>
  <c r="M145" i="1"/>
  <c r="K145" i="1"/>
  <c r="N129" i="1"/>
  <c r="M129" i="1"/>
  <c r="K129" i="1"/>
  <c r="R165" i="1"/>
  <c r="S165" i="1"/>
  <c r="T165" i="1"/>
  <c r="U165" i="1"/>
  <c r="V165" i="1"/>
  <c r="N117" i="1"/>
  <c r="M117" i="1"/>
  <c r="K117" i="1"/>
  <c r="N114" i="1"/>
  <c r="M114" i="1"/>
  <c r="K114" i="1"/>
  <c r="N141" i="1"/>
  <c r="M141" i="1"/>
  <c r="K141" i="1"/>
  <c r="N116" i="1"/>
  <c r="M116" i="1"/>
  <c r="K116" i="1"/>
  <c r="N115" i="1"/>
  <c r="M115" i="1"/>
  <c r="K115" i="1"/>
  <c r="K125" i="1" l="1"/>
  <c r="M125" i="1"/>
  <c r="N125" i="1"/>
  <c r="K124" i="1"/>
  <c r="N144" i="1"/>
  <c r="M144" i="1"/>
  <c r="K144" i="1"/>
  <c r="G148" i="1" l="1"/>
  <c r="F148" i="1"/>
  <c r="G145" i="1"/>
  <c r="F145" i="1"/>
  <c r="G144" i="1"/>
  <c r="F144" i="1"/>
  <c r="G142" i="1"/>
  <c r="F142" i="1"/>
  <c r="G141" i="1"/>
  <c r="F141" i="1"/>
  <c r="G140" i="1"/>
  <c r="F140" i="1"/>
  <c r="G139" i="1"/>
  <c r="F139" i="1"/>
  <c r="G138" i="1"/>
  <c r="F138" i="1"/>
  <c r="G137" i="1"/>
  <c r="F137" i="1"/>
  <c r="G135" i="1"/>
  <c r="F135" i="1"/>
  <c r="G133" i="1"/>
  <c r="F133" i="1"/>
  <c r="G132" i="1"/>
  <c r="F132" i="1"/>
  <c r="D148" i="1"/>
  <c r="D145" i="1"/>
  <c r="D144" i="1"/>
  <c r="D142" i="1"/>
  <c r="D141" i="1"/>
  <c r="D139" i="1"/>
  <c r="D138" i="1"/>
  <c r="D135" i="1"/>
  <c r="D133" i="1"/>
  <c r="D132" i="1"/>
  <c r="G129" i="1"/>
  <c r="F129" i="1"/>
  <c r="G128" i="1"/>
  <c r="F128" i="1"/>
  <c r="G127" i="1"/>
  <c r="F127" i="1"/>
  <c r="G126" i="1"/>
  <c r="F126" i="1"/>
  <c r="G125" i="1"/>
  <c r="F125" i="1"/>
  <c r="G123" i="1"/>
  <c r="F123" i="1"/>
  <c r="G122" i="1"/>
  <c r="F122" i="1"/>
  <c r="G120" i="1"/>
  <c r="F120" i="1"/>
  <c r="G119" i="1"/>
  <c r="F119" i="1"/>
  <c r="G118" i="1"/>
  <c r="F118" i="1"/>
  <c r="G117" i="1"/>
  <c r="F117" i="1"/>
  <c r="G116" i="1"/>
  <c r="F116" i="1"/>
  <c r="G115" i="1"/>
  <c r="F115" i="1"/>
  <c r="G114" i="1"/>
  <c r="F114" i="1"/>
  <c r="G113" i="1"/>
  <c r="F113" i="1"/>
  <c r="D129" i="1"/>
  <c r="D128" i="1"/>
  <c r="D127" i="1"/>
  <c r="D126" i="1"/>
  <c r="D125" i="1"/>
  <c r="D124" i="1"/>
  <c r="D123" i="1"/>
  <c r="D122" i="1"/>
  <c r="D120" i="1"/>
  <c r="D119" i="1"/>
  <c r="D118" i="1"/>
  <c r="D117" i="1"/>
  <c r="D116" i="1"/>
  <c r="D115" i="1"/>
  <c r="D114" i="1"/>
  <c r="D113" i="1"/>
  <c r="R142" i="1" l="1"/>
  <c r="S142" i="1"/>
  <c r="V142" i="1" l="1"/>
  <c r="U142" i="1"/>
  <c r="T142" i="1"/>
  <c r="R58" i="1"/>
  <c r="V58" i="1"/>
  <c r="U58" i="1"/>
  <c r="S58" i="1"/>
  <c r="T58" i="1"/>
  <c r="V230" i="1" l="1"/>
  <c r="R32" i="1" l="1"/>
  <c r="V32" i="1"/>
  <c r="U32" i="1"/>
  <c r="T32" i="1"/>
  <c r="S32" i="1"/>
  <c r="R124" i="1" l="1"/>
  <c r="S124" i="1"/>
  <c r="T136" i="1" l="1"/>
  <c r="V124" i="1" l="1"/>
  <c r="U124" i="1"/>
  <c r="T124" i="1"/>
  <c r="R46" i="1"/>
  <c r="S46" i="1"/>
  <c r="T46" i="1"/>
  <c r="U46" i="1"/>
  <c r="V46" i="1"/>
  <c r="O226" i="1" l="1"/>
  <c r="K226" i="1"/>
  <c r="L224" i="1" s="1"/>
  <c r="H226" i="1"/>
  <c r="D226" i="1"/>
  <c r="V224" i="1"/>
  <c r="U224" i="1"/>
  <c r="T224" i="1"/>
  <c r="S224" i="1"/>
  <c r="R224" i="1"/>
  <c r="R135" i="1" l="1"/>
  <c r="V135" i="1"/>
  <c r="U135" i="1"/>
  <c r="T135" i="1"/>
  <c r="S135" i="1"/>
  <c r="V82" i="1"/>
  <c r="U82" i="1"/>
  <c r="T82" i="1"/>
  <c r="S82" i="1"/>
  <c r="R82" i="1"/>
  <c r="R170" i="1" l="1"/>
  <c r="V23" i="1" l="1"/>
  <c r="U23" i="1"/>
  <c r="T23" i="1"/>
  <c r="S23" i="1"/>
  <c r="R23" i="1"/>
  <c r="O220" i="1"/>
  <c r="K220" i="1"/>
  <c r="H220" i="1"/>
  <c r="D220" i="1"/>
  <c r="V219" i="1"/>
  <c r="U219" i="1"/>
  <c r="T219" i="1"/>
  <c r="S219" i="1"/>
  <c r="R219" i="1"/>
  <c r="L219" i="1" l="1"/>
  <c r="L213" i="1"/>
  <c r="E219" i="1"/>
  <c r="E224" i="1"/>
  <c r="R31" i="1"/>
  <c r="K149" i="1" l="1"/>
  <c r="B8" i="3" l="1"/>
  <c r="L142" i="1"/>
  <c r="L134" i="1"/>
  <c r="L124" i="1"/>
  <c r="R116" i="1"/>
  <c r="S116" i="1"/>
  <c r="T116" i="1"/>
  <c r="U116" i="1"/>
  <c r="V116" i="1"/>
  <c r="R53" i="1" l="1"/>
  <c r="R212" i="1" l="1"/>
  <c r="V204" i="1" l="1"/>
  <c r="U204" i="1"/>
  <c r="T204" i="1"/>
  <c r="S204" i="1"/>
  <c r="R204" i="1"/>
  <c r="R144" i="1"/>
  <c r="S144" i="1"/>
  <c r="T144" i="1"/>
  <c r="U144" i="1"/>
  <c r="V144" i="1"/>
  <c r="R6" i="1" l="1"/>
  <c r="V188" i="1" l="1"/>
  <c r="U188" i="1"/>
  <c r="T188" i="1"/>
  <c r="S188" i="1"/>
  <c r="R188" i="1"/>
  <c r="V187" i="1"/>
  <c r="U187" i="1"/>
  <c r="T187" i="1"/>
  <c r="S187" i="1"/>
  <c r="R187" i="1"/>
  <c r="V186" i="1"/>
  <c r="U186" i="1"/>
  <c r="T186" i="1"/>
  <c r="S186" i="1"/>
  <c r="R186" i="1"/>
  <c r="V185" i="1"/>
  <c r="U185" i="1"/>
  <c r="T185" i="1"/>
  <c r="S185" i="1"/>
  <c r="R185" i="1"/>
  <c r="V184" i="1"/>
  <c r="U184" i="1"/>
  <c r="T184" i="1"/>
  <c r="S184" i="1"/>
  <c r="R184" i="1"/>
  <c r="V183" i="1"/>
  <c r="U183" i="1"/>
  <c r="T183" i="1"/>
  <c r="S183" i="1"/>
  <c r="R183" i="1"/>
  <c r="V182" i="1"/>
  <c r="U182" i="1"/>
  <c r="T182" i="1"/>
  <c r="S182" i="1"/>
  <c r="R182" i="1"/>
  <c r="V181" i="1"/>
  <c r="U181" i="1"/>
  <c r="T181" i="1"/>
  <c r="S181" i="1"/>
  <c r="R181" i="1"/>
  <c r="V180" i="1"/>
  <c r="U180" i="1"/>
  <c r="T180" i="1"/>
  <c r="S180" i="1"/>
  <c r="R180" i="1"/>
  <c r="V179" i="1"/>
  <c r="U179" i="1"/>
  <c r="T179" i="1"/>
  <c r="S179" i="1"/>
  <c r="R179" i="1"/>
  <c r="V178" i="1"/>
  <c r="U178" i="1"/>
  <c r="T178" i="1"/>
  <c r="S178" i="1"/>
  <c r="R178" i="1"/>
  <c r="V177" i="1"/>
  <c r="U177" i="1"/>
  <c r="T177" i="1"/>
  <c r="S177" i="1"/>
  <c r="R177" i="1"/>
  <c r="V176" i="1"/>
  <c r="U176" i="1"/>
  <c r="T176" i="1"/>
  <c r="S176" i="1"/>
  <c r="R176" i="1"/>
  <c r="V175" i="1"/>
  <c r="U175" i="1"/>
  <c r="T175" i="1"/>
  <c r="S175" i="1"/>
  <c r="R175" i="1"/>
  <c r="V174" i="1"/>
  <c r="U174" i="1"/>
  <c r="T174" i="1"/>
  <c r="S174" i="1"/>
  <c r="R174" i="1"/>
  <c r="V173" i="1"/>
  <c r="U173" i="1"/>
  <c r="T173" i="1"/>
  <c r="S173" i="1"/>
  <c r="R173" i="1"/>
  <c r="V172" i="1"/>
  <c r="U172" i="1"/>
  <c r="T172" i="1"/>
  <c r="S172" i="1"/>
  <c r="R172" i="1"/>
  <c r="V171" i="1"/>
  <c r="U171" i="1"/>
  <c r="T171" i="1"/>
  <c r="S171" i="1"/>
  <c r="R171" i="1"/>
  <c r="V170" i="1"/>
  <c r="U170" i="1"/>
  <c r="T170" i="1"/>
  <c r="S170" i="1"/>
  <c r="V169" i="1"/>
  <c r="U169" i="1"/>
  <c r="T169" i="1"/>
  <c r="S169" i="1"/>
  <c r="R169" i="1"/>
  <c r="V168" i="1"/>
  <c r="U168" i="1"/>
  <c r="T168" i="1"/>
  <c r="S168" i="1"/>
  <c r="R168" i="1"/>
  <c r="V167" i="1"/>
  <c r="U167" i="1"/>
  <c r="T167" i="1"/>
  <c r="S167" i="1"/>
  <c r="R167" i="1"/>
  <c r="V166" i="1"/>
  <c r="U166" i="1"/>
  <c r="T166" i="1"/>
  <c r="S166" i="1"/>
  <c r="R166" i="1"/>
  <c r="V164" i="1"/>
  <c r="U164" i="1"/>
  <c r="T164" i="1"/>
  <c r="S164" i="1"/>
  <c r="R164" i="1"/>
  <c r="V163" i="1"/>
  <c r="U163" i="1"/>
  <c r="T163" i="1"/>
  <c r="S163" i="1"/>
  <c r="R163" i="1"/>
  <c r="V162" i="1"/>
  <c r="U162" i="1"/>
  <c r="T162" i="1"/>
  <c r="S162" i="1"/>
  <c r="R162" i="1"/>
  <c r="V161" i="1"/>
  <c r="U161" i="1"/>
  <c r="T161" i="1"/>
  <c r="S161" i="1"/>
  <c r="R161" i="1"/>
  <c r="V160" i="1"/>
  <c r="U160" i="1"/>
  <c r="T160" i="1"/>
  <c r="S160" i="1"/>
  <c r="R160" i="1"/>
  <c r="R94" i="1" l="1"/>
  <c r="V34" i="1" l="1"/>
  <c r="U34" i="1"/>
  <c r="T34" i="1"/>
  <c r="S34" i="1"/>
  <c r="R34" i="1"/>
  <c r="V76" i="1" l="1"/>
  <c r="V50" i="1" l="1"/>
  <c r="U50" i="1"/>
  <c r="T50" i="1"/>
  <c r="S50" i="1"/>
  <c r="R50" i="1"/>
  <c r="J10" i="4" l="1"/>
  <c r="I4" i="5" s="1"/>
  <c r="I3" i="5" s="1"/>
  <c r="I10" i="4"/>
  <c r="H10" i="4"/>
  <c r="G4" i="5" s="1"/>
  <c r="G3" i="5" s="1"/>
  <c r="G10" i="4"/>
  <c r="F10" i="4"/>
  <c r="E4" i="5" s="1"/>
  <c r="E3" i="5" s="1"/>
  <c r="E10" i="4"/>
  <c r="D10" i="4"/>
  <c r="C10" i="4"/>
  <c r="B4" i="5" s="1"/>
  <c r="B3" i="5" s="1"/>
  <c r="B10" i="4"/>
  <c r="I4" i="6"/>
  <c r="I3" i="6" s="1"/>
  <c r="H4" i="6"/>
  <c r="H3" i="6" s="1"/>
  <c r="G4" i="6"/>
  <c r="G3" i="6" s="1"/>
  <c r="F4" i="6"/>
  <c r="F3" i="6" s="1"/>
  <c r="E4" i="6"/>
  <c r="E3" i="6" s="1"/>
  <c r="D4" i="6"/>
  <c r="D3" i="6" s="1"/>
  <c r="C4" i="6"/>
  <c r="C3" i="6" s="1"/>
  <c r="B4" i="6"/>
  <c r="B3" i="6" s="1"/>
  <c r="F4" i="5"/>
  <c r="F3" i="5" s="1"/>
  <c r="V246" i="1"/>
  <c r="U246" i="1"/>
  <c r="S246" i="1"/>
  <c r="O246" i="1"/>
  <c r="K246" i="1"/>
  <c r="H246" i="1"/>
  <c r="D246" i="1"/>
  <c r="E244" i="1" s="1"/>
  <c r="V245" i="1"/>
  <c r="U245" i="1"/>
  <c r="T245" i="1"/>
  <c r="S245" i="1"/>
  <c r="R245" i="1"/>
  <c r="V244" i="1"/>
  <c r="U244" i="1"/>
  <c r="T244" i="1"/>
  <c r="S244" i="1"/>
  <c r="R244" i="1"/>
  <c r="V243" i="1"/>
  <c r="U243" i="1"/>
  <c r="T243" i="1"/>
  <c r="S243" i="1"/>
  <c r="R243" i="1"/>
  <c r="V242" i="1"/>
  <c r="U242" i="1"/>
  <c r="T242" i="1"/>
  <c r="S242" i="1"/>
  <c r="R242" i="1"/>
  <c r="V241" i="1"/>
  <c r="U241" i="1"/>
  <c r="T241" i="1"/>
  <c r="S241" i="1"/>
  <c r="R241" i="1"/>
  <c r="V240" i="1"/>
  <c r="U240" i="1"/>
  <c r="T240" i="1"/>
  <c r="S240" i="1"/>
  <c r="R240" i="1"/>
  <c r="V239" i="1"/>
  <c r="U239" i="1"/>
  <c r="T239" i="1"/>
  <c r="S239" i="1"/>
  <c r="R239" i="1"/>
  <c r="V238" i="1"/>
  <c r="U238" i="1"/>
  <c r="T238" i="1"/>
  <c r="S238" i="1"/>
  <c r="R238" i="1"/>
  <c r="V237" i="1"/>
  <c r="U237" i="1"/>
  <c r="T237" i="1"/>
  <c r="S237" i="1"/>
  <c r="R237" i="1"/>
  <c r="V236" i="1"/>
  <c r="U236" i="1"/>
  <c r="T236" i="1"/>
  <c r="S236" i="1"/>
  <c r="R236" i="1"/>
  <c r="V235" i="1"/>
  <c r="U235" i="1"/>
  <c r="T235" i="1"/>
  <c r="S235" i="1"/>
  <c r="R235" i="1"/>
  <c r="V234" i="1"/>
  <c r="U234" i="1"/>
  <c r="T234" i="1"/>
  <c r="S234" i="1"/>
  <c r="R234" i="1"/>
  <c r="O231" i="1"/>
  <c r="K231" i="1"/>
  <c r="L230" i="1" s="1"/>
  <c r="H231" i="1"/>
  <c r="D231" i="1"/>
  <c r="E230" i="1" s="1"/>
  <c r="U230" i="1"/>
  <c r="T230" i="1"/>
  <c r="S230" i="1"/>
  <c r="R230" i="1"/>
  <c r="V229" i="1"/>
  <c r="U229" i="1"/>
  <c r="T229" i="1"/>
  <c r="S229" i="1"/>
  <c r="R229" i="1"/>
  <c r="L225" i="1"/>
  <c r="V225" i="1"/>
  <c r="U225" i="1"/>
  <c r="T225" i="1"/>
  <c r="S225" i="1"/>
  <c r="R225" i="1"/>
  <c r="V220" i="1"/>
  <c r="U220" i="1"/>
  <c r="S220" i="1"/>
  <c r="V218" i="1"/>
  <c r="U218" i="1"/>
  <c r="T218" i="1"/>
  <c r="S218" i="1"/>
  <c r="R218" i="1"/>
  <c r="V215" i="1"/>
  <c r="U215" i="1"/>
  <c r="T215" i="1"/>
  <c r="S215" i="1"/>
  <c r="R215" i="1"/>
  <c r="V214" i="1"/>
  <c r="U214" i="1"/>
  <c r="T214" i="1"/>
  <c r="S214" i="1"/>
  <c r="R214" i="1"/>
  <c r="V213" i="1"/>
  <c r="U213" i="1"/>
  <c r="T213" i="1"/>
  <c r="S213" i="1"/>
  <c r="R213" i="1"/>
  <c r="V212" i="1"/>
  <c r="U212" i="1"/>
  <c r="T212" i="1"/>
  <c r="S212" i="1"/>
  <c r="V211" i="1"/>
  <c r="U211" i="1"/>
  <c r="T211" i="1"/>
  <c r="S211" i="1"/>
  <c r="R211" i="1"/>
  <c r="V210" i="1"/>
  <c r="U210" i="1"/>
  <c r="T210" i="1"/>
  <c r="S210" i="1"/>
  <c r="R210" i="1"/>
  <c r="V209" i="1"/>
  <c r="U209" i="1"/>
  <c r="T209" i="1"/>
  <c r="S209" i="1"/>
  <c r="R209" i="1"/>
  <c r="V208" i="1"/>
  <c r="U208" i="1"/>
  <c r="T208" i="1"/>
  <c r="S208" i="1"/>
  <c r="R208" i="1"/>
  <c r="V207" i="1"/>
  <c r="U207" i="1"/>
  <c r="T207" i="1"/>
  <c r="S207" i="1"/>
  <c r="R207" i="1"/>
  <c r="V206" i="1"/>
  <c r="U206" i="1"/>
  <c r="T206" i="1"/>
  <c r="S206" i="1"/>
  <c r="R206" i="1"/>
  <c r="V205" i="1"/>
  <c r="U205" i="1"/>
  <c r="T205" i="1"/>
  <c r="S205" i="1"/>
  <c r="R205" i="1"/>
  <c r="V203" i="1"/>
  <c r="U203" i="1"/>
  <c r="T203" i="1"/>
  <c r="S203" i="1"/>
  <c r="R203" i="1"/>
  <c r="V200" i="1"/>
  <c r="U200" i="1"/>
  <c r="T200" i="1"/>
  <c r="S200" i="1"/>
  <c r="R200" i="1"/>
  <c r="V199" i="1"/>
  <c r="U199" i="1"/>
  <c r="T199" i="1"/>
  <c r="S199" i="1"/>
  <c r="R199" i="1"/>
  <c r="V195" i="1"/>
  <c r="U195" i="1"/>
  <c r="S195" i="1"/>
  <c r="O195" i="1"/>
  <c r="K195" i="1"/>
  <c r="H195" i="1"/>
  <c r="D195" i="1"/>
  <c r="V194" i="1"/>
  <c r="U194" i="1"/>
  <c r="T194" i="1"/>
  <c r="S194" i="1"/>
  <c r="R194" i="1"/>
  <c r="V193" i="1"/>
  <c r="U193" i="1"/>
  <c r="T193" i="1"/>
  <c r="S193" i="1"/>
  <c r="R193" i="1"/>
  <c r="V192" i="1"/>
  <c r="U192" i="1"/>
  <c r="T192" i="1"/>
  <c r="S192" i="1"/>
  <c r="R192" i="1"/>
  <c r="V189" i="1"/>
  <c r="U189" i="1"/>
  <c r="S189" i="1"/>
  <c r="O189" i="1"/>
  <c r="K189" i="1"/>
  <c r="H189" i="1"/>
  <c r="D189" i="1"/>
  <c r="E165" i="1" s="1"/>
  <c r="V157" i="1"/>
  <c r="U157" i="1"/>
  <c r="S157" i="1"/>
  <c r="O157" i="1"/>
  <c r="K157" i="1"/>
  <c r="B6" i="3" s="1"/>
  <c r="H157" i="1"/>
  <c r="D157" i="1"/>
  <c r="E155" i="1" s="1"/>
  <c r="V156" i="1"/>
  <c r="U156" i="1"/>
  <c r="T156" i="1"/>
  <c r="S156" i="1"/>
  <c r="R156" i="1"/>
  <c r="V155" i="1"/>
  <c r="U155" i="1"/>
  <c r="T155" i="1"/>
  <c r="S155" i="1"/>
  <c r="R155" i="1"/>
  <c r="V154" i="1"/>
  <c r="U154" i="1"/>
  <c r="T154" i="1"/>
  <c r="S154" i="1"/>
  <c r="R154" i="1"/>
  <c r="V153" i="1"/>
  <c r="U153" i="1"/>
  <c r="T153" i="1"/>
  <c r="S153" i="1"/>
  <c r="R153" i="1"/>
  <c r="V152" i="1"/>
  <c r="U152" i="1"/>
  <c r="T152" i="1"/>
  <c r="S152" i="1"/>
  <c r="R152" i="1"/>
  <c r="V149" i="1"/>
  <c r="U149" i="1"/>
  <c r="S149" i="1"/>
  <c r="O149" i="1"/>
  <c r="H149" i="1"/>
  <c r="V148" i="1"/>
  <c r="U148" i="1"/>
  <c r="T148" i="1"/>
  <c r="R148" i="1"/>
  <c r="V146" i="1"/>
  <c r="U146" i="1"/>
  <c r="T146" i="1"/>
  <c r="S146" i="1"/>
  <c r="R146" i="1"/>
  <c r="V145" i="1"/>
  <c r="U145" i="1"/>
  <c r="T145" i="1"/>
  <c r="S145" i="1"/>
  <c r="V143" i="1"/>
  <c r="U143" i="1"/>
  <c r="T143" i="1"/>
  <c r="S143" i="1"/>
  <c r="R143" i="1"/>
  <c r="V141" i="1"/>
  <c r="U141" i="1"/>
  <c r="T141" i="1"/>
  <c r="S141" i="1"/>
  <c r="V140" i="1"/>
  <c r="U140" i="1"/>
  <c r="T140" i="1"/>
  <c r="R140" i="1"/>
  <c r="S140" i="1"/>
  <c r="V139" i="1"/>
  <c r="U139" i="1"/>
  <c r="T139" i="1"/>
  <c r="S139" i="1"/>
  <c r="V138" i="1"/>
  <c r="U138" i="1"/>
  <c r="T138" i="1"/>
  <c r="S138" i="1"/>
  <c r="R138" i="1"/>
  <c r="V137" i="1"/>
  <c r="U137" i="1"/>
  <c r="T137" i="1"/>
  <c r="R137" i="1"/>
  <c r="V136" i="1"/>
  <c r="U136" i="1"/>
  <c r="S136" i="1"/>
  <c r="R136" i="1"/>
  <c r="V134" i="1"/>
  <c r="U134" i="1"/>
  <c r="T134" i="1"/>
  <c r="S134" i="1"/>
  <c r="R134" i="1"/>
  <c r="V133" i="1"/>
  <c r="U133" i="1"/>
  <c r="T133" i="1"/>
  <c r="S133" i="1"/>
  <c r="V132" i="1"/>
  <c r="U132" i="1"/>
  <c r="T132" i="1"/>
  <c r="S132" i="1"/>
  <c r="R132" i="1"/>
  <c r="V129" i="1"/>
  <c r="U129" i="1"/>
  <c r="T129" i="1"/>
  <c r="S129" i="1"/>
  <c r="V128" i="1"/>
  <c r="U128" i="1"/>
  <c r="T128" i="1"/>
  <c r="S128" i="1"/>
  <c r="R128" i="1"/>
  <c r="V127" i="1"/>
  <c r="U127" i="1"/>
  <c r="T127" i="1"/>
  <c r="S127" i="1"/>
  <c r="R127" i="1"/>
  <c r="V126" i="1"/>
  <c r="U126" i="1"/>
  <c r="T126" i="1"/>
  <c r="S126" i="1"/>
  <c r="V125" i="1"/>
  <c r="U125" i="1"/>
  <c r="T125" i="1"/>
  <c r="S125" i="1"/>
  <c r="R125" i="1"/>
  <c r="V123" i="1"/>
  <c r="U123" i="1"/>
  <c r="T123" i="1"/>
  <c r="S123" i="1"/>
  <c r="R123" i="1"/>
  <c r="V122" i="1"/>
  <c r="U122" i="1"/>
  <c r="T122" i="1"/>
  <c r="S122" i="1"/>
  <c r="R122" i="1"/>
  <c r="V121" i="1"/>
  <c r="U121" i="1"/>
  <c r="T121" i="1"/>
  <c r="S121" i="1"/>
  <c r="R121" i="1"/>
  <c r="V120" i="1"/>
  <c r="U120" i="1"/>
  <c r="T120" i="1"/>
  <c r="S120" i="1"/>
  <c r="R120" i="1"/>
  <c r="V119" i="1"/>
  <c r="U119" i="1"/>
  <c r="T119" i="1"/>
  <c r="S119" i="1"/>
  <c r="V118" i="1"/>
  <c r="U118" i="1"/>
  <c r="T118" i="1"/>
  <c r="S118" i="1"/>
  <c r="V117" i="1"/>
  <c r="U117" i="1"/>
  <c r="T117" i="1"/>
  <c r="S117" i="1"/>
  <c r="R117" i="1"/>
  <c r="V115" i="1"/>
  <c r="U115" i="1"/>
  <c r="T115" i="1"/>
  <c r="S115" i="1"/>
  <c r="V114" i="1"/>
  <c r="U114" i="1"/>
  <c r="T114" i="1"/>
  <c r="S114" i="1"/>
  <c r="V113" i="1"/>
  <c r="U113" i="1"/>
  <c r="T113" i="1"/>
  <c r="R113" i="1"/>
  <c r="S113" i="1"/>
  <c r="V109" i="1"/>
  <c r="U109" i="1"/>
  <c r="S109" i="1"/>
  <c r="O109" i="1"/>
  <c r="K109" i="1"/>
  <c r="H109" i="1"/>
  <c r="D109" i="1"/>
  <c r="E135" i="1" s="1"/>
  <c r="V108" i="1"/>
  <c r="U108" i="1"/>
  <c r="T108" i="1"/>
  <c r="S108" i="1"/>
  <c r="R108" i="1"/>
  <c r="V107" i="1"/>
  <c r="U107" i="1"/>
  <c r="T107" i="1"/>
  <c r="S107" i="1"/>
  <c r="R107" i="1"/>
  <c r="V106" i="1"/>
  <c r="U106" i="1"/>
  <c r="T106" i="1"/>
  <c r="S106" i="1"/>
  <c r="R106" i="1"/>
  <c r="V105" i="1"/>
  <c r="U105" i="1"/>
  <c r="T105" i="1"/>
  <c r="S105" i="1"/>
  <c r="R105" i="1"/>
  <c r="V104" i="1"/>
  <c r="U104" i="1"/>
  <c r="T104" i="1"/>
  <c r="S104" i="1"/>
  <c r="R104" i="1"/>
  <c r="V103" i="1"/>
  <c r="U103" i="1"/>
  <c r="T103" i="1"/>
  <c r="S103" i="1"/>
  <c r="R103" i="1"/>
  <c r="V102" i="1"/>
  <c r="U102" i="1"/>
  <c r="T102" i="1"/>
  <c r="S102" i="1"/>
  <c r="R102" i="1"/>
  <c r="V101" i="1"/>
  <c r="U101" i="1"/>
  <c r="T101" i="1"/>
  <c r="S101" i="1"/>
  <c r="R101" i="1"/>
  <c r="V100" i="1"/>
  <c r="U100" i="1"/>
  <c r="T100" i="1"/>
  <c r="S100" i="1"/>
  <c r="R100" i="1"/>
  <c r="V99" i="1"/>
  <c r="U99" i="1"/>
  <c r="T99" i="1"/>
  <c r="S99" i="1"/>
  <c r="R99" i="1"/>
  <c r="V98" i="1"/>
  <c r="U98" i="1"/>
  <c r="T98" i="1"/>
  <c r="S98" i="1"/>
  <c r="R98" i="1"/>
  <c r="V97" i="1"/>
  <c r="U97" i="1"/>
  <c r="T97" i="1"/>
  <c r="S97" i="1"/>
  <c r="R97" i="1"/>
  <c r="V96" i="1"/>
  <c r="U96" i="1"/>
  <c r="T96" i="1"/>
  <c r="S96" i="1"/>
  <c r="R96" i="1"/>
  <c r="V95" i="1"/>
  <c r="U95" i="1"/>
  <c r="T95" i="1"/>
  <c r="S95" i="1"/>
  <c r="R95" i="1"/>
  <c r="V94" i="1"/>
  <c r="U94" i="1"/>
  <c r="T94" i="1"/>
  <c r="S94" i="1"/>
  <c r="V93" i="1"/>
  <c r="U93" i="1"/>
  <c r="T93" i="1"/>
  <c r="S93" i="1"/>
  <c r="R93" i="1"/>
  <c r="V92" i="1"/>
  <c r="U92" i="1"/>
  <c r="T92" i="1"/>
  <c r="S92" i="1"/>
  <c r="R92" i="1"/>
  <c r="V91" i="1"/>
  <c r="U91" i="1"/>
  <c r="T91" i="1"/>
  <c r="S91" i="1"/>
  <c r="R91" i="1"/>
  <c r="V90" i="1"/>
  <c r="U90" i="1"/>
  <c r="T90" i="1"/>
  <c r="S90" i="1"/>
  <c r="R90" i="1"/>
  <c r="V89" i="1"/>
  <c r="U89" i="1"/>
  <c r="T89" i="1"/>
  <c r="S89" i="1"/>
  <c r="R89" i="1"/>
  <c r="V88" i="1"/>
  <c r="U88" i="1"/>
  <c r="T88" i="1"/>
  <c r="S88" i="1"/>
  <c r="R88" i="1"/>
  <c r="V87" i="1"/>
  <c r="U87" i="1"/>
  <c r="T87" i="1"/>
  <c r="S87" i="1"/>
  <c r="R87" i="1"/>
  <c r="V86" i="1"/>
  <c r="U86" i="1"/>
  <c r="T86" i="1"/>
  <c r="S86" i="1"/>
  <c r="R86" i="1"/>
  <c r="V85" i="1"/>
  <c r="U85" i="1"/>
  <c r="T85" i="1"/>
  <c r="S85" i="1"/>
  <c r="R85" i="1"/>
  <c r="V84" i="1"/>
  <c r="U84" i="1"/>
  <c r="T84" i="1"/>
  <c r="S84" i="1"/>
  <c r="R84" i="1"/>
  <c r="V83" i="1"/>
  <c r="U83" i="1"/>
  <c r="T83" i="1"/>
  <c r="S83" i="1"/>
  <c r="R83" i="1"/>
  <c r="V81" i="1"/>
  <c r="U81" i="1"/>
  <c r="T81" i="1"/>
  <c r="S81" i="1"/>
  <c r="R81" i="1"/>
  <c r="V80" i="1"/>
  <c r="U80" i="1"/>
  <c r="T80" i="1"/>
  <c r="S80" i="1"/>
  <c r="R80" i="1"/>
  <c r="V79" i="1"/>
  <c r="U79" i="1"/>
  <c r="T79" i="1"/>
  <c r="S79" i="1"/>
  <c r="R79" i="1"/>
  <c r="V78" i="1"/>
  <c r="U78" i="1"/>
  <c r="T78" i="1"/>
  <c r="S78" i="1"/>
  <c r="R78" i="1"/>
  <c r="V77" i="1"/>
  <c r="U77" i="1"/>
  <c r="T77" i="1"/>
  <c r="S77" i="1"/>
  <c r="R77" i="1"/>
  <c r="U76" i="1"/>
  <c r="T76" i="1"/>
  <c r="S76" i="1"/>
  <c r="R76" i="1"/>
  <c r="V75" i="1"/>
  <c r="U75" i="1"/>
  <c r="T75" i="1"/>
  <c r="S75" i="1"/>
  <c r="R75" i="1"/>
  <c r="V74" i="1"/>
  <c r="U74" i="1"/>
  <c r="T74" i="1"/>
  <c r="S74" i="1"/>
  <c r="R74" i="1"/>
  <c r="V73" i="1"/>
  <c r="U73" i="1"/>
  <c r="T73" i="1"/>
  <c r="S73" i="1"/>
  <c r="R73" i="1"/>
  <c r="V72" i="1"/>
  <c r="U72" i="1"/>
  <c r="T72" i="1"/>
  <c r="S72" i="1"/>
  <c r="R72" i="1"/>
  <c r="V69" i="1"/>
  <c r="U69" i="1"/>
  <c r="S69" i="1"/>
  <c r="O69" i="1"/>
  <c r="K69" i="1"/>
  <c r="L58" i="1" s="1"/>
  <c r="H69" i="1"/>
  <c r="D69" i="1"/>
  <c r="B14" i="2" s="1"/>
  <c r="B4" i="2" s="1"/>
  <c r="V68" i="1"/>
  <c r="U68" i="1"/>
  <c r="T68" i="1"/>
  <c r="S68" i="1"/>
  <c r="R68" i="1"/>
  <c r="V67" i="1"/>
  <c r="U67" i="1"/>
  <c r="T67" i="1"/>
  <c r="S67" i="1"/>
  <c r="R67" i="1"/>
  <c r="V66" i="1"/>
  <c r="U66" i="1"/>
  <c r="T66" i="1"/>
  <c r="S66" i="1"/>
  <c r="R66" i="1"/>
  <c r="V65" i="1"/>
  <c r="U65" i="1"/>
  <c r="T65" i="1"/>
  <c r="S65" i="1"/>
  <c r="R65" i="1"/>
  <c r="V64" i="1"/>
  <c r="U64" i="1"/>
  <c r="T64" i="1"/>
  <c r="S64" i="1"/>
  <c r="R64" i="1"/>
  <c r="V63" i="1"/>
  <c r="U63" i="1"/>
  <c r="T63" i="1"/>
  <c r="S63" i="1"/>
  <c r="R63" i="1"/>
  <c r="V62" i="1"/>
  <c r="U62" i="1"/>
  <c r="T62" i="1"/>
  <c r="S62" i="1"/>
  <c r="R62" i="1"/>
  <c r="V61" i="1"/>
  <c r="U61" i="1"/>
  <c r="T61" i="1"/>
  <c r="S61" i="1"/>
  <c r="R61" i="1"/>
  <c r="V60" i="1"/>
  <c r="U60" i="1"/>
  <c r="T60" i="1"/>
  <c r="S60" i="1"/>
  <c r="R60" i="1"/>
  <c r="V59" i="1"/>
  <c r="U59" i="1"/>
  <c r="T59" i="1"/>
  <c r="S59" i="1"/>
  <c r="R59" i="1"/>
  <c r="V57" i="1"/>
  <c r="U57" i="1"/>
  <c r="T57" i="1"/>
  <c r="S57" i="1"/>
  <c r="R57" i="1"/>
  <c r="V56" i="1"/>
  <c r="U56" i="1"/>
  <c r="T56" i="1"/>
  <c r="S56" i="1"/>
  <c r="R56" i="1"/>
  <c r="V55" i="1"/>
  <c r="U55" i="1"/>
  <c r="T55" i="1"/>
  <c r="S55" i="1"/>
  <c r="R55" i="1"/>
  <c r="V54" i="1"/>
  <c r="U54" i="1"/>
  <c r="T54" i="1"/>
  <c r="S54" i="1"/>
  <c r="R54" i="1"/>
  <c r="V53" i="1"/>
  <c r="U53" i="1"/>
  <c r="T53" i="1"/>
  <c r="S53" i="1"/>
  <c r="V52" i="1"/>
  <c r="U52" i="1"/>
  <c r="T52" i="1"/>
  <c r="S52" i="1"/>
  <c r="R52" i="1"/>
  <c r="V51" i="1"/>
  <c r="U51" i="1"/>
  <c r="T51" i="1"/>
  <c r="S51" i="1"/>
  <c r="R51" i="1"/>
  <c r="V49" i="1"/>
  <c r="U49" i="1"/>
  <c r="T49" i="1"/>
  <c r="S49" i="1"/>
  <c r="R49" i="1"/>
  <c r="V48" i="1"/>
  <c r="U48" i="1"/>
  <c r="T48" i="1"/>
  <c r="S48" i="1"/>
  <c r="R48" i="1"/>
  <c r="V47" i="1"/>
  <c r="U47" i="1"/>
  <c r="T47" i="1"/>
  <c r="S47" i="1"/>
  <c r="R47" i="1"/>
  <c r="V45" i="1"/>
  <c r="U45" i="1"/>
  <c r="T45" i="1"/>
  <c r="S45" i="1"/>
  <c r="R45" i="1"/>
  <c r="V44" i="1"/>
  <c r="U44" i="1"/>
  <c r="T44" i="1"/>
  <c r="S44" i="1"/>
  <c r="R44" i="1"/>
  <c r="V43" i="1"/>
  <c r="U43" i="1"/>
  <c r="T43" i="1"/>
  <c r="S43" i="1"/>
  <c r="R43" i="1"/>
  <c r="V42" i="1"/>
  <c r="U42" i="1"/>
  <c r="T42" i="1"/>
  <c r="S42" i="1"/>
  <c r="R42" i="1"/>
  <c r="V41" i="1"/>
  <c r="U41" i="1"/>
  <c r="T41" i="1"/>
  <c r="S41" i="1"/>
  <c r="R41" i="1"/>
  <c r="V40" i="1"/>
  <c r="U40" i="1"/>
  <c r="T40" i="1"/>
  <c r="S40" i="1"/>
  <c r="R40" i="1"/>
  <c r="V39" i="1"/>
  <c r="U39" i="1"/>
  <c r="T39" i="1"/>
  <c r="S39" i="1"/>
  <c r="R39" i="1"/>
  <c r="V38" i="1"/>
  <c r="U38" i="1"/>
  <c r="T38" i="1"/>
  <c r="S38" i="1"/>
  <c r="R38" i="1"/>
  <c r="V37" i="1"/>
  <c r="U37" i="1"/>
  <c r="T37" i="1"/>
  <c r="S37" i="1"/>
  <c r="R37" i="1"/>
  <c r="V36" i="1"/>
  <c r="U36" i="1"/>
  <c r="T36" i="1"/>
  <c r="S36" i="1"/>
  <c r="R36" i="1"/>
  <c r="V35" i="1"/>
  <c r="U35" i="1"/>
  <c r="T35" i="1"/>
  <c r="S35" i="1"/>
  <c r="R35" i="1"/>
  <c r="V33" i="1"/>
  <c r="U33" i="1"/>
  <c r="T33" i="1"/>
  <c r="S33" i="1"/>
  <c r="R33" i="1"/>
  <c r="V31" i="1"/>
  <c r="U31" i="1"/>
  <c r="T31" i="1"/>
  <c r="S31" i="1"/>
  <c r="V30" i="1"/>
  <c r="U30" i="1"/>
  <c r="T30" i="1"/>
  <c r="S30" i="1"/>
  <c r="R30" i="1"/>
  <c r="V29" i="1"/>
  <c r="U29" i="1"/>
  <c r="T29" i="1"/>
  <c r="S29" i="1"/>
  <c r="R29" i="1"/>
  <c r="V28" i="1"/>
  <c r="U28" i="1"/>
  <c r="T28" i="1"/>
  <c r="S28" i="1"/>
  <c r="R28" i="1"/>
  <c r="V25" i="1"/>
  <c r="U25" i="1"/>
  <c r="S25" i="1"/>
  <c r="O25" i="1"/>
  <c r="K25" i="1"/>
  <c r="L19" i="1" s="1"/>
  <c r="H25" i="1"/>
  <c r="D25" i="1"/>
  <c r="E23" i="1" s="1"/>
  <c r="V24" i="1"/>
  <c r="U24" i="1"/>
  <c r="T24" i="1"/>
  <c r="S24" i="1"/>
  <c r="R24" i="1"/>
  <c r="V22" i="1"/>
  <c r="U22" i="1"/>
  <c r="T22" i="1"/>
  <c r="S22" i="1"/>
  <c r="R22" i="1"/>
  <c r="V21" i="1"/>
  <c r="U21" i="1"/>
  <c r="T21" i="1"/>
  <c r="S21" i="1"/>
  <c r="R21" i="1"/>
  <c r="V20" i="1"/>
  <c r="U20" i="1"/>
  <c r="T20" i="1"/>
  <c r="S20" i="1"/>
  <c r="R20" i="1"/>
  <c r="V19" i="1"/>
  <c r="U19" i="1"/>
  <c r="T19" i="1"/>
  <c r="S19" i="1"/>
  <c r="R19" i="1"/>
  <c r="V18" i="1"/>
  <c r="U18" i="1"/>
  <c r="T18" i="1"/>
  <c r="S18" i="1"/>
  <c r="R18" i="1"/>
  <c r="V17" i="1"/>
  <c r="U17" i="1"/>
  <c r="T17" i="1"/>
  <c r="S17" i="1"/>
  <c r="R17" i="1"/>
  <c r="V16" i="1"/>
  <c r="U16" i="1"/>
  <c r="T16" i="1"/>
  <c r="S16" i="1"/>
  <c r="R16" i="1"/>
  <c r="V15" i="1"/>
  <c r="U15" i="1"/>
  <c r="T15" i="1"/>
  <c r="S15" i="1"/>
  <c r="R15" i="1"/>
  <c r="V14" i="1"/>
  <c r="U14" i="1"/>
  <c r="T14" i="1"/>
  <c r="S14" i="1"/>
  <c r="R14" i="1"/>
  <c r="V13" i="1"/>
  <c r="U13" i="1"/>
  <c r="T13" i="1"/>
  <c r="S13" i="1"/>
  <c r="R13" i="1"/>
  <c r="V12" i="1"/>
  <c r="U12" i="1"/>
  <c r="T12" i="1"/>
  <c r="S12" i="1"/>
  <c r="R12" i="1"/>
  <c r="V11" i="1"/>
  <c r="U11" i="1"/>
  <c r="T11" i="1"/>
  <c r="S11" i="1"/>
  <c r="R11" i="1"/>
  <c r="V10" i="1"/>
  <c r="U10" i="1"/>
  <c r="T10" i="1"/>
  <c r="S10" i="1"/>
  <c r="R10" i="1"/>
  <c r="V9" i="1"/>
  <c r="U9" i="1"/>
  <c r="T9" i="1"/>
  <c r="S9" i="1"/>
  <c r="R9" i="1"/>
  <c r="V8" i="1"/>
  <c r="U8" i="1"/>
  <c r="T8" i="1"/>
  <c r="S8" i="1"/>
  <c r="R8" i="1"/>
  <c r="V7" i="1"/>
  <c r="U7" i="1"/>
  <c r="T7" i="1"/>
  <c r="S7" i="1"/>
  <c r="R7" i="1"/>
  <c r="V6" i="1"/>
  <c r="U6" i="1"/>
  <c r="T6" i="1"/>
  <c r="S6" i="1"/>
  <c r="L167" i="1" l="1"/>
  <c r="L165" i="1"/>
  <c r="L78" i="1"/>
  <c r="L108" i="1"/>
  <c r="H12" i="4"/>
  <c r="B9" i="3"/>
  <c r="E58" i="1"/>
  <c r="L104" i="1"/>
  <c r="L45" i="1"/>
  <c r="L36" i="1"/>
  <c r="L32" i="1"/>
  <c r="L92" i="1"/>
  <c r="E12" i="4"/>
  <c r="E46" i="1"/>
  <c r="E32" i="1"/>
  <c r="L103" i="1"/>
  <c r="L35" i="1"/>
  <c r="L46" i="1"/>
  <c r="C12" i="4"/>
  <c r="L97" i="1"/>
  <c r="L80" i="1"/>
  <c r="L23" i="1"/>
  <c r="L15" i="1"/>
  <c r="L82" i="1"/>
  <c r="L135" i="1"/>
  <c r="F12" i="4"/>
  <c r="B15" i="2"/>
  <c r="B5" i="2" s="1"/>
  <c r="E82" i="1"/>
  <c r="L44" i="1"/>
  <c r="L87" i="1"/>
  <c r="L89" i="1"/>
  <c r="L61" i="1"/>
  <c r="B20" i="2"/>
  <c r="B10" i="2" s="1"/>
  <c r="E204" i="1"/>
  <c r="L208" i="1"/>
  <c r="L204" i="1"/>
  <c r="E188" i="1"/>
  <c r="E176" i="1"/>
  <c r="E163" i="1"/>
  <c r="E186" i="1"/>
  <c r="E174" i="1"/>
  <c r="E161" i="1"/>
  <c r="E181" i="1"/>
  <c r="E169" i="1"/>
  <c r="E179" i="1"/>
  <c r="E184" i="1"/>
  <c r="E172" i="1"/>
  <c r="E162" i="1"/>
  <c r="E171" i="1"/>
  <c r="E177" i="1"/>
  <c r="E164" i="1"/>
  <c r="E183" i="1"/>
  <c r="E182" i="1"/>
  <c r="E170" i="1"/>
  <c r="E167" i="1"/>
  <c r="E187" i="1"/>
  <c r="E175" i="1"/>
  <c r="E180" i="1"/>
  <c r="E168" i="1"/>
  <c r="E178" i="1"/>
  <c r="E166" i="1"/>
  <c r="E185" i="1"/>
  <c r="E173" i="1"/>
  <c r="E160" i="1"/>
  <c r="L181" i="1"/>
  <c r="L169" i="1"/>
  <c r="L179" i="1"/>
  <c r="L186" i="1"/>
  <c r="L174" i="1"/>
  <c r="L161" i="1"/>
  <c r="L184" i="1"/>
  <c r="L177" i="1"/>
  <c r="L164" i="1"/>
  <c r="L171" i="1"/>
  <c r="L172" i="1"/>
  <c r="L182" i="1"/>
  <c r="L170" i="1"/>
  <c r="L168" i="1"/>
  <c r="L187" i="1"/>
  <c r="L175" i="1"/>
  <c r="L162" i="1"/>
  <c r="L183" i="1"/>
  <c r="L176" i="1"/>
  <c r="L180" i="1"/>
  <c r="L163" i="1"/>
  <c r="L185" i="1"/>
  <c r="L173" i="1"/>
  <c r="L160" i="1"/>
  <c r="L178" i="1"/>
  <c r="L166" i="1"/>
  <c r="B2" i="3"/>
  <c r="L193" i="1"/>
  <c r="L34" i="1"/>
  <c r="L12" i="1"/>
  <c r="L105" i="1"/>
  <c r="L73" i="1"/>
  <c r="E14" i="1"/>
  <c r="E34" i="1"/>
  <c r="E50" i="1"/>
  <c r="L50" i="1"/>
  <c r="R226" i="1"/>
  <c r="B5" i="3"/>
  <c r="L21" i="1"/>
  <c r="L7" i="1"/>
  <c r="D4" i="5"/>
  <c r="D3" i="5" s="1"/>
  <c r="B4" i="3"/>
  <c r="L206" i="1"/>
  <c r="R246" i="1"/>
  <c r="E242" i="1"/>
  <c r="E240" i="1"/>
  <c r="E238" i="1"/>
  <c r="E8" i="1"/>
  <c r="L215" i="1"/>
  <c r="E200" i="1"/>
  <c r="T246" i="1"/>
  <c r="J12" i="4"/>
  <c r="E12" i="1"/>
  <c r="E10" i="1"/>
  <c r="E6" i="1"/>
  <c r="E18" i="1"/>
  <c r="E205" i="1"/>
  <c r="E229" i="1"/>
  <c r="E236" i="1"/>
  <c r="E87" i="1"/>
  <c r="E22" i="1"/>
  <c r="E49" i="1"/>
  <c r="E20" i="1"/>
  <c r="E16" i="1"/>
  <c r="E75" i="1"/>
  <c r="E107" i="1"/>
  <c r="E103" i="1"/>
  <c r="E78" i="1"/>
  <c r="E101" i="1"/>
  <c r="S148" i="1"/>
  <c r="E234" i="1"/>
  <c r="E245" i="1"/>
  <c r="E99" i="1"/>
  <c r="E97" i="1"/>
  <c r="E80" i="1"/>
  <c r="E72" i="1"/>
  <c r="E74" i="1"/>
  <c r="E153" i="1"/>
  <c r="T195" i="1"/>
  <c r="E93" i="1"/>
  <c r="E85" i="1"/>
  <c r="E105" i="1"/>
  <c r="E91" i="1"/>
  <c r="E73" i="1"/>
  <c r="E83" i="1"/>
  <c r="E89" i="1"/>
  <c r="L24" i="1"/>
  <c r="E96" i="1"/>
  <c r="E98" i="1"/>
  <c r="E100" i="1"/>
  <c r="E102" i="1"/>
  <c r="E104" i="1"/>
  <c r="E106" i="1"/>
  <c r="E108" i="1"/>
  <c r="E235" i="1"/>
  <c r="E237" i="1"/>
  <c r="E239" i="1"/>
  <c r="E241" i="1"/>
  <c r="E243" i="1"/>
  <c r="E77" i="1"/>
  <c r="E79" i="1"/>
  <c r="E81" i="1"/>
  <c r="E84" i="1"/>
  <c r="E86" i="1"/>
  <c r="E88" i="1"/>
  <c r="E90" i="1"/>
  <c r="E92" i="1"/>
  <c r="E94" i="1"/>
  <c r="T149" i="1"/>
  <c r="L11" i="1"/>
  <c r="L152" i="1"/>
  <c r="L156" i="1"/>
  <c r="L245" i="1"/>
  <c r="T69" i="1"/>
  <c r="L192" i="1"/>
  <c r="L194" i="1"/>
  <c r="E208" i="1"/>
  <c r="E210" i="1"/>
  <c r="E212" i="1"/>
  <c r="E214" i="1"/>
  <c r="T220" i="1"/>
  <c r="L6" i="1"/>
  <c r="L10" i="1"/>
  <c r="L14" i="1"/>
  <c r="L18" i="1"/>
  <c r="L22" i="1"/>
  <c r="E199" i="1"/>
  <c r="E203" i="1"/>
  <c r="E206" i="1"/>
  <c r="E218" i="1"/>
  <c r="H221" i="1"/>
  <c r="H247" i="1" s="1"/>
  <c r="R231" i="1"/>
  <c r="D149" i="1"/>
  <c r="E142" i="1" s="1"/>
  <c r="T109" i="1"/>
  <c r="L155" i="1"/>
  <c r="T157" i="1"/>
  <c r="T189" i="1"/>
  <c r="E209" i="1"/>
  <c r="E211" i="1"/>
  <c r="E213" i="1"/>
  <c r="E215" i="1"/>
  <c r="C4" i="5"/>
  <c r="C3" i="5" s="1"/>
  <c r="D12" i="4"/>
  <c r="G12" i="4"/>
  <c r="H4" i="5"/>
  <c r="H3" i="5" s="1"/>
  <c r="I12" i="4"/>
  <c r="E95" i="1"/>
  <c r="L67" i="1"/>
  <c r="L83" i="1"/>
  <c r="L107" i="1"/>
  <c r="L63" i="1"/>
  <c r="L59" i="1"/>
  <c r="L56" i="1"/>
  <c r="L65" i="1"/>
  <c r="L54" i="1"/>
  <c r="L52" i="1"/>
  <c r="E57" i="1"/>
  <c r="E60" i="1"/>
  <c r="E62" i="1"/>
  <c r="E64" i="1"/>
  <c r="E66" i="1"/>
  <c r="E68" i="1"/>
  <c r="E55" i="1"/>
  <c r="E53" i="1"/>
  <c r="E51" i="1"/>
  <c r="L203" i="1"/>
  <c r="L209" i="1"/>
  <c r="L199" i="1"/>
  <c r="L207" i="1"/>
  <c r="L211" i="1"/>
  <c r="L237" i="1"/>
  <c r="L241" i="1"/>
  <c r="L235" i="1"/>
  <c r="L239" i="1"/>
  <c r="L243" i="1"/>
  <c r="L234" i="1"/>
  <c r="L236" i="1"/>
  <c r="L238" i="1"/>
  <c r="L240" i="1"/>
  <c r="L242" i="1"/>
  <c r="L244" i="1"/>
  <c r="L91" i="1"/>
  <c r="L99" i="1"/>
  <c r="L75" i="1"/>
  <c r="E76" i="1"/>
  <c r="L49" i="1"/>
  <c r="L85" i="1"/>
  <c r="L93" i="1"/>
  <c r="L101" i="1"/>
  <c r="R157" i="1"/>
  <c r="L153" i="1"/>
  <c r="L154" i="1"/>
  <c r="L28" i="1"/>
  <c r="E29" i="1"/>
  <c r="L30" i="1"/>
  <c r="E31" i="1"/>
  <c r="L33" i="1"/>
  <c r="E35" i="1"/>
  <c r="E37" i="1"/>
  <c r="L38" i="1"/>
  <c r="E39" i="1"/>
  <c r="L40" i="1"/>
  <c r="E41" i="1"/>
  <c r="L42" i="1"/>
  <c r="E43" i="1"/>
  <c r="E45" i="1"/>
  <c r="L47" i="1"/>
  <c r="E48" i="1"/>
  <c r="L8" i="1"/>
  <c r="L9" i="1"/>
  <c r="L13" i="1"/>
  <c r="L16" i="1"/>
  <c r="L17" i="1"/>
  <c r="L20" i="1"/>
  <c r="R189" i="1"/>
  <c r="B7" i="3"/>
  <c r="C15" i="2"/>
  <c r="C5" i="2" s="1"/>
  <c r="R115" i="1"/>
  <c r="R118" i="1"/>
  <c r="R119" i="1"/>
  <c r="R126" i="1"/>
  <c r="E7" i="1"/>
  <c r="E9" i="1"/>
  <c r="E11" i="1"/>
  <c r="E13" i="1"/>
  <c r="E15" i="1"/>
  <c r="E17" i="1"/>
  <c r="E19" i="1"/>
  <c r="E21" i="1"/>
  <c r="E24" i="1"/>
  <c r="B3" i="3"/>
  <c r="C13" i="2"/>
  <c r="C3" i="2" s="1"/>
  <c r="O221" i="1"/>
  <c r="O247" i="1" s="1"/>
  <c r="E28" i="1"/>
  <c r="L29" i="1"/>
  <c r="E30" i="1"/>
  <c r="L31" i="1"/>
  <c r="E33" i="1"/>
  <c r="E36" i="1"/>
  <c r="L37" i="1"/>
  <c r="E38" i="1"/>
  <c r="L39" i="1"/>
  <c r="E40" i="1"/>
  <c r="L41" i="1"/>
  <c r="E42" i="1"/>
  <c r="L43" i="1"/>
  <c r="E44" i="1"/>
  <c r="E47" i="1"/>
  <c r="L48" i="1"/>
  <c r="L51" i="1"/>
  <c r="E52" i="1"/>
  <c r="L53" i="1"/>
  <c r="E54" i="1"/>
  <c r="L55" i="1"/>
  <c r="E56" i="1"/>
  <c r="L57" i="1"/>
  <c r="E59" i="1"/>
  <c r="L60" i="1"/>
  <c r="E61" i="1"/>
  <c r="L62" i="1"/>
  <c r="E63" i="1"/>
  <c r="L64" i="1"/>
  <c r="E65" i="1"/>
  <c r="L66" i="1"/>
  <c r="E67" i="1"/>
  <c r="L68" i="1"/>
  <c r="R69" i="1"/>
  <c r="L72" i="1"/>
  <c r="L74" i="1"/>
  <c r="L76" i="1"/>
  <c r="L77" i="1"/>
  <c r="L79" i="1"/>
  <c r="L81" i="1"/>
  <c r="L84" i="1"/>
  <c r="L86" i="1"/>
  <c r="L88" i="1"/>
  <c r="L90" i="1"/>
  <c r="L94" i="1"/>
  <c r="L96" i="1"/>
  <c r="L98" i="1"/>
  <c r="L100" i="1"/>
  <c r="L102" i="1"/>
  <c r="L106" i="1"/>
  <c r="R109" i="1"/>
  <c r="R114" i="1"/>
  <c r="R129" i="1"/>
  <c r="R133" i="1"/>
  <c r="S137" i="1"/>
  <c r="B19" i="2"/>
  <c r="B9" i="2" s="1"/>
  <c r="E194" i="1"/>
  <c r="E192" i="1"/>
  <c r="B13" i="2"/>
  <c r="B3" i="2" s="1"/>
  <c r="R25" i="1"/>
  <c r="T25" i="1"/>
  <c r="C14" i="2"/>
  <c r="C4" i="2" s="1"/>
  <c r="L95" i="1"/>
  <c r="R139" i="1"/>
  <c r="R141" i="1"/>
  <c r="R145" i="1"/>
  <c r="B17" i="2"/>
  <c r="B7" i="2" s="1"/>
  <c r="E156" i="1"/>
  <c r="E154" i="1"/>
  <c r="E152" i="1"/>
  <c r="B18" i="2"/>
  <c r="B8" i="2" s="1"/>
  <c r="E193" i="1"/>
  <c r="R195" i="1"/>
  <c r="L200" i="1"/>
  <c r="L205" i="1"/>
  <c r="L210" i="1"/>
  <c r="L212" i="1"/>
  <c r="L214" i="1"/>
  <c r="L218" i="1"/>
  <c r="R220" i="1"/>
  <c r="E225" i="1"/>
  <c r="L229" i="1"/>
  <c r="C17" i="2"/>
  <c r="C7" i="2" s="1"/>
  <c r="C18" i="2"/>
  <c r="C8" i="2" s="1"/>
  <c r="C19" i="2"/>
  <c r="C9" i="2" s="1"/>
  <c r="C20" i="2"/>
  <c r="C10" i="2" s="1"/>
  <c r="E116" i="1" l="1"/>
  <c r="E124" i="1"/>
  <c r="L116" i="1"/>
  <c r="E129" i="1"/>
  <c r="E144" i="1"/>
  <c r="L126" i="1"/>
  <c r="L144" i="1"/>
  <c r="E132" i="1"/>
  <c r="E137" i="1"/>
  <c r="E138" i="1"/>
  <c r="E128" i="1"/>
  <c r="E113" i="1"/>
  <c r="E118" i="1"/>
  <c r="E133" i="1"/>
  <c r="D221" i="1"/>
  <c r="E69" i="1" s="1"/>
  <c r="E126" i="1"/>
  <c r="E145" i="1"/>
  <c r="E134" i="1"/>
  <c r="E115" i="1"/>
  <c r="E117" i="1"/>
  <c r="E148" i="1"/>
  <c r="E141" i="1"/>
  <c r="E120" i="1"/>
  <c r="E136" i="1"/>
  <c r="E121" i="1"/>
  <c r="E140" i="1"/>
  <c r="E139" i="1"/>
  <c r="E123" i="1"/>
  <c r="E143" i="1"/>
  <c r="E125" i="1"/>
  <c r="B16" i="2"/>
  <c r="B6" i="2" s="1"/>
  <c r="E127" i="1"/>
  <c r="E122" i="1"/>
  <c r="E114" i="1"/>
  <c r="L141" i="1"/>
  <c r="K221" i="1"/>
  <c r="L149" i="1" s="1"/>
  <c r="L133" i="1"/>
  <c r="L115" i="1"/>
  <c r="C16" i="2"/>
  <c r="C6" i="2" s="1"/>
  <c r="L146" i="1"/>
  <c r="L137" i="1"/>
  <c r="L148" i="1"/>
  <c r="L143" i="1"/>
  <c r="L140" i="1"/>
  <c r="R149" i="1"/>
  <c r="L138" i="1"/>
  <c r="L136" i="1"/>
  <c r="L132" i="1"/>
  <c r="L128" i="1"/>
  <c r="L123" i="1"/>
  <c r="L121" i="1"/>
  <c r="L113" i="1"/>
  <c r="L127" i="1"/>
  <c r="L125" i="1"/>
  <c r="L122" i="1"/>
  <c r="L120" i="1"/>
  <c r="L117" i="1"/>
  <c r="L114" i="1"/>
  <c r="L145" i="1"/>
  <c r="L139" i="1"/>
  <c r="L129" i="1"/>
  <c r="L118" i="1"/>
  <c r="L119" i="1"/>
  <c r="E195" i="1" l="1"/>
  <c r="E109" i="1"/>
  <c r="E189" i="1"/>
  <c r="E157" i="1"/>
  <c r="E220" i="1"/>
  <c r="D247" i="1"/>
  <c r="E25" i="1"/>
  <c r="E149" i="1"/>
  <c r="K247" i="1"/>
  <c r="R221" i="1"/>
  <c r="L195" i="1"/>
  <c r="L25" i="1"/>
  <c r="L189" i="1"/>
  <c r="L157" i="1"/>
  <c r="L69" i="1"/>
  <c r="L109" i="1"/>
  <c r="L220" i="1"/>
</calcChain>
</file>

<file path=xl/sharedStrings.xml><?xml version="1.0" encoding="utf-8"?>
<sst xmlns="http://schemas.openxmlformats.org/spreadsheetml/2006/main" count="506" uniqueCount="320">
  <si>
    <t>% Change (Current from Previous)</t>
  </si>
  <si>
    <t>Difference</t>
  </si>
  <si>
    <t>S/N</t>
  </si>
  <si>
    <t>FUND</t>
  </si>
  <si>
    <t>FUND MANAGER</t>
  </si>
  <si>
    <t>NAV (N)</t>
  </si>
  <si>
    <t>% to Total</t>
  </si>
  <si>
    <t>Bid Price (N)</t>
  </si>
  <si>
    <t>Offer Price (N)</t>
  </si>
  <si>
    <t>Unitholders</t>
  </si>
  <si>
    <t>Yield (WTD)</t>
  </si>
  <si>
    <t>Yield  (YTD)</t>
  </si>
  <si>
    <t>NAV (%)</t>
  </si>
  <si>
    <t>Unit Price (%)</t>
  </si>
  <si>
    <t>Uniholders</t>
  </si>
  <si>
    <t>Yield (%) WYD</t>
  </si>
  <si>
    <t>Yield (%) YTD</t>
  </si>
  <si>
    <t>EQUITY BASED FUNDS</t>
  </si>
  <si>
    <t>Afrinvest Equity Fund</t>
  </si>
  <si>
    <t>Afrinvest Asset Mgt Ltd.</t>
  </si>
  <si>
    <t>Anchoria Equity Fund</t>
  </si>
  <si>
    <t>Anchoria Asset Management Limited</t>
  </si>
  <si>
    <t>ARM Aggressive Growth Fund</t>
  </si>
  <si>
    <t>ARM Investment Managers Limited</t>
  </si>
  <si>
    <t>AXA Mansard Equity Income Fund</t>
  </si>
  <si>
    <t>AXA Mansard Investments Limited</t>
  </si>
  <si>
    <t>CardinalStone Equity Fund</t>
  </si>
  <si>
    <t>CardinalStone Asset Mgt. Limited</t>
  </si>
  <si>
    <t>Cowry Equity Fund</t>
  </si>
  <si>
    <t>Cowry Treasurers Limited</t>
  </si>
  <si>
    <t>FBN Nigeria Smart Beta Equity Fund</t>
  </si>
  <si>
    <t>FBNQuest Asset Management Limited</t>
  </si>
  <si>
    <t>Frontier Fund</t>
  </si>
  <si>
    <t>SCM Capital Limited</t>
  </si>
  <si>
    <t>Futureview Equity Fund</t>
  </si>
  <si>
    <t>Futureview Asset Management Limited</t>
  </si>
  <si>
    <t>Guaranty Trust Equity Income Fund</t>
  </si>
  <si>
    <t>Guaranty Trust Fund Managers</t>
  </si>
  <si>
    <t>Halo Equity Fund</t>
  </si>
  <si>
    <t>Halo Asset Management Limited</t>
  </si>
  <si>
    <t>Legacy Equity Fund</t>
  </si>
  <si>
    <t>FCMB Asset Management Limited</t>
  </si>
  <si>
    <t>Meristem Equity Market Fund</t>
  </si>
  <si>
    <t>Meristem Wealth Management Limited</t>
  </si>
  <si>
    <t>PACAM Equity Fund</t>
  </si>
  <si>
    <t>PAC Asset Management Limited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</si>
  <si>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</si>
  <si>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</si>
  <si>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</si>
  <si>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</si>
  <si>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</si>
  <si>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United Capital Equity Fund</t>
  </si>
  <si>
    <t>United Capital Asset Mgt. Ltd</t>
  </si>
  <si>
    <t>Sub-Total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</si>
  <si>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</si>
  <si>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</si>
  <si>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</si>
  <si>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</si>
  <si>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</si>
  <si>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</si>
  <si>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</si>
  <si>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>Chapel Hill Denham Money Market Fund</t>
  </si>
  <si>
    <t>Comercio Partners Money Market Fund</t>
  </si>
  <si>
    <t>Comercio Partners Asset Management Limited</t>
  </si>
  <si>
    <t>Coral Money Market Fund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</si>
  <si>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</si>
  <si>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</si>
  <si>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</si>
  <si>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</si>
  <si>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</si>
  <si>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</si>
  <si>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EDC Money Market Fund Class A</t>
  </si>
  <si>
    <t>EDC Fund Management Limited</t>
  </si>
  <si>
    <t>EDC Money Market Fund Class B</t>
  </si>
  <si>
    <t>Emerging Africa Money Market Fund</t>
  </si>
  <si>
    <t>Emerging Africa Asset Management Limited</t>
  </si>
  <si>
    <t>FBN Money Market Fund</t>
  </si>
  <si>
    <t>First Ally Money Market Fund</t>
  </si>
  <si>
    <t>First Ally Asset Management Limited</t>
  </si>
  <si>
    <t>GDL Money Market Fund</t>
  </si>
  <si>
    <t>Growth &amp; Development Asset Management Limited</t>
  </si>
  <si>
    <t>Greenwich Plus Money Market Fund</t>
  </si>
  <si>
    <t>Greenwich Asset Management Limited</t>
  </si>
  <si>
    <t>GTI  Money Market Fund</t>
  </si>
  <si>
    <t>GTI Asset Management &amp; Trust Limited</t>
  </si>
  <si>
    <t>Guaranty Trust Money Market Fund</t>
  </si>
  <si>
    <t>Legacy Money Market Fund</t>
  </si>
  <si>
    <t>Meristem Money Market Fund</t>
  </si>
  <si>
    <t>Norrenberger Money Market Fund</t>
  </si>
  <si>
    <t>Norrenberger Investment &amp; Capital Mgt. Ltd.</t>
  </si>
  <si>
    <t>Nova Prime Money Market Fund</t>
  </si>
  <si>
    <t xml:space="preserve">Novambl Asset Management </t>
  </si>
  <si>
    <t>PACAM Money Market Fund</t>
  </si>
  <si>
    <t>Page Money Market Fund</t>
  </si>
  <si>
    <t>Page Asset Management Limited</t>
  </si>
  <si>
    <t>RMBN Money Market Fund</t>
  </si>
  <si>
    <t>RMB Nigeria Asset Management Ltd.</t>
  </si>
  <si>
    <t>RT Briscoe Savings &amp; Investment Fund</t>
  </si>
  <si>
    <t>DLM Asset Management Limited</t>
  </si>
  <si>
    <t>Stanbic IBTC Money Market Fund</t>
  </si>
  <si>
    <t>STL Money Market Fund</t>
  </si>
  <si>
    <t>STL Asset Management Limited</t>
  </si>
  <si>
    <t>Trustbanc Money Market Fund</t>
  </si>
  <si>
    <t>Trustbanc Asset Management Limited</t>
  </si>
  <si>
    <t>United Capital Money Market Fund</t>
  </si>
  <si>
    <t>ValuAlliance Money Market  Fund</t>
  </si>
  <si>
    <t>ValuAlliance Asset Management Limited</t>
  </si>
  <si>
    <t>Vetiva Money Market Fund</t>
  </si>
  <si>
    <t>Vetiva Fund Managers</t>
  </si>
  <si>
    <t>Zedcrest Money Market Fund</t>
  </si>
  <si>
    <t>Zedcrest Investment Managers Limited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</si>
  <si>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</si>
  <si>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</si>
  <si>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</si>
  <si>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</si>
  <si>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</si>
  <si>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 Bond Fund</t>
  </si>
  <si>
    <t>AVA GAM Fixed Income Fund</t>
  </si>
  <si>
    <t>AVA Global Asset Managers Limited</t>
  </si>
  <si>
    <t>CardinalStone Fixed Income Alpha Fund</t>
  </si>
  <si>
    <t>CEAT Fixed Income Fund</t>
  </si>
  <si>
    <t>Capital Express Asset and Trust Limited</t>
  </si>
  <si>
    <t>Comercio Partners Fixed Income Fund</t>
  </si>
  <si>
    <t>Coral Income Fund</t>
  </si>
  <si>
    <t>Cordros Fixed Income Fund</t>
  </si>
  <si>
    <t>Coronation Fixed Income Fund</t>
  </si>
  <si>
    <t xml:space="preserve">Coronation Asset Management </t>
  </si>
  <si>
    <t>Cowry Fixed Income Fund</t>
  </si>
  <si>
    <t>DLM Fixed Income Fund</t>
  </si>
  <si>
    <t>EDC Fixed Income Fund</t>
  </si>
  <si>
    <t>Emerging Africa Bond Fund</t>
  </si>
  <si>
    <t>FBN Bond Fund</t>
  </si>
  <si>
    <t>GDL Income Fund</t>
  </si>
  <si>
    <t>Guaranty Trust Fixed Income Fund</t>
  </si>
  <si>
    <t>Lead Fixed Income Fund</t>
  </si>
  <si>
    <t>Lead Asset Management Limited</t>
  </si>
  <si>
    <t>Legacy Debt Fund</t>
  </si>
  <si>
    <t>Meristem Fixed Income Fund</t>
  </si>
  <si>
    <t>Nigeria Bond Fund</t>
  </si>
  <si>
    <t>Nigeria International Debt Fund</t>
  </si>
  <si>
    <t>Norrenberger Turbo Fund (NTF)</t>
  </si>
  <si>
    <t>PACAM Fixed Income Fund</t>
  </si>
  <si>
    <t>Radix Horizon Fund</t>
  </si>
  <si>
    <t>Radix Capital Partners Limited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</si>
  <si>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</si>
  <si>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</si>
  <si>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</si>
  <si>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</si>
  <si>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</si>
  <si>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</si>
  <si>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</si>
  <si>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</si>
  <si>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United Capital Stable Income Fund</t>
  </si>
  <si>
    <t>Utica Custodian Assured Fixed Income Fund</t>
  </si>
  <si>
    <t>Utica Capital Limited</t>
  </si>
  <si>
    <t>Zedcrest Fixed Income Fund</t>
  </si>
  <si>
    <t>Zenith Income Fund</t>
  </si>
  <si>
    <t>DOLLAR FUNDS</t>
  </si>
  <si>
    <t>EUROBONDS</t>
  </si>
  <si>
    <t>Afrinvest Dollar Fund</t>
  </si>
  <si>
    <t>AIICO Eurobond Fund</t>
  </si>
  <si>
    <t>ARM Eurobond Fund</t>
  </si>
  <si>
    <t>CardinalStone Dollar Fund</t>
  </si>
  <si>
    <t>Comercio Partners Dollar Fund</t>
  </si>
  <si>
    <t>Cowry Eurobond Fund</t>
  </si>
  <si>
    <t>EDC Dollar Fund</t>
  </si>
  <si>
    <t>Emerging Africa Eurobond Fund</t>
  </si>
  <si>
    <t>FBN Dollar Fund (Retail)</t>
  </si>
  <si>
    <t>FBN Specialized Dollar Fund</t>
  </si>
  <si>
    <t>Futureview Dollar Fund</t>
  </si>
  <si>
    <t>Legacy USD Bond Fund</t>
  </si>
  <si>
    <t>Norrenberger Dollar Fund</t>
  </si>
  <si>
    <t>PACAM Eurobond Fund</t>
  </si>
  <si>
    <t>United Capital Nigerian Eurobond Fund</t>
  </si>
  <si>
    <t>FIXED INCOME</t>
  </si>
  <si>
    <t>AVA GAM Fixed Income Dollar Fund</t>
  </si>
  <si>
    <t>AXA Mansard Dollar Bond Fund</t>
  </si>
  <si>
    <t>Cordros Dollar Fund</t>
  </si>
  <si>
    <t>FSDH Dollar Fund</t>
  </si>
  <si>
    <t>Lead Dollar Fixed Income Fund</t>
  </si>
  <si>
    <t>Meristem Dollar Fund</t>
  </si>
  <si>
    <t>Nigeria Dollar Income Fund</t>
  </si>
  <si>
    <t>Nova Dollar Fixed Income Fund</t>
  </si>
  <si>
    <t>Stanbic IBTC Dollar Fund</t>
  </si>
  <si>
    <t>United Capital Global Fixed Income Fund</t>
  </si>
  <si>
    <t>RMBN Dollar Fixed Income Fund</t>
  </si>
  <si>
    <t>Zedcrest Dollar Fund</t>
  </si>
  <si>
    <t>REAL ESTATE INVESTMENT TRUSTS</t>
  </si>
  <si>
    <t>Housing Solution Fund</t>
  </si>
  <si>
    <t>Fundco Capital Managers Limited</t>
  </si>
  <si>
    <t>Nigeria Real Estate Investment Trust</t>
  </si>
  <si>
    <t>SFS Real Estate Investment Trust Fund</t>
  </si>
  <si>
    <t>Union Homes REITS</t>
  </si>
  <si>
    <t>UPDC Real Estate Investment Trust</t>
  </si>
  <si>
    <t>BALANCED FUNDS</t>
  </si>
  <si>
    <t>AIICO Balanced Fund</t>
  </si>
  <si>
    <t>Alpha Morgan Balanced Fund</t>
  </si>
  <si>
    <t>Alpha Morgan Capital Managers Limited</t>
  </si>
  <si>
    <t>ARM Discovery Balanced Fund</t>
  </si>
  <si>
    <t>Balanced Strategy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</si>
  <si>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</si>
  <si>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</si>
  <si>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</si>
  <si>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</si>
  <si>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</si>
  <si>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Cowry Balanced Fund</t>
  </si>
  <si>
    <t>EDC Balanced Fund</t>
  </si>
  <si>
    <t>Emerging Africa Balanced-Diversity Fund</t>
  </si>
  <si>
    <t>FBN Balanced Fund</t>
  </si>
  <si>
    <t>GDL Canary Growth Fund</t>
  </si>
  <si>
    <t>Greenwich Balanced Fund</t>
  </si>
  <si>
    <t>GTI Balanced Fund</t>
  </si>
  <si>
    <t>Guaranty Trust Balanced Fund</t>
  </si>
  <si>
    <t>Hillcrest Balanced Fund</t>
  </si>
  <si>
    <t>Hillcrest Capital Management Limited</t>
  </si>
  <si>
    <t>Lead Balanced Fund</t>
  </si>
  <si>
    <t>Nigeria Energy Sector Fund</t>
  </si>
  <si>
    <t>Nova Hybrid Balanced Fund</t>
  </si>
  <si>
    <t>PACAM Balanced Fund</t>
  </si>
  <si>
    <t>Stanbic IBTC Balanced Fund</t>
  </si>
  <si>
    <t>STL Balanced Fund</t>
  </si>
  <si>
    <t>The Nigeria Football Fund</t>
  </si>
  <si>
    <t>United Capital Balanced Fund</t>
  </si>
  <si>
    <t>United Capital Wealth for Women Fund</t>
  </si>
  <si>
    <t>ValuAlliance Value Fund</t>
  </si>
  <si>
    <t>ETHICAL FUNDS</t>
  </si>
  <si>
    <t>ARM Ethical Fund</t>
  </si>
  <si>
    <t>ESG Impact Fund</t>
  </si>
  <si>
    <t>Zenith Asset Management Ltd.</t>
  </si>
  <si>
    <t>Stanbic IBTC Ethical Fund</t>
  </si>
  <si>
    <t>SHARI'AH COMPLIANT FUNDS</t>
  </si>
  <si>
    <t>EQUITIES</t>
  </si>
  <si>
    <t>Lotus Halal Investment Fund</t>
  </si>
  <si>
    <t>Lotus Capital Limited</t>
  </si>
  <si>
    <t>Stanbic IBTC Imaan Fund</t>
  </si>
  <si>
    <t>CapitalTrust Halal Fixed Income Fund</t>
  </si>
  <si>
    <t>CapitalTrust Investments &amp; Asset Management Ltd.</t>
  </si>
  <si>
    <t>Cordros Halal Fixed Income Fund</t>
  </si>
  <si>
    <t>EDC Halal Fund</t>
  </si>
  <si>
    <t>Emerging Africa Halal Fund</t>
  </si>
  <si>
    <t>FBN Halal Fund</t>
  </si>
  <si>
    <t>FSDH Halal Fund</t>
  </si>
  <si>
    <t>Lotus Halal Fixed Income Fund</t>
  </si>
  <si>
    <t>Marble Halal Commodities Fund</t>
  </si>
  <si>
    <t xml:space="preserve">Marble Capital Limited </t>
  </si>
  <si>
    <t>Marble Halal Fixed Income Fund</t>
  </si>
  <si>
    <t>Norrenberger Islamic Fund</t>
  </si>
  <si>
    <t>Stanbic IBTC Shariah Fixed Income Fund</t>
  </si>
  <si>
    <t>United Capital Sukuk Fund</t>
  </si>
  <si>
    <t>BALANCED</t>
  </si>
  <si>
    <t>Lotus Waqf (Endowment) Fund</t>
  </si>
  <si>
    <t>Mutual Funds Total</t>
  </si>
  <si>
    <t>SPECIALISED FUNDS</t>
  </si>
  <si>
    <t>Clean Energy Fund</t>
  </si>
  <si>
    <t>INFRASTRUCTURE FUNDS</t>
  </si>
  <si>
    <t>Nigeria Infrastructure Debt Fund (NIDF)</t>
  </si>
  <si>
    <t>Chapel Hill Denham Management Limited</t>
  </si>
  <si>
    <t>United Capital Infrastructure Fund</t>
  </si>
  <si>
    <t>Infrastructure Funds Total</t>
  </si>
  <si>
    <t>EXCHANGE TRADED FUNDS</t>
  </si>
  <si>
    <t>Greenwich ALPHA ETF</t>
  </si>
  <si>
    <t>Lotus Halal ETF</t>
  </si>
  <si>
    <t>Meristem Growth ETF</t>
  </si>
  <si>
    <t>Meristem Value ETF</t>
  </si>
  <si>
    <t>New Gold ETF</t>
  </si>
  <si>
    <t>New Gold Managers (Proprietary) Ltd</t>
  </si>
  <si>
    <t>SIAML ETF 40</t>
  </si>
  <si>
    <t>Stanbic IBTC Asset Mgt.Limited</t>
  </si>
  <si>
    <t>Stanbic IBTC ETF 30 Fund</t>
  </si>
  <si>
    <t>VCG ETF</t>
  </si>
  <si>
    <t>Vetiva Fund Managers Limited</t>
  </si>
  <si>
    <t>VETBANK ETF</t>
  </si>
  <si>
    <t>Vetiva S &amp; P Nig. Sovereign Bond ETF</t>
  </si>
  <si>
    <t>VG 30 ETF</t>
  </si>
  <si>
    <t>VI ETF</t>
  </si>
  <si>
    <t>ETF Total</t>
  </si>
  <si>
    <t>Grand Total</t>
  </si>
  <si>
    <t>Note:</t>
  </si>
  <si>
    <t>FUNDS</t>
  </si>
  <si>
    <t>BONDS/FIXED INCOME FUNDS</t>
  </si>
  <si>
    <t>REAL ESTATE INVESTMENT TRUST</t>
  </si>
  <si>
    <t>SHARI'AH COMPLAINT FUNDS</t>
  </si>
  <si>
    <t>DATE</t>
  </si>
  <si>
    <t>TOTAL NAV</t>
  </si>
  <si>
    <t>ETFs AGGREGATE</t>
  </si>
  <si>
    <t>TOTAL</t>
  </si>
  <si>
    <t>MOVING AVERAGE:</t>
  </si>
  <si>
    <t>-</t>
  </si>
  <si>
    <t>EXCHANGE TRADED FUNDS (ETFs)</t>
  </si>
  <si>
    <t xml:space="preserve"> </t>
  </si>
  <si>
    <t>Guaranty Trust Investment Fund 724</t>
  </si>
  <si>
    <t>CardinalStone Money Market Fund</t>
  </si>
  <si>
    <t>STL Dollar Fund</t>
  </si>
  <si>
    <t>ARM Short-Term Eurobond Fund</t>
  </si>
  <si>
    <t>ARM Sharia Compliant Fixed Income Fund</t>
  </si>
  <si>
    <t>One17 Halal Fund</t>
  </si>
  <si>
    <t>One17 Capital Limited</t>
  </si>
  <si>
    <t>Zrosk Magna Equity Fund</t>
  </si>
  <si>
    <t>Zrosk Investment Management Limited</t>
  </si>
  <si>
    <t>Coronation Premium Fixed Income Fund</t>
  </si>
  <si>
    <t>Coronation Dollar Fund</t>
  </si>
  <si>
    <t>Coronation Asset Management Limited</t>
  </si>
  <si>
    <t>FCMB-TLG Private Debt Fund</t>
  </si>
  <si>
    <t>FSL Money Market Fund</t>
  </si>
  <si>
    <t>FSL Asset Management Limited</t>
  </si>
  <si>
    <t>FSL Eurobond Fund</t>
  </si>
  <si>
    <t>AVA GAM Money Market Fund</t>
  </si>
  <si>
    <t>Guaranty Trust Dollar Fund</t>
  </si>
  <si>
    <t>NAV, Unit Price and Yield as at Week Ended April 11, 2025</t>
  </si>
  <si>
    <t>Parthian Capital Limited</t>
  </si>
  <si>
    <t>Parthian Money Market Fund</t>
  </si>
  <si>
    <t>Parthian Dollar Fixed Income Fund</t>
  </si>
  <si>
    <t>Week Ended April 11, 2025</t>
  </si>
  <si>
    <t>WEEKLY VALUATION REPORT OF COLLECTIVE INVESTMENT SCHEMES AS AT WEEK ENDED THURSDAY, APRIL 17, 2025</t>
  </si>
  <si>
    <t>NAV, Unit Price and Yield as at Week Ended April 17, 2025</t>
  </si>
  <si>
    <t>NFEM RATE NG₦/US$ as at 17th April, 2025 = N1,599.9384</t>
  </si>
  <si>
    <t>CardinalStone Balanced Fund</t>
  </si>
  <si>
    <t>0.07%</t>
  </si>
  <si>
    <t>Vetiva USD Fixed Income Fund</t>
  </si>
  <si>
    <t>Week Ended April 17,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</si>
</sst>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_(* #,##0.000_);_(* \(#,##0.000\);_(* &quot;-&quot;??_);_(@_)"/>
    <numFmt numFmtId="166" formatCode="0.0%"/>
  </numFmts>
  <fonts count="52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sz val="11"/>
      <name val="Calibri"/>
      <family val="2"/>
      <scheme val="minor"/>
    </font>
    <font>
      <b/>
      <sz val="11"/>
      <name val="Arial Narrow"/>
      <family val="2"/>
    </font>
    <font>
      <sz val="11"/>
      <color theme="0"/>
      <name val="Calibri"/>
      <family val="2"/>
      <scheme val="minor"/>
    </font>
    <font>
      <b/>
      <sz val="18"/>
      <color theme="0"/>
      <name val="Ebrima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10"/>
      <color theme="1"/>
      <name val="Arial Narrow"/>
      <family val="2"/>
    </font>
    <font>
      <sz val="8"/>
      <name val="Arial Narrow"/>
      <family val="2"/>
    </font>
    <font>
      <b/>
      <sz val="8"/>
      <color rgb="FFFF0000"/>
      <name val="Arial Narrow"/>
      <family val="2"/>
    </font>
    <font>
      <sz val="10"/>
      <color rgb="FF000000"/>
      <name val="Times New Roman"/>
      <family val="1"/>
    </font>
    <font>
      <b/>
      <sz val="9"/>
      <color theme="1"/>
      <name val="Arial Narrow"/>
      <family val="2"/>
    </font>
    <font>
      <sz val="8"/>
      <color rgb="FF000000"/>
      <name val="Arial Narrow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Times New Roman"/>
      <family val="1"/>
    </font>
    <font>
      <b/>
      <sz val="10"/>
      <name val="Arial Narrow"/>
      <family val="2"/>
    </font>
    <font>
      <sz val="8"/>
      <color indexed="8"/>
      <name val="Arial Narrow"/>
      <family val="2"/>
    </font>
    <font>
      <sz val="8"/>
      <color rgb="FFFF0000"/>
      <name val="Arial Narrow"/>
      <family val="2"/>
    </font>
    <font>
      <i/>
      <sz val="8"/>
      <name val="Arial Narrow"/>
      <family val="2"/>
    </font>
    <font>
      <sz val="10"/>
      <name val="Arial Narrow"/>
      <family val="2"/>
    </font>
    <font>
      <b/>
      <sz val="6"/>
      <color theme="0"/>
      <name val="Times New Roman"/>
      <family val="1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ptos"/>
      <charset val="134"/>
    </font>
    <font>
      <sz val="11"/>
      <color theme="1"/>
      <name val="Aptos"/>
      <charset val="134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color theme="1"/>
      <name val="Futura Bk BT"/>
      <charset val="134"/>
    </font>
    <font>
      <b/>
      <sz val="18"/>
      <color theme="3"/>
      <name val="Calibri Light"/>
      <family val="2"/>
      <scheme val="major"/>
    </font>
    <font>
      <sz val="11"/>
      <color theme="1"/>
      <name val="Calibri"/>
      <family val="2"/>
      <scheme val="minor"/>
    </font>
    <font>
      <sz val="11"/>
      <color theme="1"/>
      <name val="Aptos"/>
      <family val="2"/>
    </font>
    <font>
      <b/>
      <sz val="8"/>
      <color theme="4"/>
      <name val="Arial Narrow"/>
      <family val="2"/>
    </font>
    <font>
      <sz val="8"/>
      <color rgb="FF424242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 Narrow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sz val="6"/>
      <color theme="0"/>
      <name val="Arial Narrow"/>
      <family val="2"/>
    </font>
    <font>
      <sz val="6"/>
      <color theme="0"/>
      <name val="Calibri"/>
      <family val="2"/>
      <scheme val="minor"/>
    </font>
    <font>
      <b/>
      <sz val="10"/>
      <color theme="0"/>
      <name val="Arial Narrow"/>
      <family val="2"/>
    </font>
    <font>
      <sz val="10"/>
      <color theme="0"/>
      <name val="Calibri"/>
      <family val="2"/>
      <scheme val="minor"/>
    </font>
    <font>
      <sz val="10"/>
      <color theme="0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596148564104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85351115451523"/>
        <bgColor indexed="64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rgb="FFFFEB9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6">
    <xf numFmtId="0" fontId="0" fillId="0" borderId="0"/>
    <xf numFmtId="164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0" fillId="5" borderId="0" applyNumberFormat="0" applyBorder="0" applyAlignment="0" applyProtection="0"/>
    <xf numFmtId="0" fontId="10" fillId="17" borderId="0" applyNumberFormat="0" applyBorder="0" applyAlignment="0" applyProtection="0"/>
    <xf numFmtId="0" fontId="10" fillId="16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43" fontId="32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3" fillId="21" borderId="0" applyNumberFormat="0" applyBorder="0" applyAlignment="0" applyProtection="0"/>
    <xf numFmtId="0" fontId="34" fillId="0" borderId="0"/>
    <xf numFmtId="0" fontId="37" fillId="0" borderId="0"/>
    <xf numFmtId="0" fontId="35" fillId="0" borderId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6" fillId="0" borderId="0" applyNumberFormat="0" applyFill="0" applyBorder="0" applyAlignment="0" applyProtection="0"/>
    <xf numFmtId="43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164" fontId="38" fillId="0" borderId="0" applyFont="0" applyFill="0" applyBorder="0" applyAlignment="0" applyProtection="0"/>
    <xf numFmtId="9" fontId="38" fillId="0" borderId="0" applyFont="0" applyFill="0" applyBorder="0" applyAlignment="0" applyProtection="0"/>
  </cellStyleXfs>
  <cellXfs count="187">
    <xf numFmtId="0" fontId="0" fillId="0" borderId="0" xfId="0"/>
    <xf numFmtId="0" fontId="3" fillId="0" borderId="1" xfId="0" applyFont="1" applyBorder="1" applyAlignment="1">
      <alignment horizontal="right"/>
    </xf>
    <xf numFmtId="16" fontId="4" fillId="2" borderId="1" xfId="0" applyNumberFormat="1" applyFont="1" applyFill="1" applyBorder="1"/>
    <xf numFmtId="0" fontId="4" fillId="0" borderId="1" xfId="0" applyFont="1" applyBorder="1" applyAlignment="1">
      <alignment horizontal="right"/>
    </xf>
    <xf numFmtId="4" fontId="5" fillId="2" borderId="1" xfId="0" applyNumberFormat="1" applyFont="1" applyFill="1" applyBorder="1" applyAlignment="1">
      <alignment horizontal="right"/>
    </xf>
    <xf numFmtId="4" fontId="5" fillId="2" borderId="1" xfId="0" applyNumberFormat="1" applyFont="1" applyFill="1" applyBorder="1"/>
    <xf numFmtId="4" fontId="6" fillId="2" borderId="1" xfId="0" applyNumberFormat="1" applyFont="1" applyFill="1" applyBorder="1"/>
    <xf numFmtId="164" fontId="5" fillId="2" borderId="1" xfId="1" applyFont="1" applyFill="1" applyBorder="1" applyAlignment="1">
      <alignment horizontal="right" vertical="top" wrapText="1"/>
    </xf>
    <xf numFmtId="0" fontId="7" fillId="3" borderId="1" xfId="0" applyFont="1" applyFill="1" applyBorder="1" applyAlignment="1">
      <alignment horizontal="right"/>
    </xf>
    <xf numFmtId="43" fontId="7" fillId="3" borderId="1" xfId="0" applyNumberFormat="1" applyFont="1" applyFill="1" applyBorder="1"/>
    <xf numFmtId="0" fontId="6" fillId="0" borderId="0" xfId="0" applyFont="1"/>
    <xf numFmtId="164" fontId="6" fillId="0" borderId="0" xfId="1" applyFont="1"/>
    <xf numFmtId="0" fontId="3" fillId="4" borderId="1" xfId="0" applyFont="1" applyFill="1" applyBorder="1" applyAlignment="1">
      <alignment horizontal="right"/>
    </xf>
    <xf numFmtId="43" fontId="3" fillId="4" borderId="1" xfId="0" applyNumberFormat="1" applyFont="1" applyFill="1" applyBorder="1"/>
    <xf numFmtId="164" fontId="3" fillId="4" borderId="1" xfId="1" applyFont="1" applyFill="1" applyBorder="1"/>
    <xf numFmtId="0" fontId="8" fillId="0" borderId="0" xfId="0" applyFont="1"/>
    <xf numFmtId="0" fontId="9" fillId="0" borderId="1" xfId="0" applyFont="1" applyBorder="1" applyAlignment="1">
      <alignment horizontal="right"/>
    </xf>
    <xf numFmtId="164" fontId="5" fillId="0" borderId="1" xfId="1" applyFont="1" applyBorder="1"/>
    <xf numFmtId="164" fontId="8" fillId="0" borderId="0" xfId="1" applyFont="1"/>
    <xf numFmtId="0" fontId="10" fillId="0" borderId="0" xfId="0" applyFont="1"/>
    <xf numFmtId="0" fontId="6" fillId="2" borderId="0" xfId="0" applyFont="1" applyFill="1" applyAlignment="1">
      <alignment wrapText="1"/>
    </xf>
    <xf numFmtId="0" fontId="9" fillId="0" borderId="0" xfId="0" applyFont="1" applyAlignment="1">
      <alignment horizontal="right"/>
    </xf>
    <xf numFmtId="4" fontId="5" fillId="2" borderId="0" xfId="0" applyNumberFormat="1" applyFont="1" applyFill="1"/>
    <xf numFmtId="0" fontId="12" fillId="8" borderId="1" xfId="0" applyFont="1" applyFill="1" applyBorder="1"/>
    <xf numFmtId="0" fontId="13" fillId="3" borderId="1" xfId="0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horizontal="center" vertical="top"/>
    </xf>
    <xf numFmtId="0" fontId="12" fillId="3" borderId="1" xfId="0" applyFont="1" applyFill="1" applyBorder="1" applyAlignment="1">
      <alignment horizontal="center" vertical="top" wrapText="1"/>
    </xf>
    <xf numFmtId="164" fontId="16" fillId="2" borderId="1" xfId="10" applyFont="1" applyFill="1" applyBorder="1"/>
    <xf numFmtId="10" fontId="16" fillId="8" borderId="1" xfId="2" applyNumberFormat="1" applyFont="1" applyFill="1" applyBorder="1" applyAlignment="1">
      <alignment horizontal="center"/>
    </xf>
    <xf numFmtId="4" fontId="16" fillId="2" borderId="1" xfId="0" applyNumberFormat="1" applyFont="1" applyFill="1" applyBorder="1" applyAlignment="1">
      <alignment horizontal="right"/>
    </xf>
    <xf numFmtId="164" fontId="16" fillId="10" borderId="1" xfId="1" applyFont="1" applyFill="1" applyBorder="1" applyAlignment="1">
      <alignment horizontal="center"/>
    </xf>
    <xf numFmtId="4" fontId="16" fillId="2" borderId="1" xfId="0" applyNumberFormat="1" applyFont="1" applyFill="1" applyBorder="1"/>
    <xf numFmtId="164" fontId="14" fillId="10" borderId="1" xfId="1" applyFont="1" applyFill="1" applyBorder="1" applyAlignment="1">
      <alignment horizontal="center"/>
    </xf>
    <xf numFmtId="164" fontId="16" fillId="2" borderId="1" xfId="1" applyFont="1" applyFill="1" applyBorder="1"/>
    <xf numFmtId="0" fontId="14" fillId="0" borderId="1" xfId="0" applyFont="1" applyBorder="1"/>
    <xf numFmtId="0" fontId="14" fillId="2" borderId="1" xfId="0" applyFont="1" applyFill="1" applyBorder="1"/>
    <xf numFmtId="0" fontId="13" fillId="2" borderId="1" xfId="0" applyFont="1" applyFill="1" applyBorder="1" applyAlignment="1">
      <alignment horizontal="right"/>
    </xf>
    <xf numFmtId="164" fontId="13" fillId="2" borderId="1" xfId="1" applyFont="1" applyFill="1" applyBorder="1" applyAlignment="1">
      <alignment horizontal="right" vertical="top" wrapText="1"/>
    </xf>
    <xf numFmtId="10" fontId="17" fillId="8" borderId="1" xfId="2" applyNumberFormat="1" applyFont="1" applyFill="1" applyBorder="1" applyAlignment="1">
      <alignment horizontal="center" vertical="top" wrapText="1"/>
    </xf>
    <xf numFmtId="10" fontId="16" fillId="2" borderId="1" xfId="2" applyNumberFormat="1" applyFont="1" applyFill="1" applyBorder="1" applyAlignment="1">
      <alignment horizontal="center" vertical="top" wrapText="1"/>
    </xf>
    <xf numFmtId="4" fontId="16" fillId="2" borderId="1" xfId="1" applyNumberFormat="1" applyFont="1" applyFill="1" applyBorder="1" applyAlignment="1">
      <alignment vertical="top" wrapText="1"/>
    </xf>
    <xf numFmtId="164" fontId="13" fillId="10" borderId="1" xfId="1" applyFont="1" applyFill="1" applyBorder="1" applyAlignment="1">
      <alignment horizontal="center"/>
    </xf>
    <xf numFmtId="164" fontId="16" fillId="2" borderId="1" xfId="10" applyFont="1" applyFill="1" applyBorder="1" applyAlignment="1">
      <alignment horizontal="right"/>
    </xf>
    <xf numFmtId="4" fontId="16" fillId="2" borderId="1" xfId="1" applyNumberFormat="1" applyFont="1" applyFill="1" applyBorder="1" applyAlignment="1">
      <alignment horizontal="right"/>
    </xf>
    <xf numFmtId="164" fontId="16" fillId="10" borderId="1" xfId="1" applyFont="1" applyFill="1" applyBorder="1" applyAlignment="1">
      <alignment horizontal="center" wrapText="1"/>
    </xf>
    <xf numFmtId="164" fontId="16" fillId="2" borderId="1" xfId="10" applyFont="1" applyFill="1" applyBorder="1" applyAlignment="1">
      <alignment horizontal="right" wrapText="1"/>
    </xf>
    <xf numFmtId="164" fontId="13" fillId="2" borderId="1" xfId="1" applyFont="1" applyFill="1" applyBorder="1" applyAlignment="1">
      <alignment horizontal="right"/>
    </xf>
    <xf numFmtId="164" fontId="12" fillId="3" borderId="1" xfId="1" applyFont="1" applyFill="1" applyBorder="1" applyAlignment="1">
      <alignment horizontal="center" vertical="top"/>
    </xf>
    <xf numFmtId="10" fontId="16" fillId="10" borderId="1" xfId="2" applyNumberFormat="1" applyFont="1" applyFill="1" applyBorder="1" applyAlignment="1">
      <alignment horizontal="center"/>
    </xf>
    <xf numFmtId="10" fontId="14" fillId="10" borderId="1" xfId="2" applyNumberFormat="1" applyFont="1" applyFill="1" applyBorder="1" applyAlignment="1">
      <alignment horizontal="center"/>
    </xf>
    <xf numFmtId="10" fontId="16" fillId="10" borderId="1" xfId="2" applyNumberFormat="1" applyFont="1" applyFill="1" applyBorder="1" applyAlignment="1">
      <alignment horizontal="center" vertical="top" wrapText="1"/>
    </xf>
    <xf numFmtId="10" fontId="16" fillId="10" borderId="1" xfId="2" applyNumberFormat="1" applyFont="1" applyFill="1" applyBorder="1" applyAlignment="1">
      <alignment horizontal="center" wrapText="1"/>
    </xf>
    <xf numFmtId="10" fontId="16" fillId="8" borderId="1" xfId="2" applyNumberFormat="1" applyFont="1" applyFill="1" applyBorder="1" applyAlignment="1">
      <alignment horizontal="center" wrapText="1"/>
    </xf>
    <xf numFmtId="10" fontId="16" fillId="10" borderId="1" xfId="1" applyNumberFormat="1" applyFont="1" applyFill="1" applyBorder="1" applyAlignment="1">
      <alignment horizontal="center"/>
    </xf>
    <xf numFmtId="10" fontId="16" fillId="3" borderId="1" xfId="2" applyNumberFormat="1" applyFont="1" applyFill="1" applyBorder="1" applyAlignment="1">
      <alignment horizontal="center" vertical="top" wrapText="1"/>
    </xf>
    <xf numFmtId="10" fontId="14" fillId="3" borderId="1" xfId="2" applyNumberFormat="1" applyFont="1" applyFill="1" applyBorder="1" applyAlignment="1">
      <alignment horizontal="center" vertical="top" wrapText="1"/>
    </xf>
    <xf numFmtId="10" fontId="14" fillId="3" borderId="1" xfId="1" applyNumberFormat="1" applyFont="1" applyFill="1" applyBorder="1" applyAlignment="1">
      <alignment horizontal="center" vertical="top" wrapText="1"/>
    </xf>
    <xf numFmtId="10" fontId="18" fillId="11" borderId="0" xfId="0" applyNumberFormat="1" applyFont="1" applyFill="1" applyAlignment="1">
      <alignment horizontal="right" vertical="center" wrapText="1"/>
    </xf>
    <xf numFmtId="2" fontId="16" fillId="2" borderId="1" xfId="0" applyNumberFormat="1" applyFont="1" applyFill="1" applyBorder="1"/>
    <xf numFmtId="164" fontId="16" fillId="2" borderId="1" xfId="10" applyFont="1" applyFill="1" applyBorder="1" applyAlignment="1">
      <alignment wrapText="1"/>
    </xf>
    <xf numFmtId="164" fontId="16" fillId="12" borderId="1" xfId="1" applyFont="1" applyFill="1" applyBorder="1" applyAlignment="1">
      <alignment horizontal="center"/>
    </xf>
    <xf numFmtId="10" fontId="16" fillId="12" borderId="1" xfId="2" applyNumberFormat="1" applyFont="1" applyFill="1" applyBorder="1" applyAlignment="1">
      <alignment horizontal="center"/>
    </xf>
    <xf numFmtId="10" fontId="16" fillId="7" borderId="1" xfId="2" applyNumberFormat="1" applyFont="1" applyFill="1" applyBorder="1" applyAlignment="1">
      <alignment horizontal="center"/>
    </xf>
    <xf numFmtId="4" fontId="0" fillId="0" borderId="0" xfId="0" applyNumberFormat="1"/>
    <xf numFmtId="164" fontId="20" fillId="0" borderId="0" xfId="1" applyFont="1"/>
    <xf numFmtId="4" fontId="21" fillId="0" borderId="0" xfId="0" applyNumberFormat="1" applyFont="1"/>
    <xf numFmtId="2" fontId="0" fillId="0" borderId="0" xfId="0" applyNumberFormat="1"/>
    <xf numFmtId="165" fontId="0" fillId="0" borderId="0" xfId="0" applyNumberFormat="1"/>
    <xf numFmtId="4" fontId="22" fillId="11" borderId="0" xfId="0" applyNumberFormat="1" applyFont="1" applyFill="1" applyAlignment="1">
      <alignment horizontal="right" vertical="center" wrapText="1"/>
    </xf>
    <xf numFmtId="0" fontId="13" fillId="0" borderId="1" xfId="0" applyFont="1" applyBorder="1" applyAlignment="1">
      <alignment horizontal="right"/>
    </xf>
    <xf numFmtId="4" fontId="24" fillId="0" borderId="1" xfId="0" applyNumberFormat="1" applyFont="1" applyFill="1" applyBorder="1" applyAlignment="1" applyProtection="1"/>
    <xf numFmtId="0" fontId="25" fillId="2" borderId="1" xfId="0" applyFont="1" applyFill="1" applyBorder="1"/>
    <xf numFmtId="4" fontId="16" fillId="2" borderId="1" xfId="1" applyNumberFormat="1" applyFont="1" applyFill="1" applyBorder="1" applyAlignment="1">
      <alignment horizontal="right" vertical="top" wrapText="1"/>
    </xf>
    <xf numFmtId="164" fontId="13" fillId="2" borderId="1" xfId="1" applyFont="1" applyFill="1" applyBorder="1"/>
    <xf numFmtId="43" fontId="16" fillId="2" borderId="1" xfId="0" applyNumberFormat="1" applyFont="1" applyFill="1" applyBorder="1"/>
    <xf numFmtId="4" fontId="16" fillId="2" borderId="1" xfId="10" applyNumberFormat="1" applyFont="1" applyFill="1" applyBorder="1" applyAlignment="1">
      <alignment horizontal="right"/>
    </xf>
    <xf numFmtId="4" fontId="16" fillId="2" borderId="1" xfId="0" applyNumberFormat="1" applyFont="1" applyFill="1" applyBorder="1" applyAlignment="1">
      <alignment horizontal="right" wrapText="1"/>
    </xf>
    <xf numFmtId="4" fontId="16" fillId="2" borderId="1" xfId="10" applyNumberFormat="1" applyFont="1" applyFill="1" applyBorder="1" applyAlignment="1">
      <alignment horizontal="right" wrapText="1"/>
    </xf>
    <xf numFmtId="4" fontId="16" fillId="10" borderId="1" xfId="1" applyNumberFormat="1" applyFont="1" applyFill="1" applyBorder="1" applyAlignment="1">
      <alignment horizontal="center"/>
    </xf>
    <xf numFmtId="4" fontId="16" fillId="10" borderId="1" xfId="1" applyNumberFormat="1" applyFont="1" applyFill="1" applyBorder="1" applyAlignment="1">
      <alignment horizontal="center" vertical="top" wrapText="1"/>
    </xf>
    <xf numFmtId="43" fontId="16" fillId="10" borderId="1" xfId="0" applyNumberFormat="1" applyFont="1" applyFill="1" applyBorder="1" applyAlignment="1">
      <alignment horizontal="center"/>
    </xf>
    <xf numFmtId="164" fontId="0" fillId="0" borderId="0" xfId="1" applyFont="1"/>
    <xf numFmtId="4" fontId="13" fillId="10" borderId="1" xfId="1" applyNumberFormat="1" applyFont="1" applyFill="1" applyBorder="1" applyAlignment="1">
      <alignment horizontal="right" vertical="top" wrapText="1"/>
    </xf>
    <xf numFmtId="0" fontId="16" fillId="15" borderId="1" xfId="0" applyFont="1" applyFill="1" applyBorder="1" applyAlignment="1">
      <alignment horizontal="right" vertical="center"/>
    </xf>
    <xf numFmtId="0" fontId="13" fillId="15" borderId="1" xfId="0" applyFont="1" applyFill="1" applyBorder="1" applyAlignment="1">
      <alignment horizontal="right" vertical="center"/>
    </xf>
    <xf numFmtId="164" fontId="13" fillId="15" borderId="1" xfId="1" applyFont="1" applyFill="1" applyBorder="1" applyAlignment="1">
      <alignment horizontal="right" vertical="center" wrapText="1"/>
    </xf>
    <xf numFmtId="10" fontId="16" fillId="15" borderId="1" xfId="1" applyNumberFormat="1" applyFont="1" applyFill="1" applyBorder="1" applyAlignment="1">
      <alignment horizontal="right" vertical="center" wrapText="1"/>
    </xf>
    <xf numFmtId="4" fontId="16" fillId="15" borderId="1" xfId="1" applyNumberFormat="1" applyFont="1" applyFill="1" applyBorder="1" applyAlignment="1">
      <alignment horizontal="right" vertical="center" wrapText="1"/>
    </xf>
    <xf numFmtId="164" fontId="13" fillId="15" borderId="1" xfId="1" applyFont="1" applyFill="1" applyBorder="1" applyAlignment="1">
      <alignment horizontal="right" vertical="top" wrapText="1"/>
    </xf>
    <xf numFmtId="4" fontId="16" fillId="2" borderId="1" xfId="10" applyNumberFormat="1" applyFont="1" applyFill="1" applyBorder="1" applyAlignment="1">
      <alignment horizontal="right" vertical="top" wrapText="1"/>
    </xf>
    <xf numFmtId="164" fontId="26" fillId="15" borderId="1" xfId="1" applyFont="1" applyFill="1" applyBorder="1" applyAlignment="1">
      <alignment horizontal="right" vertical="top" wrapText="1"/>
    </xf>
    <xf numFmtId="4" fontId="16" fillId="15" borderId="1" xfId="1" applyNumberFormat="1" applyFont="1" applyFill="1" applyBorder="1" applyAlignment="1">
      <alignment horizontal="right" vertical="top" wrapText="1"/>
    </xf>
    <xf numFmtId="164" fontId="16" fillId="2" borderId="1" xfId="10" applyFont="1" applyFill="1" applyBorder="1" applyAlignment="1">
      <alignment horizontal="right" vertical="top" wrapText="1"/>
    </xf>
    <xf numFmtId="10" fontId="16" fillId="8" borderId="1" xfId="2" applyNumberFormat="1" applyFont="1" applyFill="1" applyBorder="1" applyAlignment="1">
      <alignment horizontal="center" vertical="top" wrapText="1"/>
    </xf>
    <xf numFmtId="164" fontId="16" fillId="10" borderId="1" xfId="1" applyFont="1" applyFill="1" applyBorder="1" applyAlignment="1">
      <alignment horizontal="center" vertical="top" wrapText="1"/>
    </xf>
    <xf numFmtId="164" fontId="16" fillId="2" borderId="1" xfId="1" applyFont="1" applyFill="1" applyBorder="1" applyAlignment="1">
      <alignment horizontal="right" vertical="top" wrapText="1"/>
    </xf>
    <xf numFmtId="0" fontId="16" fillId="16" borderId="1" xfId="0" applyFont="1" applyFill="1" applyBorder="1" applyAlignment="1">
      <alignment horizontal="right" vertical="top" wrapText="1"/>
    </xf>
    <xf numFmtId="0" fontId="23" fillId="16" borderId="1" xfId="0" applyFont="1" applyFill="1" applyBorder="1" applyAlignment="1">
      <alignment horizontal="right" vertical="top" wrapText="1"/>
    </xf>
    <xf numFmtId="164" fontId="23" fillId="16" borderId="1" xfId="1" applyFont="1" applyFill="1" applyBorder="1" applyAlignment="1">
      <alignment horizontal="right" vertical="top" wrapText="1"/>
    </xf>
    <xf numFmtId="164" fontId="27" fillId="16" borderId="1" xfId="1" applyFont="1" applyFill="1" applyBorder="1" applyAlignment="1">
      <alignment horizontal="right" vertical="top" wrapText="1"/>
    </xf>
    <xf numFmtId="4" fontId="27" fillId="16" borderId="1" xfId="0" applyNumberFormat="1" applyFont="1" applyFill="1" applyBorder="1" applyAlignment="1">
      <alignment horizontal="right"/>
    </xf>
    <xf numFmtId="0" fontId="28" fillId="6" borderId="1" xfId="0" applyFont="1" applyFill="1" applyBorder="1" applyAlignment="1">
      <alignment horizontal="right" vertical="center"/>
    </xf>
    <xf numFmtId="0" fontId="10" fillId="6" borderId="1" xfId="0" applyFont="1" applyFill="1" applyBorder="1"/>
    <xf numFmtId="0" fontId="29" fillId="0" borderId="0" xfId="0" applyFont="1"/>
    <xf numFmtId="43" fontId="0" fillId="0" borderId="0" xfId="0" applyNumberFormat="1"/>
    <xf numFmtId="0" fontId="30" fillId="0" borderId="0" xfId="0" applyFont="1"/>
    <xf numFmtId="0" fontId="25" fillId="2" borderId="0" xfId="0" applyFont="1" applyFill="1" applyAlignment="1">
      <alignment wrapText="1"/>
    </xf>
    <xf numFmtId="43" fontId="30" fillId="0" borderId="0" xfId="11" applyFont="1" applyBorder="1"/>
    <xf numFmtId="2" fontId="30" fillId="0" borderId="0" xfId="0" applyNumberFormat="1" applyFont="1"/>
    <xf numFmtId="9" fontId="16" fillId="15" borderId="1" xfId="2" applyFont="1" applyFill="1" applyBorder="1" applyAlignment="1">
      <alignment horizontal="center" vertical="center" wrapText="1"/>
    </xf>
    <xf numFmtId="4" fontId="16" fillId="15" borderId="1" xfId="1" applyNumberFormat="1" applyFont="1" applyFill="1" applyBorder="1" applyAlignment="1">
      <alignment horizontal="center" vertical="center" wrapText="1"/>
    </xf>
    <xf numFmtId="4" fontId="16" fillId="15" borderId="1" xfId="1" applyNumberFormat="1" applyFont="1" applyFill="1" applyBorder="1" applyAlignment="1">
      <alignment horizontal="center" vertical="top" wrapText="1"/>
    </xf>
    <xf numFmtId="9" fontId="27" fillId="16" borderId="1" xfId="2" applyFont="1" applyFill="1" applyBorder="1" applyAlignment="1">
      <alignment horizontal="center"/>
    </xf>
    <xf numFmtId="4" fontId="27" fillId="16" borderId="1" xfId="0" applyNumberFormat="1" applyFont="1" applyFill="1" applyBorder="1" applyAlignment="1">
      <alignment horizontal="center"/>
    </xf>
    <xf numFmtId="10" fontId="30" fillId="0" borderId="0" xfId="2" applyNumberFormat="1" applyFont="1" applyBorder="1"/>
    <xf numFmtId="10" fontId="31" fillId="0" borderId="0" xfId="2" applyNumberFormat="1" applyFont="1" applyBorder="1"/>
    <xf numFmtId="10" fontId="14" fillId="15" borderId="1" xfId="2" applyNumberFormat="1" applyFont="1" applyFill="1" applyBorder="1" applyAlignment="1">
      <alignment horizontal="center" vertical="top" wrapText="1"/>
    </xf>
    <xf numFmtId="166" fontId="14" fillId="15" borderId="1" xfId="2" applyNumberFormat="1" applyFont="1" applyFill="1" applyBorder="1" applyAlignment="1">
      <alignment horizontal="center" vertical="top" wrapText="1"/>
    </xf>
    <xf numFmtId="10" fontId="14" fillId="15" borderId="1" xfId="1" applyNumberFormat="1" applyFont="1" applyFill="1" applyBorder="1" applyAlignment="1">
      <alignment horizontal="center" vertical="top" wrapText="1"/>
    </xf>
    <xf numFmtId="10" fontId="27" fillId="16" borderId="1" xfId="2" applyNumberFormat="1" applyFont="1" applyFill="1" applyBorder="1" applyAlignment="1">
      <alignment horizontal="center" vertical="top" wrapText="1"/>
    </xf>
    <xf numFmtId="166" fontId="27" fillId="16" borderId="1" xfId="2" applyNumberFormat="1" applyFont="1" applyFill="1" applyBorder="1" applyAlignment="1">
      <alignment horizontal="center" vertical="top" wrapText="1"/>
    </xf>
    <xf numFmtId="166" fontId="16" fillId="16" borderId="1" xfId="2" applyNumberFormat="1" applyFont="1" applyFill="1" applyBorder="1" applyAlignment="1">
      <alignment horizontal="center" vertical="top" wrapText="1"/>
    </xf>
    <xf numFmtId="43" fontId="3" fillId="4" borderId="1" xfId="0" quotePrefix="1" applyNumberFormat="1" applyFont="1" applyFill="1" applyBorder="1" applyAlignment="1">
      <alignment horizontal="center"/>
    </xf>
    <xf numFmtId="4" fontId="5" fillId="2" borderId="0" xfId="0" applyNumberFormat="1" applyFont="1" applyFill="1" applyAlignment="1">
      <alignment horizontal="right"/>
    </xf>
    <xf numFmtId="0" fontId="39" fillId="8" borderId="1" xfId="0" applyFont="1" applyFill="1" applyBorder="1"/>
    <xf numFmtId="0" fontId="40" fillId="0" borderId="0" xfId="0" applyFont="1"/>
    <xf numFmtId="0" fontId="28" fillId="6" borderId="1" xfId="0" applyFont="1" applyFill="1" applyBorder="1" applyAlignment="1">
      <alignment horizontal="left" vertical="center"/>
    </xf>
    <xf numFmtId="4" fontId="20" fillId="0" borderId="0" xfId="0" applyNumberFormat="1" applyFont="1"/>
    <xf numFmtId="0" fontId="16" fillId="15" borderId="1" xfId="0" applyFont="1" applyFill="1" applyBorder="1" applyAlignment="1">
      <alignment horizontal="right"/>
    </xf>
    <xf numFmtId="0" fontId="13" fillId="15" borderId="1" xfId="0" applyFont="1" applyFill="1" applyBorder="1" applyAlignment="1">
      <alignment horizontal="right"/>
    </xf>
    <xf numFmtId="43" fontId="8" fillId="0" borderId="0" xfId="0" applyNumberFormat="1" applyFont="1"/>
    <xf numFmtId="4" fontId="16" fillId="2" borderId="1" xfId="0" applyNumberFormat="1" applyFont="1" applyFill="1" applyBorder="1" applyAlignment="1">
      <alignment wrapText="1"/>
    </xf>
    <xf numFmtId="0" fontId="16" fillId="2" borderId="1" xfId="0" applyFont="1" applyFill="1" applyBorder="1" applyAlignment="1">
      <alignment wrapText="1"/>
    </xf>
    <xf numFmtId="0" fontId="16" fillId="0" borderId="1" xfId="0" applyFont="1" applyBorder="1" applyAlignment="1">
      <alignment horizontal="center"/>
    </xf>
    <xf numFmtId="164" fontId="16" fillId="2" borderId="1" xfId="1" applyFont="1" applyFill="1" applyBorder="1" applyAlignment="1">
      <alignment horizontal="right"/>
    </xf>
    <xf numFmtId="0" fontId="16" fillId="2" borderId="1" xfId="0" applyFont="1" applyFill="1" applyBorder="1" applyAlignment="1">
      <alignment horizontal="center" wrapText="1"/>
    </xf>
    <xf numFmtId="0" fontId="6" fillId="7" borderId="1" xfId="0" applyFont="1" applyFill="1" applyBorder="1"/>
    <xf numFmtId="0" fontId="6" fillId="0" borderId="1" xfId="0" applyFont="1" applyBorder="1"/>
    <xf numFmtId="0" fontId="16" fillId="0" borderId="1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/>
    </xf>
    <xf numFmtId="0" fontId="42" fillId="0" borderId="0" xfId="0" applyFont="1" applyBorder="1" applyAlignment="1">
      <alignment horizontal="right"/>
    </xf>
    <xf numFmtId="16" fontId="43" fillId="2" borderId="0" xfId="0" applyNumberFormat="1" applyFont="1" applyFill="1" applyBorder="1"/>
    <xf numFmtId="0" fontId="43" fillId="0" borderId="0" xfId="0" applyFont="1" applyBorder="1" applyAlignment="1">
      <alignment horizontal="right"/>
    </xf>
    <xf numFmtId="4" fontId="44" fillId="2" borderId="0" xfId="0" applyNumberFormat="1" applyFont="1" applyFill="1" applyBorder="1"/>
    <xf numFmtId="164" fontId="44" fillId="2" borderId="0" xfId="1" applyFont="1" applyFill="1" applyBorder="1" applyAlignment="1">
      <alignment horizontal="right" vertical="top" wrapText="1"/>
    </xf>
    <xf numFmtId="4" fontId="44" fillId="2" borderId="0" xfId="0" applyNumberFormat="1" applyFont="1" applyFill="1" applyBorder="1" applyAlignment="1">
      <alignment horizontal="right"/>
    </xf>
    <xf numFmtId="0" fontId="10" fillId="0" borderId="0" xfId="0" applyFont="1" applyBorder="1"/>
    <xf numFmtId="164" fontId="10" fillId="0" borderId="0" xfId="1" applyFont="1" applyBorder="1"/>
    <xf numFmtId="4" fontId="44" fillId="2" borderId="0" xfId="0" applyNumberFormat="1" applyFont="1" applyFill="1"/>
    <xf numFmtId="0" fontId="41" fillId="0" borderId="0" xfId="0" applyFont="1"/>
    <xf numFmtId="16" fontId="45" fillId="2" borderId="0" xfId="0" applyNumberFormat="1" applyFont="1" applyFill="1"/>
    <xf numFmtId="164" fontId="46" fillId="0" borderId="0" xfId="1" applyFont="1"/>
    <xf numFmtId="43" fontId="46" fillId="0" borderId="0" xfId="0" applyNumberFormat="1" applyFont="1"/>
    <xf numFmtId="4" fontId="46" fillId="0" borderId="0" xfId="0" applyNumberFormat="1" applyFont="1"/>
    <xf numFmtId="0" fontId="47" fillId="0" borderId="0" xfId="0" applyFont="1" applyBorder="1" applyAlignment="1">
      <alignment horizontal="right"/>
    </xf>
    <xf numFmtId="16" fontId="47" fillId="2" borderId="0" xfId="0" applyNumberFormat="1" applyFont="1" applyFill="1" applyBorder="1" applyAlignment="1">
      <alignment horizontal="center" wrapText="1"/>
    </xf>
    <xf numFmtId="0" fontId="48" fillId="0" borderId="0" xfId="0" applyFont="1" applyBorder="1"/>
    <xf numFmtId="0" fontId="47" fillId="0" borderId="0" xfId="0" applyFont="1" applyBorder="1" applyAlignment="1">
      <alignment horizontal="right" wrapText="1"/>
    </xf>
    <xf numFmtId="4" fontId="49" fillId="2" borderId="0" xfId="0" applyNumberFormat="1" applyFont="1" applyFill="1" applyBorder="1"/>
    <xf numFmtId="4" fontId="49" fillId="2" borderId="0" xfId="0" applyNumberFormat="1" applyFont="1" applyFill="1" applyBorder="1" applyAlignment="1">
      <alignment horizontal="right"/>
    </xf>
    <xf numFmtId="164" fontId="49" fillId="2" borderId="0" xfId="1" applyFont="1" applyFill="1" applyBorder="1" applyAlignment="1">
      <alignment horizontal="right" vertical="top" wrapText="1"/>
    </xf>
    <xf numFmtId="0" fontId="50" fillId="0" borderId="0" xfId="0" applyFont="1" applyBorder="1" applyAlignment="1">
      <alignment horizontal="right" wrapText="1"/>
    </xf>
    <xf numFmtId="164" fontId="51" fillId="0" borderId="0" xfId="1" applyFont="1" applyBorder="1"/>
    <xf numFmtId="4" fontId="51" fillId="2" borderId="0" xfId="0" applyNumberFormat="1" applyFont="1" applyFill="1" applyBorder="1"/>
    <xf numFmtId="0" fontId="50" fillId="0" borderId="0" xfId="0" applyFont="1" applyBorder="1" applyAlignment="1">
      <alignment horizontal="right"/>
    </xf>
    <xf numFmtId="4" fontId="51" fillId="2" borderId="0" xfId="0" applyNumberFormat="1" applyFont="1" applyFill="1" applyBorder="1" applyAlignment="1">
      <alignment horizontal="right"/>
    </xf>
    <xf numFmtId="164" fontId="51" fillId="2" borderId="0" xfId="1" applyFont="1" applyFill="1" applyBorder="1" applyAlignment="1">
      <alignment horizontal="right" vertical="top" wrapText="1"/>
    </xf>
    <xf numFmtId="0" fontId="43" fillId="0" borderId="0" xfId="0" applyFont="1" applyAlignment="1">
      <alignment horizontal="right"/>
    </xf>
    <xf numFmtId="0" fontId="16" fillId="0" borderId="1" xfId="0" applyFont="1" applyFill="1" applyBorder="1" applyAlignment="1">
      <alignment horizontal="center"/>
    </xf>
    <xf numFmtId="4" fontId="16" fillId="0" borderId="1" xfId="0" applyNumberFormat="1" applyFont="1" applyBorder="1" applyAlignment="1">
      <alignment wrapText="1"/>
    </xf>
    <xf numFmtId="49" fontId="16" fillId="2" borderId="1" xfId="0" applyNumberFormat="1" applyFont="1" applyFill="1" applyBorder="1" applyAlignment="1">
      <alignment wrapText="1"/>
    </xf>
    <xf numFmtId="0" fontId="11" fillId="6" borderId="1" xfId="0" applyFont="1" applyFill="1" applyBorder="1" applyAlignment="1">
      <alignment horizontal="center"/>
    </xf>
    <xf numFmtId="0" fontId="12" fillId="8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top" wrapText="1"/>
    </xf>
    <xf numFmtId="0" fontId="15" fillId="9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 wrapText="1"/>
    </xf>
    <xf numFmtId="0" fontId="19" fillId="13" borderId="1" xfId="0" applyFont="1" applyFill="1" applyBorder="1" applyAlignment="1">
      <alignment horizontal="center"/>
    </xf>
    <xf numFmtId="0" fontId="23" fillId="9" borderId="1" xfId="0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23" fillId="14" borderId="1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/>
    </xf>
    <xf numFmtId="0" fontId="27" fillId="2" borderId="0" xfId="0" applyFont="1" applyFill="1" applyAlignment="1">
      <alignment horizontal="center" wrapText="1"/>
    </xf>
    <xf numFmtId="0" fontId="16" fillId="2" borderId="1" xfId="0" applyFont="1" applyFill="1" applyBorder="1" applyAlignment="1">
      <alignment horizontal="left" wrapText="1"/>
    </xf>
    <xf numFmtId="0" fontId="9" fillId="0" borderId="0" xfId="0" applyFont="1" applyBorder="1" applyAlignment="1">
      <alignment horizontal="right"/>
    </xf>
    <xf numFmtId="164" fontId="5" fillId="2" borderId="0" xfId="1" applyFont="1" applyFill="1" applyBorder="1" applyAlignment="1">
      <alignment horizontal="right" vertical="top" wrapText="1"/>
    </xf>
  </cellXfs>
  <cellStyles count="36">
    <cellStyle name="60% - Accent1 2" xfId="3"/>
    <cellStyle name="60% - Accent2 2" xfId="4"/>
    <cellStyle name="60% - Accent3 2" xfId="5"/>
    <cellStyle name="60% - Accent4 2" xfId="6"/>
    <cellStyle name="60% - Accent5 2" xfId="7"/>
    <cellStyle name="60% - Accent6 2" xfId="8"/>
    <cellStyle name="Comma" xfId="1" builtinId="3"/>
    <cellStyle name="Comma 10" xfId="9"/>
    <cellStyle name="Comma 10 13" xfId="10"/>
    <cellStyle name="Comma 14" xfId="28"/>
    <cellStyle name="Comma 15" xfId="30"/>
    <cellStyle name="Comma 15 2" xfId="34"/>
    <cellStyle name="Comma 2" xfId="11"/>
    <cellStyle name="Comma 2 2" xfId="12"/>
    <cellStyle name="Comma 3" xfId="13"/>
    <cellStyle name="Comma 3 2" xfId="14"/>
    <cellStyle name="Comma 3 2 2" xfId="15"/>
    <cellStyle name="Comma 4" xfId="16"/>
    <cellStyle name="Comma 5" xfId="17"/>
    <cellStyle name="Comma 6" xfId="18"/>
    <cellStyle name="Comma 8" xfId="19"/>
    <cellStyle name="Neutral 2" xfId="20"/>
    <cellStyle name="Normal" xfId="0" builtinId="0"/>
    <cellStyle name="Normal 2" xfId="21"/>
    <cellStyle name="Normal 2 2" xfId="22"/>
    <cellStyle name="Normal 27 2" xfId="23"/>
    <cellStyle name="Normal 3" xfId="33"/>
    <cellStyle name="Normal 6 2" xfId="31"/>
    <cellStyle name="Percent" xfId="2" builtinId="5"/>
    <cellStyle name="Percent 13" xfId="29"/>
    <cellStyle name="Percent 13 2" xfId="35"/>
    <cellStyle name="Percent 2" xfId="32"/>
    <cellStyle name="Percent 2 2" xfId="24"/>
    <cellStyle name="Percent 5" xfId="25"/>
    <cellStyle name="Percent 6" xfId="26"/>
    <cellStyle name="Title 2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/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0352501734696999E-2"/>
          <c:y val="0.12704985666184501"/>
          <c:w val="0.94540908679518498"/>
          <c:h val="0.733271950705028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Comparison'!$B$2</c:f>
              <c:strCache>
                <c:ptCount val="1"/>
                <c:pt idx="0">
                  <c:v>Week Ended April 11, 2025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Comparison'!$B$3:$B$10</c:f>
              <c:numCache>
                <c:formatCode>#,##0.00</c:formatCode>
                <c:ptCount val="8"/>
                <c:pt idx="0">
                  <c:v>36.611510201960002</c:v>
                </c:pt>
                <c:pt idx="1">
                  <c:v>2628.9623770447274</c:v>
                </c:pt>
                <c:pt idx="2">
                  <c:v>208.69720878068358</c:v>
                </c:pt>
                <c:pt idx="3">
                  <c:v>1931.2870687030197</c:v>
                </c:pt>
                <c:pt idx="4">
                  <c:v>101.44890023100531</c:v>
                </c:pt>
                <c:pt idx="5" formatCode="_-* #,##0.00_-;\-* #,##0.00_-;_-* &quot;-&quot;??_-;_-@_-">
                  <c:v>57.12527213611007</c:v>
                </c:pt>
                <c:pt idx="6">
                  <c:v>6.7892931999500004</c:v>
                </c:pt>
                <c:pt idx="7">
                  <c:v>56.384304267594231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C4-4569-86DB-18C6F766F1CB}"/>
            </c:ext>
          </c:extLst>
        </c:ser>
        <c:ser>
          <c:idx val="1"/>
          <c:order val="1"/>
          <c:tx>
            <c:strRef>
              <c:f>'NAV Comparison'!$C$2</c:f>
              <c:strCache>
                <c:ptCount val="1"/>
                <c:pt idx="0">
                  <c:v>Week Ended April 17, 2025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Comparison'!$C$3:$C$10</c:f>
              <c:numCache>
                <c:formatCode>#,##0.00</c:formatCode>
                <c:ptCount val="8"/>
                <c:pt idx="0">
                  <c:v>36.683565580029999</c:v>
                </c:pt>
                <c:pt idx="1">
                  <c:v>2676.7487566401933</c:v>
                </c:pt>
                <c:pt idx="2">
                  <c:v>208.40109785344882</c:v>
                </c:pt>
                <c:pt idx="3">
                  <c:v>1923.4873303636252</c:v>
                </c:pt>
                <c:pt idx="4">
                  <c:v>101.48909887364462</c:v>
                </c:pt>
                <c:pt idx="5" formatCode="_-* #,##0.00_-;\-* #,##0.00_-;_-* &quot;-&quot;??_-;_-@_-">
                  <c:v>57.583359181107909</c:v>
                </c:pt>
                <c:pt idx="6">
                  <c:v>6.6512489927700003</c:v>
                </c:pt>
                <c:pt idx="7">
                  <c:v>57.091876521208221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C4-4569-86DB-18C6F766F1C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 lang="en-US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  <a:p>
            <a:pPr>
              <a:defRPr lang="en-US"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6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AS AT 17TH APRIL, 2025</a:t>
            </a:r>
            <a:endParaRPr lang="en-US" sz="16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3407699914128499"/>
          <c:y val="3.1719518867076697E-2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</c:spPr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0.15552536576715401"/>
          <c:y val="0.147427288479518"/>
          <c:w val="0.84316500743410205"/>
          <c:h val="0.81423920364184199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17-Apr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6C1-41E2-BD65-8D78AE0E5F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6C1-41E2-BD65-8D78AE0E5F1E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6C1-41E2-BD65-8D78AE0E5F1E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6C1-41E2-BD65-8D78AE0E5F1E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6C1-41E2-BD65-8D78AE0E5F1E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6C1-41E2-BD65-8D78AE0E5F1E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6C1-41E2-BD65-8D78AE0E5F1E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6C1-41E2-BD65-8D78AE0E5F1E}"/>
              </c:ext>
            </c:extLst>
          </c:dPt>
          <c:dLbls>
            <c:dLbl>
              <c:idx val="0"/>
              <c:layout>
                <c:manualLayout>
                  <c:x val="-4.31242058258033E-2"/>
                  <c:y val="0.11941221286673269"/>
                </c:manualLayout>
              </c:layout>
              <c:numFmt formatCode="0.00%" sourceLinked="0"/>
              <c:spPr>
                <a:gradFill rotWithShape="1">
                  <a:gsLst>
                    <a:gs pos="0">
                      <a:schemeClr val="dk1">
                        <a:satMod val="103000"/>
                        <a:lumMod val="102000"/>
                        <a:tint val="94000"/>
                      </a:schemeClr>
                    </a:gs>
                    <a:gs pos="50000">
                      <a:schemeClr val="dk1">
                        <a:satMod val="110000"/>
                        <a:lumMod val="100000"/>
                        <a:shade val="100000"/>
                      </a:schemeClr>
                    </a:gs>
                    <a:gs pos="100000">
                      <a:schemeClr val="dk1">
                        <a:lumMod val="99000"/>
                        <a:satMod val="120000"/>
                        <a:shade val="78000"/>
                      </a:schemeClr>
                    </a:gs>
                  </a:gsLst>
                  <a:lin ang="5400000" scaled="0"/>
                </a:gradFill>
                <a:ln w="6350" cap="flat" cmpd="sng" algn="ctr">
                  <a:solidFill>
                    <a:schemeClr val="dk1"/>
                  </a:solidFill>
                  <a:prstDash val="solid"/>
                  <a:miter lim="800000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n-US" sz="1100" b="0" i="0" u="none" strike="noStrike" kern="1200" baseline="0">
                      <a:solidFill>
                        <a:schemeClr val="lt1"/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9.447913288926979E-2"/>
                      <c:h val="7.407629741261133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6C1-41E2-BD65-8D78AE0E5F1E}"/>
                </c:ext>
              </c:extLst>
            </c:dLbl>
            <c:dLbl>
              <c:idx val="1"/>
              <c:layout>
                <c:manualLayout>
                  <c:x val="-8.3929154372232501E-2"/>
                  <c:y val="5.52374088609937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6C1-41E2-BD65-8D78AE0E5F1E}"/>
                </c:ext>
              </c:extLst>
            </c:dLbl>
            <c:dLbl>
              <c:idx val="2"/>
              <c:layout>
                <c:manualLayout>
                  <c:x val="-2.4332941580313142E-2"/>
                  <c:y val="-9.756313468434001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6C1-41E2-BD65-8D78AE0E5F1E}"/>
                </c:ext>
              </c:extLst>
            </c:dLbl>
            <c:dLbl>
              <c:idx val="3"/>
              <c:layout>
                <c:manualLayout>
                  <c:x val="-1.82320668832372E-2"/>
                  <c:y val="3.17614579670887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6C1-41E2-BD65-8D78AE0E5F1E}"/>
                </c:ext>
              </c:extLst>
            </c:dLbl>
            <c:dLbl>
              <c:idx val="4"/>
              <c:layout>
                <c:manualLayout>
                  <c:x val="-2.2105334402515699E-2"/>
                  <c:y val="-0.10218920639283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6C1-41E2-BD65-8D78AE0E5F1E}"/>
                </c:ext>
              </c:extLst>
            </c:dLbl>
            <c:dLbl>
              <c:idx val="5"/>
              <c:layout>
                <c:manualLayout>
                  <c:x val="0.18662381396528396"/>
                  <c:y val="-0.149477652020378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6C1-41E2-BD65-8D78AE0E5F1E}"/>
                </c:ext>
              </c:extLst>
            </c:dLbl>
            <c:dLbl>
              <c:idx val="6"/>
              <c:layout>
                <c:manualLayout>
                  <c:x val="1.2680117563912296E-2"/>
                  <c:y val="0.1333543561682774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6C1-41E2-BD65-8D78AE0E5F1E}"/>
                </c:ext>
              </c:extLst>
            </c:dLbl>
            <c:dLbl>
              <c:idx val="7"/>
              <c:layout>
                <c:manualLayout>
                  <c:x val="-0.23297582723395899"/>
                  <c:y val="-0.328662582722912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6C1-41E2-BD65-8D78AE0E5F1E}"/>
                </c:ext>
              </c:extLst>
            </c:dLbl>
            <c:numFmt formatCode="0.00%" sourceLinked="0"/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SHARI'AH COMPLAINT FUNDS</c:v>
                </c:pt>
                <c:pt idx="3">
                  <c:v>BALANCED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DOLLAR FUNDS</c:v>
                </c:pt>
                <c:pt idx="7">
                  <c:v>MONEY MARKET FUNDS</c:v>
                </c:pt>
              </c:strCache>
            </c:strRef>
          </c:cat>
          <c:val>
            <c:numRef>
              <c:f>'Market Share'!$B$2:$B$9</c:f>
              <c:numCache>
                <c:formatCode>#,##0.00</c:formatCode>
                <c:ptCount val="8"/>
                <c:pt idx="0">
                  <c:v>6651248992.7700005</c:v>
                </c:pt>
                <c:pt idx="1">
                  <c:v>36683565580.029999</c:v>
                </c:pt>
                <c:pt idx="2" formatCode="_-* #,##0.00_-;\-* #,##0.00_-;_-* &quot;-&quot;??_-;_-@_-">
                  <c:v>57091876521.208221</c:v>
                </c:pt>
                <c:pt idx="3">
                  <c:v>57583359181.10791</c:v>
                </c:pt>
                <c:pt idx="4">
                  <c:v>101489098873.64462</c:v>
                </c:pt>
                <c:pt idx="5">
                  <c:v>208401097853.44882</c:v>
                </c:pt>
                <c:pt idx="6">
                  <c:v>1923487330363.6252</c:v>
                </c:pt>
                <c:pt idx="7">
                  <c:v>2676748756640.1934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6C1-41E2-BD65-8D78AE0E5F1E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600" b="1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8-WEEK MOVEMENT IN TOTAL NAV (N'Bn)</a:t>
            </a:r>
          </a:p>
        </c:rich>
      </c:tx>
      <c:layout>
        <c:manualLayout>
          <c:xMode val="edge"/>
          <c:yMode val="edge"/>
          <c:x val="0.259825017515738"/>
          <c:y val="1.56862783847530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600" b="1" i="0" u="none" strike="noStrike" kern="1200" cap="all" spc="120" normalizeH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NAV'!$A$3</c:f>
              <c:strCache>
                <c:ptCount val="1"/>
                <c:pt idx="0">
                  <c:v>TOTAL NAV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'8-Week Movement in NAV'!$B$2:$I$2</c:f>
              <c:numCache>
                <c:formatCode>d\-mmm</c:formatCode>
                <c:ptCount val="8"/>
                <c:pt idx="0">
                  <c:v>45716</c:v>
                </c:pt>
                <c:pt idx="1">
                  <c:v>45723</c:v>
                </c:pt>
                <c:pt idx="2">
                  <c:v>45730</c:v>
                </c:pt>
                <c:pt idx="3">
                  <c:v>45737</c:v>
                </c:pt>
                <c:pt idx="4">
                  <c:v>45744</c:v>
                </c:pt>
                <c:pt idx="5">
                  <c:v>45751</c:v>
                </c:pt>
                <c:pt idx="6">
                  <c:v>45758</c:v>
                </c:pt>
                <c:pt idx="7">
                  <c:v>45764</c:v>
                </c:pt>
              </c:numCache>
            </c:numRef>
          </c:cat>
          <c:val>
            <c:numRef>
              <c:f>'8-Week Movement in NAV'!$B$3:$I$3</c:f>
              <c:numCache>
                <c:formatCode>_-* #,##0.00_-;\-* #,##0.00_-;_-* "-"??_-;_-@_-</c:formatCode>
                <c:ptCount val="8"/>
                <c:pt idx="0">
                  <c:v>4378.8424481915499</c:v>
                </c:pt>
                <c:pt idx="1">
                  <c:v>4472.6943933207594</c:v>
                </c:pt>
                <c:pt idx="2">
                  <c:v>4607.4792017079635</c:v>
                </c:pt>
                <c:pt idx="3">
                  <c:v>4719.0196974991832</c:v>
                </c:pt>
                <c:pt idx="4">
                  <c:v>4783.453626583896</c:v>
                </c:pt>
                <c:pt idx="5">
                  <c:v>4920.9783287926193</c:v>
                </c:pt>
                <c:pt idx="6">
                  <c:v>5027.3059345650499</c:v>
                </c:pt>
                <c:pt idx="7">
                  <c:v>5068.1363340060261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8B-4464-8D73-A29E32154DB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17563183"/>
        <c:axId val="917583983"/>
      </c:lineChart>
      <c:dateAx>
        <c:axId val="91756318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83983"/>
        <c:crosses val="autoZero"/>
        <c:auto val="1"/>
        <c:lblOffset val="100"/>
        <c:baseTimeUnit val="days"/>
      </c:dateAx>
      <c:valAx>
        <c:axId val="917583983"/>
        <c:scaling>
          <c:orientation val="minMax"/>
        </c:scaling>
        <c:delete val="0"/>
        <c:axPos val="l"/>
        <c:numFmt formatCode="_-* #,##0.00_-;\-* #,##0.0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63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en-US"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</a:rPr>
              <a:t>8-WEEK MOVEMENT IN </a:t>
            </a:r>
            <a:r>
              <a:rPr lang="en-US"/>
              <a:t>AGGREGATE </a:t>
            </a:r>
            <a:r>
              <a:rPr lang="en-US" sz="14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ETFs </a:t>
            </a: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(N'Bn)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lang="en-US" sz="160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ETFs'!$A$3</c:f>
              <c:strCache>
                <c:ptCount val="1"/>
                <c:pt idx="0">
                  <c:v>ETFs AGGREGATE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'8-Week Movement in ETFs'!$B$2:$I$2</c:f>
              <c:numCache>
                <c:formatCode>d\-mmm</c:formatCode>
                <c:ptCount val="8"/>
                <c:pt idx="0">
                  <c:v>45716</c:v>
                </c:pt>
                <c:pt idx="1">
                  <c:v>45723</c:v>
                </c:pt>
                <c:pt idx="2">
                  <c:v>45730</c:v>
                </c:pt>
                <c:pt idx="3">
                  <c:v>45737</c:v>
                </c:pt>
                <c:pt idx="4">
                  <c:v>45744</c:v>
                </c:pt>
                <c:pt idx="5">
                  <c:v>45751</c:v>
                </c:pt>
                <c:pt idx="6">
                  <c:v>45758</c:v>
                </c:pt>
                <c:pt idx="7">
                  <c:v>45764</c:v>
                </c:pt>
              </c:numCache>
            </c:numRef>
          </c:cat>
          <c:val>
            <c:numRef>
              <c:f>'8-Week Movement in ETFs'!$B$3:$I$3</c:f>
              <c:numCache>
                <c:formatCode>_-* #,##0.00_-;\-* #,##0.00_-;_-* "-"??_-;_-@_-</c:formatCode>
                <c:ptCount val="8"/>
                <c:pt idx="0">
                  <c:v>13.569005930702859</c:v>
                </c:pt>
                <c:pt idx="1">
                  <c:v>13.40889556580691</c:v>
                </c:pt>
                <c:pt idx="2">
                  <c:v>13.225205337489792</c:v>
                </c:pt>
                <c:pt idx="3">
                  <c:v>13.115951569109791</c:v>
                </c:pt>
                <c:pt idx="4">
                  <c:v>13.246875880158331</c:v>
                </c:pt>
                <c:pt idx="5">
                  <c:v>13.252536997856778</c:v>
                </c:pt>
                <c:pt idx="6">
                  <c:v>13.325340046259999</c:v>
                </c:pt>
                <c:pt idx="7">
                  <c:v>13.257768084610001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3E-4C32-8EA2-A8782F5202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2158223"/>
        <c:axId val="602149103"/>
      </c:lineChart>
      <c:dateAx>
        <c:axId val="60215822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49103"/>
        <c:crosses val="autoZero"/>
        <c:auto val="1"/>
        <c:lblOffset val="100"/>
        <c:baseTimeUnit val="days"/>
      </c:dateAx>
      <c:valAx>
        <c:axId val="602149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58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510540</xdr:colOff>
      <xdr:row>22</xdr:row>
      <xdr:rowOff>127635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191846</xdr:colOff>
      <xdr:row>32</xdr:row>
      <xdr:rowOff>44823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588819</xdr:colOff>
      <xdr:row>19</xdr:row>
      <xdr:rowOff>8659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434339</xdr:colOff>
      <xdr:row>18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AB254"/>
  <sheetViews>
    <sheetView tabSelected="1" zoomScale="120" zoomScaleNormal="120" zoomScaleSheetLayoutView="100" workbookViewId="0">
      <selection sqref="A1:V1"/>
    </sheetView>
  </sheetViews>
  <sheetFormatPr defaultColWidth="9" defaultRowHeight="14.4"/>
  <cols>
    <col min="1" max="1" width="6" customWidth="1"/>
    <col min="2" max="2" width="39.109375" customWidth="1"/>
    <col min="3" max="3" width="36.109375" customWidth="1"/>
    <col min="4" max="4" width="21" customWidth="1"/>
    <col min="8" max="8" width="9.88671875" customWidth="1"/>
    <col min="11" max="11" width="20.5546875" customWidth="1"/>
    <col min="13" max="13" width="10" customWidth="1"/>
    <col min="14" max="14" width="10.109375" customWidth="1"/>
    <col min="15" max="15" width="9.88671875" customWidth="1"/>
    <col min="16" max="16" width="8.21875" customWidth="1"/>
    <col min="17" max="17" width="9.109375" customWidth="1"/>
    <col min="20" max="20" width="8.33203125" customWidth="1"/>
    <col min="24" max="24" width="18.88671875" customWidth="1"/>
    <col min="25" max="25" width="11.33203125" customWidth="1"/>
    <col min="26" max="27" width="17.33203125" customWidth="1"/>
  </cols>
  <sheetData>
    <row r="1" spans="1:25" ht="27">
      <c r="A1" s="173" t="s">
        <v>313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</row>
    <row r="2" spans="1:25" ht="15" customHeight="1">
      <c r="A2" s="138"/>
      <c r="B2" s="23"/>
      <c r="C2" s="126"/>
      <c r="D2" s="174" t="s">
        <v>308</v>
      </c>
      <c r="E2" s="174"/>
      <c r="F2" s="174"/>
      <c r="G2" s="174"/>
      <c r="H2" s="174"/>
      <c r="I2" s="174"/>
      <c r="J2" s="174"/>
      <c r="K2" s="174" t="s">
        <v>314</v>
      </c>
      <c r="L2" s="174"/>
      <c r="M2" s="174"/>
      <c r="N2" s="174"/>
      <c r="O2" s="174"/>
      <c r="P2" s="174"/>
      <c r="Q2" s="174"/>
      <c r="R2" s="174" t="s">
        <v>0</v>
      </c>
      <c r="S2" s="174"/>
      <c r="T2" s="174"/>
      <c r="U2" s="174" t="s">
        <v>1</v>
      </c>
      <c r="V2" s="174"/>
    </row>
    <row r="3" spans="1:25" ht="20.399999999999999">
      <c r="A3" s="24" t="s">
        <v>2</v>
      </c>
      <c r="B3" s="25" t="s">
        <v>3</v>
      </c>
      <c r="C3" s="26" t="s">
        <v>4</v>
      </c>
      <c r="D3" s="27" t="s">
        <v>5</v>
      </c>
      <c r="E3" s="28" t="s">
        <v>6</v>
      </c>
      <c r="F3" s="28" t="s">
        <v>289</v>
      </c>
      <c r="G3" s="28" t="s">
        <v>8</v>
      </c>
      <c r="H3" s="28" t="s">
        <v>9</v>
      </c>
      <c r="I3" s="28" t="s">
        <v>10</v>
      </c>
      <c r="J3" s="28" t="s">
        <v>11</v>
      </c>
      <c r="K3" s="49" t="s">
        <v>5</v>
      </c>
      <c r="L3" s="28" t="s">
        <v>6</v>
      </c>
      <c r="M3" s="28" t="s">
        <v>7</v>
      </c>
      <c r="N3" s="28" t="s">
        <v>8</v>
      </c>
      <c r="O3" s="28" t="s">
        <v>9</v>
      </c>
      <c r="P3" s="28" t="s">
        <v>10</v>
      </c>
      <c r="Q3" s="28" t="s">
        <v>11</v>
      </c>
      <c r="R3" s="27" t="s">
        <v>12</v>
      </c>
      <c r="S3" s="28" t="s">
        <v>13</v>
      </c>
      <c r="T3" s="28" t="s">
        <v>14</v>
      </c>
      <c r="U3" s="28" t="s">
        <v>15</v>
      </c>
      <c r="V3" s="28" t="s">
        <v>16</v>
      </c>
    </row>
    <row r="4" spans="1:25" ht="5.25" customHeight="1">
      <c r="A4" s="139"/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</row>
    <row r="5" spans="1:25" ht="15" customHeight="1">
      <c r="A5" s="176" t="s">
        <v>17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</row>
    <row r="6" spans="1:25">
      <c r="A6" s="140">
        <v>1</v>
      </c>
      <c r="B6" s="133" t="s">
        <v>18</v>
      </c>
      <c r="C6" s="134" t="s">
        <v>19</v>
      </c>
      <c r="D6" s="29">
        <v>1526429370.74</v>
      </c>
      <c r="E6" s="30">
        <f t="shared" ref="E6:E22" si="0">(D6/$D$25)</f>
        <v>4.1692608753907193E-2</v>
      </c>
      <c r="F6" s="31">
        <v>414.95280000000002</v>
      </c>
      <c r="G6" s="31">
        <v>418.43529999999998</v>
      </c>
      <c r="H6" s="32">
        <v>1816</v>
      </c>
      <c r="I6" s="50">
        <v>-1.0200000000000001E-2</v>
      </c>
      <c r="J6" s="50">
        <v>4.3900000000000002E-2</v>
      </c>
      <c r="K6" s="29">
        <v>1481854707.3199999</v>
      </c>
      <c r="L6" s="30">
        <f t="shared" ref="L6:L22" si="1">(K6/$K$25)</f>
        <v>4.03956017875945E-2</v>
      </c>
      <c r="M6" s="31">
        <v>408.46480000000003</v>
      </c>
      <c r="N6" s="31">
        <v>412.14609999999999</v>
      </c>
      <c r="O6" s="32">
        <v>1816</v>
      </c>
      <c r="P6" s="50">
        <v>-1.5599999999999999E-2</v>
      </c>
      <c r="Q6" s="50">
        <v>2.76E-2</v>
      </c>
      <c r="R6" s="56">
        <f>((K6-D6)/D6)</f>
        <v>-2.9201916757138038E-2</v>
      </c>
      <c r="S6" s="56">
        <f>((N6-G6)/G6)</f>
        <v>-1.5030280667046958E-2</v>
      </c>
      <c r="T6" s="56">
        <f>((O6-H6)/H6)</f>
        <v>0</v>
      </c>
      <c r="U6" s="57">
        <f>P6-I6</f>
        <v>-5.3999999999999986E-3</v>
      </c>
      <c r="V6" s="58">
        <f>Q6-J6</f>
        <v>-1.6300000000000002E-2</v>
      </c>
    </row>
    <row r="7" spans="1:25">
      <c r="A7" s="140">
        <v>2</v>
      </c>
      <c r="B7" s="133" t="s">
        <v>20</v>
      </c>
      <c r="C7" s="134" t="s">
        <v>21</v>
      </c>
      <c r="D7" s="33">
        <v>647352095.01999998</v>
      </c>
      <c r="E7" s="30">
        <f t="shared" si="0"/>
        <v>1.7681655071014907E-2</v>
      </c>
      <c r="F7" s="33">
        <v>270.57569999999998</v>
      </c>
      <c r="G7" s="33">
        <v>273.84949999999998</v>
      </c>
      <c r="H7" s="32">
        <v>467</v>
      </c>
      <c r="I7" s="50">
        <v>-9.4600000000000001E-4</v>
      </c>
      <c r="J7" s="50">
        <v>5.0700000000000002E-2</v>
      </c>
      <c r="K7" s="33">
        <v>637748604.94000006</v>
      </c>
      <c r="L7" s="30">
        <f t="shared" si="1"/>
        <v>1.7385131321236154E-2</v>
      </c>
      <c r="M7" s="33">
        <v>266.6816</v>
      </c>
      <c r="N7" s="33">
        <v>269.89600000000002</v>
      </c>
      <c r="O7" s="32">
        <v>467</v>
      </c>
      <c r="P7" s="50">
        <v>3.8180000000000002E-3</v>
      </c>
      <c r="Q7" s="50">
        <v>3.56E-2</v>
      </c>
      <c r="R7" s="56">
        <f t="shared" ref="R7:R25" si="2">((K7-D7)/D7)</f>
        <v>-1.483503359899256E-2</v>
      </c>
      <c r="S7" s="56">
        <f t="shared" ref="S7:S25" si="3">((N7-G7)/G7)</f>
        <v>-1.4436761797994749E-2</v>
      </c>
      <c r="T7" s="56">
        <f t="shared" ref="T7:T25" si="4">((O7-H7)/H7)</f>
        <v>0</v>
      </c>
      <c r="U7" s="57">
        <f t="shared" ref="U7:U25" si="5">P7-I7</f>
        <v>4.764E-3</v>
      </c>
      <c r="V7" s="58">
        <f t="shared" ref="V7:V25" si="6">Q7-J7</f>
        <v>-1.5100000000000002E-2</v>
      </c>
    </row>
    <row r="8" spans="1:25">
      <c r="A8" s="140">
        <v>3</v>
      </c>
      <c r="B8" s="133" t="s">
        <v>22</v>
      </c>
      <c r="C8" s="134" t="s">
        <v>23</v>
      </c>
      <c r="D8" s="33">
        <v>3969526331.25</v>
      </c>
      <c r="E8" s="30">
        <f t="shared" si="0"/>
        <v>0.10842290605749148</v>
      </c>
      <c r="F8" s="33">
        <v>35.792700000000004</v>
      </c>
      <c r="G8" s="33">
        <v>36.871899999999997</v>
      </c>
      <c r="H8" s="34">
        <v>6680</v>
      </c>
      <c r="I8" s="51">
        <v>-0.38490000000000002</v>
      </c>
      <c r="J8" s="51">
        <v>3.44E-2</v>
      </c>
      <c r="K8" s="33">
        <v>4045850680.52</v>
      </c>
      <c r="L8" s="30">
        <f t="shared" si="1"/>
        <v>0.11029055154667142</v>
      </c>
      <c r="M8" s="33">
        <v>36.479500000000002</v>
      </c>
      <c r="N8" s="33">
        <v>37.5794</v>
      </c>
      <c r="O8" s="34">
        <v>6680</v>
      </c>
      <c r="P8" s="51">
        <v>1.0004999999999999</v>
      </c>
      <c r="Q8" s="51">
        <v>9.7600000000000006E-2</v>
      </c>
      <c r="R8" s="56">
        <f t="shared" si="2"/>
        <v>1.9227570974687431E-2</v>
      </c>
      <c r="S8" s="56">
        <f t="shared" si="3"/>
        <v>1.9188053775368322E-2</v>
      </c>
      <c r="T8" s="56">
        <f t="shared" si="4"/>
        <v>0</v>
      </c>
      <c r="U8" s="57">
        <f t="shared" si="5"/>
        <v>1.3854</v>
      </c>
      <c r="V8" s="58">
        <f t="shared" si="6"/>
        <v>6.3200000000000006E-2</v>
      </c>
      <c r="X8" s="59"/>
      <c r="Y8" s="59"/>
    </row>
    <row r="9" spans="1:25">
      <c r="A9" s="140">
        <v>4</v>
      </c>
      <c r="B9" s="133" t="s">
        <v>24</v>
      </c>
      <c r="C9" s="134" t="s">
        <v>25</v>
      </c>
      <c r="D9" s="33">
        <v>582699662.02999997</v>
      </c>
      <c r="E9" s="30">
        <f t="shared" si="0"/>
        <v>1.5915750506211163E-2</v>
      </c>
      <c r="F9" s="33">
        <v>222.14760000000001</v>
      </c>
      <c r="G9" s="33">
        <v>222.14760000000001</v>
      </c>
      <c r="H9" s="32">
        <v>1941</v>
      </c>
      <c r="I9" s="50">
        <v>-1.01E-2</v>
      </c>
      <c r="J9" s="50">
        <v>1.4500000000000001E-2</v>
      </c>
      <c r="K9" s="33">
        <v>566646098.37</v>
      </c>
      <c r="L9" s="30">
        <f t="shared" si="1"/>
        <v>1.544686535810668E-2</v>
      </c>
      <c r="M9" s="33">
        <v>217.32579999999999</v>
      </c>
      <c r="N9" s="33">
        <v>217.32579999999999</v>
      </c>
      <c r="O9" s="32">
        <v>1938</v>
      </c>
      <c r="P9" s="50">
        <v>-2.1700000000000001E-2</v>
      </c>
      <c r="Q9" s="50">
        <v>-7.4999999999999997E-3</v>
      </c>
      <c r="R9" s="56">
        <f t="shared" si="2"/>
        <v>-2.7550322586549669E-2</v>
      </c>
      <c r="S9" s="56">
        <f t="shared" si="3"/>
        <v>-2.1705388669515331E-2</v>
      </c>
      <c r="T9" s="56">
        <f t="shared" si="4"/>
        <v>-1.5455950540958269E-3</v>
      </c>
      <c r="U9" s="57">
        <f t="shared" si="5"/>
        <v>-1.1600000000000001E-2</v>
      </c>
      <c r="V9" s="58">
        <f t="shared" si="6"/>
        <v>-2.1999999999999999E-2</v>
      </c>
    </row>
    <row r="10" spans="1:25">
      <c r="A10" s="140">
        <v>5</v>
      </c>
      <c r="B10" s="133" t="s">
        <v>26</v>
      </c>
      <c r="C10" s="134" t="s">
        <v>27</v>
      </c>
      <c r="D10" s="33">
        <v>999666144.84000003</v>
      </c>
      <c r="E10" s="30">
        <f t="shared" si="0"/>
        <v>2.7304695690659679E-2</v>
      </c>
      <c r="F10" s="33">
        <v>1.2943</v>
      </c>
      <c r="G10" s="33">
        <v>1.3090999999999999</v>
      </c>
      <c r="H10" s="32">
        <v>509</v>
      </c>
      <c r="I10" s="50">
        <v>-1.8100000000000002E-2</v>
      </c>
      <c r="J10" s="50">
        <v>4.4200000000000003E-2</v>
      </c>
      <c r="K10" s="33">
        <v>991477338.55999994</v>
      </c>
      <c r="L10" s="30">
        <f t="shared" si="1"/>
        <v>2.7027834478002482E-2</v>
      </c>
      <c r="M10" s="33">
        <v>1.2844</v>
      </c>
      <c r="N10" s="33">
        <v>1.2992999999999999</v>
      </c>
      <c r="O10" s="32">
        <v>509</v>
      </c>
      <c r="P10" s="50">
        <v>-7.6E-3</v>
      </c>
      <c r="Q10" s="50">
        <v>3.6299999999999999E-2</v>
      </c>
      <c r="R10" s="56">
        <f t="shared" si="2"/>
        <v>-8.1915410682540796E-3</v>
      </c>
      <c r="S10" s="56">
        <f t="shared" si="3"/>
        <v>-7.4860591245894366E-3</v>
      </c>
      <c r="T10" s="56">
        <f t="shared" si="4"/>
        <v>0</v>
      </c>
      <c r="U10" s="57">
        <f t="shared" si="5"/>
        <v>1.0500000000000002E-2</v>
      </c>
      <c r="V10" s="58">
        <f t="shared" si="6"/>
        <v>-7.9000000000000042E-3</v>
      </c>
    </row>
    <row r="11" spans="1:25">
      <c r="A11" s="140">
        <v>6</v>
      </c>
      <c r="B11" s="133" t="s">
        <v>28</v>
      </c>
      <c r="C11" s="134" t="s">
        <v>29</v>
      </c>
      <c r="D11" s="35">
        <v>112265235.62</v>
      </c>
      <c r="E11" s="30">
        <f t="shared" si="0"/>
        <v>3.0663918259779921E-3</v>
      </c>
      <c r="F11" s="33">
        <v>179.88550000000001</v>
      </c>
      <c r="G11" s="33">
        <v>180.77719999999999</v>
      </c>
      <c r="H11" s="34">
        <v>70</v>
      </c>
      <c r="I11" s="51">
        <v>5.7949999999999998E-3</v>
      </c>
      <c r="J11" s="51">
        <v>4.6600000000000003E-2</v>
      </c>
      <c r="K11" s="35">
        <v>111159754.87</v>
      </c>
      <c r="L11" s="30">
        <f t="shared" si="1"/>
        <v>3.0302331060891681E-3</v>
      </c>
      <c r="M11" s="33">
        <v>163.7766</v>
      </c>
      <c r="N11" s="33">
        <v>164.5822</v>
      </c>
      <c r="O11" s="34">
        <v>70</v>
      </c>
      <c r="P11" s="51">
        <v>-8.2299999999999995E-4</v>
      </c>
      <c r="Q11" s="51">
        <v>3.9399999999999998E-2</v>
      </c>
      <c r="R11" s="56">
        <f t="shared" si="2"/>
        <v>-9.8470443133605208E-3</v>
      </c>
      <c r="S11" s="56">
        <f t="shared" si="3"/>
        <v>-8.9585412319695149E-2</v>
      </c>
      <c r="T11" s="56">
        <f t="shared" si="4"/>
        <v>0</v>
      </c>
      <c r="U11" s="57">
        <f t="shared" si="5"/>
        <v>-6.6179999999999998E-3</v>
      </c>
      <c r="V11" s="58">
        <f t="shared" si="6"/>
        <v>-7.200000000000005E-3</v>
      </c>
    </row>
    <row r="12" spans="1:25">
      <c r="A12" s="140">
        <v>7</v>
      </c>
      <c r="B12" s="133" t="s">
        <v>30</v>
      </c>
      <c r="C12" s="134" t="s">
        <v>31</v>
      </c>
      <c r="D12" s="33">
        <v>1455544419.01</v>
      </c>
      <c r="E12" s="30">
        <f t="shared" si="0"/>
        <v>3.9756470328068505E-2</v>
      </c>
      <c r="F12" s="33">
        <v>356.05</v>
      </c>
      <c r="G12" s="33">
        <v>360.76</v>
      </c>
      <c r="H12" s="34">
        <v>1675</v>
      </c>
      <c r="I12" s="51">
        <v>2.9999999999999997E-4</v>
      </c>
      <c r="J12" s="51">
        <v>9.9599999999999994E-2</v>
      </c>
      <c r="K12" s="33">
        <v>1449351634.22</v>
      </c>
      <c r="L12" s="30">
        <f t="shared" si="1"/>
        <v>3.9509562696626359E-2</v>
      </c>
      <c r="M12" s="33">
        <v>354.37</v>
      </c>
      <c r="N12" s="33">
        <v>359</v>
      </c>
      <c r="O12" s="34">
        <v>1677</v>
      </c>
      <c r="P12" s="51">
        <v>-4.7999999999999996E-3</v>
      </c>
      <c r="Q12" s="51">
        <v>9.4299999999999995E-2</v>
      </c>
      <c r="R12" s="56">
        <f t="shared" si="2"/>
        <v>-4.2546175225707181E-3</v>
      </c>
      <c r="S12" s="56">
        <f t="shared" si="3"/>
        <v>-4.8785896440846849E-3</v>
      </c>
      <c r="T12" s="56">
        <f t="shared" si="4"/>
        <v>1.1940298507462687E-3</v>
      </c>
      <c r="U12" s="57">
        <f t="shared" si="5"/>
        <v>-5.0999999999999995E-3</v>
      </c>
      <c r="V12" s="58">
        <f t="shared" si="6"/>
        <v>-5.2999999999999992E-3</v>
      </c>
    </row>
    <row r="13" spans="1:25">
      <c r="A13" s="140">
        <v>8</v>
      </c>
      <c r="B13" s="133" t="s">
        <v>32</v>
      </c>
      <c r="C13" s="134" t="s">
        <v>33</v>
      </c>
      <c r="D13" s="29">
        <v>388287684.58999997</v>
      </c>
      <c r="E13" s="30">
        <f t="shared" si="0"/>
        <v>1.0605617808391116E-2</v>
      </c>
      <c r="F13" s="33">
        <v>214.63</v>
      </c>
      <c r="G13" s="33">
        <v>219.64</v>
      </c>
      <c r="H13" s="32">
        <v>2468</v>
      </c>
      <c r="I13" s="50">
        <v>-1.226E-2</v>
      </c>
      <c r="J13" s="50">
        <v>2.291E-2</v>
      </c>
      <c r="K13" s="29">
        <v>429753593.38</v>
      </c>
      <c r="L13" s="30">
        <f t="shared" si="1"/>
        <v>1.1715153273267187E-2</v>
      </c>
      <c r="M13" s="33">
        <v>214.17</v>
      </c>
      <c r="N13" s="33">
        <v>219.1</v>
      </c>
      <c r="O13" s="32">
        <v>2468</v>
      </c>
      <c r="P13" s="50">
        <v>2.9000000000000001E-2</v>
      </c>
      <c r="Q13" s="50">
        <v>-1.226E-2</v>
      </c>
      <c r="R13" s="56">
        <f t="shared" si="2"/>
        <v>0.10679171767650737</v>
      </c>
      <c r="S13" s="56">
        <f t="shared" si="3"/>
        <v>-2.4585685667455476E-3</v>
      </c>
      <c r="T13" s="56">
        <f t="shared" si="4"/>
        <v>0</v>
      </c>
      <c r="U13" s="57">
        <f t="shared" si="5"/>
        <v>4.1260000000000005E-2</v>
      </c>
      <c r="V13" s="58">
        <f t="shared" si="6"/>
        <v>-3.517E-2</v>
      </c>
    </row>
    <row r="14" spans="1:25">
      <c r="A14" s="140">
        <v>9</v>
      </c>
      <c r="B14" s="133" t="s">
        <v>34</v>
      </c>
      <c r="C14" s="134" t="s">
        <v>35</v>
      </c>
      <c r="D14" s="35">
        <v>64013223.57</v>
      </c>
      <c r="E14" s="30">
        <f t="shared" si="0"/>
        <v>1.7484453172481546E-3</v>
      </c>
      <c r="F14" s="33">
        <v>224.94</v>
      </c>
      <c r="G14" s="33">
        <v>232.04</v>
      </c>
      <c r="H14" s="32">
        <v>18</v>
      </c>
      <c r="I14" s="50">
        <v>-8.5000000000000006E-3</v>
      </c>
      <c r="J14" s="50">
        <v>1.8100000000000002E-2</v>
      </c>
      <c r="K14" s="35">
        <v>64331390.829999998</v>
      </c>
      <c r="L14" s="30">
        <f t="shared" si="1"/>
        <v>1.7536842401443408E-3</v>
      </c>
      <c r="M14" s="33">
        <v>226.05</v>
      </c>
      <c r="N14" s="33">
        <v>233.19</v>
      </c>
      <c r="O14" s="32">
        <v>18</v>
      </c>
      <c r="P14" s="50">
        <v>5.0000000000000001E-3</v>
      </c>
      <c r="Q14" s="50">
        <v>2.3099999999999999E-2</v>
      </c>
      <c r="R14" s="56">
        <f t="shared" si="2"/>
        <v>4.970336475120244E-3</v>
      </c>
      <c r="S14" s="56">
        <f t="shared" si="3"/>
        <v>4.9560420617135222E-3</v>
      </c>
      <c r="T14" s="56">
        <f t="shared" si="4"/>
        <v>0</v>
      </c>
      <c r="U14" s="57">
        <f t="shared" si="5"/>
        <v>1.3500000000000002E-2</v>
      </c>
      <c r="V14" s="58">
        <f t="shared" si="6"/>
        <v>4.9999999999999975E-3</v>
      </c>
    </row>
    <row r="15" spans="1:25" ht="14.25" customHeight="1">
      <c r="A15" s="140">
        <v>10</v>
      </c>
      <c r="B15" s="133" t="s">
        <v>36</v>
      </c>
      <c r="C15" s="134" t="s">
        <v>37</v>
      </c>
      <c r="D15" s="29">
        <v>774772355.62</v>
      </c>
      <c r="E15" s="30">
        <f t="shared" si="0"/>
        <v>2.1161988438775807E-2</v>
      </c>
      <c r="F15" s="33">
        <v>2.5665770000000001</v>
      </c>
      <c r="G15" s="33">
        <v>2.5665770000000001</v>
      </c>
      <c r="H15" s="32">
        <v>502</v>
      </c>
      <c r="I15" s="50">
        <v>4.8406299709540246E-3</v>
      </c>
      <c r="J15" s="50">
        <v>0.22529117993456738</v>
      </c>
      <c r="K15" s="29">
        <v>768920386.64999998</v>
      </c>
      <c r="L15" s="30">
        <f t="shared" si="1"/>
        <v>2.096089555341886E-2</v>
      </c>
      <c r="M15" s="33">
        <v>2.5121560000000001</v>
      </c>
      <c r="N15" s="33">
        <v>2.5121560000000001</v>
      </c>
      <c r="O15" s="32">
        <v>506</v>
      </c>
      <c r="P15" s="50">
        <v>-2.1203727766593405E-2</v>
      </c>
      <c r="Q15" s="50">
        <v>0.1993104393204268</v>
      </c>
      <c r="R15" s="56">
        <f t="shared" si="2"/>
        <v>-7.553146324273635E-3</v>
      </c>
      <c r="S15" s="56">
        <f t="shared" si="3"/>
        <v>-2.1203727766593423E-2</v>
      </c>
      <c r="T15" s="56">
        <f t="shared" si="4"/>
        <v>7.9681274900398405E-3</v>
      </c>
      <c r="U15" s="57">
        <f t="shared" si="5"/>
        <v>-2.604435773754743E-2</v>
      </c>
      <c r="V15" s="58">
        <f t="shared" si="6"/>
        <v>-2.5980740614140574E-2</v>
      </c>
    </row>
    <row r="16" spans="1:25" ht="14.25" customHeight="1">
      <c r="A16" s="140">
        <v>11</v>
      </c>
      <c r="B16" s="133" t="s">
        <v>38</v>
      </c>
      <c r="C16" s="134" t="s">
        <v>39</v>
      </c>
      <c r="D16" s="29">
        <v>37246246.18</v>
      </c>
      <c r="E16" s="30">
        <f t="shared" si="0"/>
        <v>1.0173370607915E-3</v>
      </c>
      <c r="F16" s="33">
        <v>15.68</v>
      </c>
      <c r="G16" s="33">
        <v>16.190000000000001</v>
      </c>
      <c r="H16" s="32">
        <v>29</v>
      </c>
      <c r="I16" s="50">
        <v>-1.4E-2</v>
      </c>
      <c r="J16" s="50">
        <v>0.54</v>
      </c>
      <c r="K16" s="29">
        <v>37220556.68</v>
      </c>
      <c r="L16" s="30">
        <f t="shared" si="1"/>
        <v>1.0146384652494722E-3</v>
      </c>
      <c r="M16" s="33">
        <v>15.67</v>
      </c>
      <c r="N16" s="33">
        <v>16.18</v>
      </c>
      <c r="O16" s="32">
        <v>29</v>
      </c>
      <c r="P16" s="50">
        <v>-2.9999999999999997E-4</v>
      </c>
      <c r="Q16" s="50">
        <v>0.54</v>
      </c>
      <c r="R16" s="56">
        <f t="shared" ref="R16" si="7">((K16-D16)/D16)</f>
        <v>-6.897205123933915E-4</v>
      </c>
      <c r="S16" s="56">
        <f t="shared" ref="S16" si="8">((N16-G16)/G16)</f>
        <v>-6.1766522544790382E-4</v>
      </c>
      <c r="T16" s="56">
        <f t="shared" ref="T16" si="9">((O16-H16)/H16)</f>
        <v>0</v>
      </c>
      <c r="U16" s="57">
        <f t="shared" ref="U16" si="10">P16-I16</f>
        <v>1.37E-2</v>
      </c>
      <c r="V16" s="58">
        <f t="shared" ref="V16" si="11">Q16-J16</f>
        <v>0</v>
      </c>
    </row>
    <row r="17" spans="1:22">
      <c r="A17" s="140">
        <v>12</v>
      </c>
      <c r="B17" s="133" t="s">
        <v>40</v>
      </c>
      <c r="C17" s="134" t="s">
        <v>41</v>
      </c>
      <c r="D17" s="129">
        <v>1884559038.7</v>
      </c>
      <c r="E17" s="30">
        <f t="shared" si="0"/>
        <v>5.1474496088913316E-2</v>
      </c>
      <c r="F17" s="33">
        <v>3.84</v>
      </c>
      <c r="G17" s="33">
        <v>3.93</v>
      </c>
      <c r="H17" s="32">
        <v>3651</v>
      </c>
      <c r="I17" s="50">
        <v>-1.6299999999999999E-2</v>
      </c>
      <c r="J17" s="50">
        <v>5.6099999999999997E-2</v>
      </c>
      <c r="K17" s="129">
        <v>1860771233.28</v>
      </c>
      <c r="L17" s="30">
        <f t="shared" si="1"/>
        <v>5.0724928284860533E-2</v>
      </c>
      <c r="M17" s="33">
        <v>3.79</v>
      </c>
      <c r="N17" s="33">
        <v>3.88</v>
      </c>
      <c r="O17" s="32">
        <v>3651</v>
      </c>
      <c r="P17" s="50">
        <v>-2.3E-2</v>
      </c>
      <c r="Q17" s="50">
        <v>4.2799999999999998E-2</v>
      </c>
      <c r="R17" s="56">
        <f t="shared" si="2"/>
        <v>-1.2622478219843565E-2</v>
      </c>
      <c r="S17" s="56">
        <f t="shared" si="3"/>
        <v>-1.2722646310432637E-2</v>
      </c>
      <c r="T17" s="56">
        <f t="shared" si="4"/>
        <v>0</v>
      </c>
      <c r="U17" s="57">
        <f t="shared" si="5"/>
        <v>-6.7000000000000011E-3</v>
      </c>
      <c r="V17" s="58">
        <f t="shared" si="6"/>
        <v>-1.3299999999999999E-2</v>
      </c>
    </row>
    <row r="18" spans="1:22">
      <c r="A18" s="140">
        <v>13</v>
      </c>
      <c r="B18" s="133" t="s">
        <v>42</v>
      </c>
      <c r="C18" s="134" t="s">
        <v>43</v>
      </c>
      <c r="D18" s="33">
        <v>948065503.75999999</v>
      </c>
      <c r="E18" s="30">
        <f t="shared" si="0"/>
        <v>2.5895285349612409E-2</v>
      </c>
      <c r="F18" s="33">
        <v>25.359936999999999</v>
      </c>
      <c r="G18" s="33">
        <v>25.501306</v>
      </c>
      <c r="H18" s="32">
        <v>478</v>
      </c>
      <c r="I18" s="50">
        <v>-1.0322718718929869E-2</v>
      </c>
      <c r="J18" s="50">
        <v>4.3945479894202277E-2</v>
      </c>
      <c r="K18" s="33">
        <v>931472171.20999992</v>
      </c>
      <c r="L18" s="30">
        <f t="shared" si="1"/>
        <v>2.5392083797794177E-2</v>
      </c>
      <c r="M18" s="33">
        <v>24.904686999999999</v>
      </c>
      <c r="N18" s="33">
        <v>25.054817</v>
      </c>
      <c r="O18" s="32">
        <v>478</v>
      </c>
      <c r="P18" s="50">
        <v>-1.7951543018423055E-2</v>
      </c>
      <c r="Q18" s="50">
        <v>2.5205047702993033E-2</v>
      </c>
      <c r="R18" s="56">
        <f t="shared" si="2"/>
        <v>-1.7502305994882634E-2</v>
      </c>
      <c r="S18" s="56">
        <f t="shared" si="3"/>
        <v>-1.7508475840413807E-2</v>
      </c>
      <c r="T18" s="56">
        <f t="shared" si="4"/>
        <v>0</v>
      </c>
      <c r="U18" s="57">
        <f t="shared" si="5"/>
        <v>-7.6288242994931865E-3</v>
      </c>
      <c r="V18" s="58">
        <f t="shared" si="6"/>
        <v>-1.8740432191209244E-2</v>
      </c>
    </row>
    <row r="19" spans="1:22">
      <c r="A19" s="140">
        <v>14</v>
      </c>
      <c r="B19" s="133" t="s">
        <v>44</v>
      </c>
      <c r="C19" s="134" t="s">
        <v>45</v>
      </c>
      <c r="D19" s="33">
        <v>139086819.19</v>
      </c>
      <c r="E19" s="30">
        <f t="shared" si="0"/>
        <v>3.7989915855083734E-3</v>
      </c>
      <c r="F19" s="33">
        <v>1.494567</v>
      </c>
      <c r="G19" s="33">
        <v>1.5539689999999999</v>
      </c>
      <c r="H19" s="32">
        <v>23</v>
      </c>
      <c r="I19" s="50">
        <v>1.26E-2</v>
      </c>
      <c r="J19" s="50">
        <v>7.2999999999999995E-2</v>
      </c>
      <c r="K19" s="33">
        <v>135531335.16</v>
      </c>
      <c r="L19" s="30">
        <f t="shared" si="1"/>
        <v>3.6946063725545068E-3</v>
      </c>
      <c r="M19" s="33">
        <v>1.46</v>
      </c>
      <c r="N19" s="33">
        <v>1.52</v>
      </c>
      <c r="O19" s="32">
        <v>23</v>
      </c>
      <c r="P19" s="50">
        <v>-2.98E-2</v>
      </c>
      <c r="Q19" s="50">
        <v>4.6300000000000001E-2</v>
      </c>
      <c r="R19" s="56">
        <f t="shared" si="2"/>
        <v>-2.5563055152933081E-2</v>
      </c>
      <c r="S19" s="56">
        <f t="shared" si="3"/>
        <v>-2.1859509423933113E-2</v>
      </c>
      <c r="T19" s="56">
        <f t="shared" si="4"/>
        <v>0</v>
      </c>
      <c r="U19" s="57">
        <f t="shared" si="5"/>
        <v>-4.24E-2</v>
      </c>
      <c r="V19" s="58">
        <f t="shared" si="6"/>
        <v>-2.6699999999999995E-2</v>
      </c>
    </row>
    <row r="20" spans="1:22">
      <c r="A20" s="140">
        <v>15</v>
      </c>
      <c r="B20" s="133" t="s">
        <v>46</v>
      </c>
      <c r="C20" s="134" t="s">
        <v>47</v>
      </c>
      <c r="D20" s="29">
        <v>2488646982.48</v>
      </c>
      <c r="E20" s="30">
        <f t="shared" si="0"/>
        <v>6.7974442156356882E-2</v>
      </c>
      <c r="F20" s="33">
        <v>32.65</v>
      </c>
      <c r="G20" s="33">
        <v>33.35</v>
      </c>
      <c r="H20" s="32">
        <v>8944</v>
      </c>
      <c r="I20" s="50">
        <v>-1.34E-2</v>
      </c>
      <c r="J20" s="50">
        <v>4.9299999999999997E-2</v>
      </c>
      <c r="K20" s="29">
        <v>2529817570.1199999</v>
      </c>
      <c r="L20" s="30">
        <f t="shared" si="1"/>
        <v>6.8963240898730849E-2</v>
      </c>
      <c r="M20" s="33">
        <v>32.869999999999997</v>
      </c>
      <c r="N20" s="33">
        <v>33.56</v>
      </c>
      <c r="O20" s="32">
        <v>8944</v>
      </c>
      <c r="P20" s="50">
        <v>6.6E-3</v>
      </c>
      <c r="Q20" s="50">
        <v>5.6300000000000003E-2</v>
      </c>
      <c r="R20" s="56">
        <f t="shared" si="2"/>
        <v>1.6543361886936784E-2</v>
      </c>
      <c r="S20" s="56">
        <f t="shared" si="3"/>
        <v>6.2968515742129185E-3</v>
      </c>
      <c r="T20" s="56">
        <f t="shared" si="4"/>
        <v>0</v>
      </c>
      <c r="U20" s="57">
        <f t="shared" si="5"/>
        <v>0.02</v>
      </c>
      <c r="V20" s="58">
        <f t="shared" si="6"/>
        <v>7.0000000000000062E-3</v>
      </c>
    </row>
    <row r="21" spans="1:22" ht="12.75" customHeight="1">
      <c r="A21" s="140">
        <v>16</v>
      </c>
      <c r="B21" s="133" t="s">
        <v>48</v>
      </c>
      <c r="C21" s="134" t="s">
        <v>49</v>
      </c>
      <c r="D21" s="33">
        <v>871065380.59000003</v>
      </c>
      <c r="E21" s="30">
        <f t="shared" si="0"/>
        <v>2.379211826512875E-2</v>
      </c>
      <c r="F21" s="33">
        <v>8618.7800000000007</v>
      </c>
      <c r="G21" s="33">
        <v>8735.02</v>
      </c>
      <c r="H21" s="32">
        <v>21</v>
      </c>
      <c r="I21" s="50">
        <v>-8.8000000000000005E-3</v>
      </c>
      <c r="J21" s="50">
        <v>7.6899999999999996E-2</v>
      </c>
      <c r="K21" s="33">
        <v>871308288.61000001</v>
      </c>
      <c r="L21" s="30">
        <f t="shared" si="1"/>
        <v>2.3752006513901355E-2</v>
      </c>
      <c r="M21" s="33">
        <v>8621.24</v>
      </c>
      <c r="N21" s="33">
        <v>8737.42</v>
      </c>
      <c r="O21" s="32">
        <v>21</v>
      </c>
      <c r="P21" s="50">
        <v>2.9999999999999997E-4</v>
      </c>
      <c r="Q21" s="50">
        <v>7.7200000000000005E-2</v>
      </c>
      <c r="R21" s="56">
        <f t="shared" si="2"/>
        <v>2.7886313176107592E-4</v>
      </c>
      <c r="S21" s="56">
        <f t="shared" si="3"/>
        <v>2.7475609672326294E-4</v>
      </c>
      <c r="T21" s="56">
        <f t="shared" si="4"/>
        <v>0</v>
      </c>
      <c r="U21" s="57">
        <f t="shared" si="5"/>
        <v>9.1000000000000004E-3</v>
      </c>
      <c r="V21" s="58">
        <f t="shared" si="6"/>
        <v>3.0000000000000859E-4</v>
      </c>
    </row>
    <row r="22" spans="1:22">
      <c r="A22" s="140">
        <v>17</v>
      </c>
      <c r="B22" s="133" t="s">
        <v>50</v>
      </c>
      <c r="C22" s="134" t="s">
        <v>49</v>
      </c>
      <c r="D22" s="33">
        <v>13522984319.77</v>
      </c>
      <c r="E22" s="30">
        <f t="shared" si="0"/>
        <v>0.36936428585363429</v>
      </c>
      <c r="F22" s="33">
        <v>26814.87</v>
      </c>
      <c r="G22" s="33">
        <v>27213.79</v>
      </c>
      <c r="H22" s="32">
        <v>17648</v>
      </c>
      <c r="I22" s="50">
        <v>-1.26E-2</v>
      </c>
      <c r="J22" s="50">
        <v>5.8799999999999998E-2</v>
      </c>
      <c r="K22" s="33">
        <v>13503942611.049999</v>
      </c>
      <c r="L22" s="30">
        <f t="shared" si="1"/>
        <v>0.36811968513773236</v>
      </c>
      <c r="M22" s="33">
        <v>26792.07</v>
      </c>
      <c r="N22" s="33">
        <v>27190.75</v>
      </c>
      <c r="O22" s="32">
        <v>17664</v>
      </c>
      <c r="P22" s="50">
        <v>-8.0000000000000004E-4</v>
      </c>
      <c r="Q22" s="50">
        <v>5.79E-2</v>
      </c>
      <c r="R22" s="56">
        <f t="shared" si="2"/>
        <v>-1.4080995932357248E-3</v>
      </c>
      <c r="S22" s="56">
        <f t="shared" si="3"/>
        <v>-8.4662959477532795E-4</v>
      </c>
      <c r="T22" s="56">
        <f t="shared" si="4"/>
        <v>9.0661831368993653E-4</v>
      </c>
      <c r="U22" s="57">
        <f t="shared" si="5"/>
        <v>1.18E-2</v>
      </c>
      <c r="V22" s="58">
        <f t="shared" si="6"/>
        <v>-8.9999999999999802E-4</v>
      </c>
    </row>
    <row r="23" spans="1:22">
      <c r="A23" s="140">
        <v>18</v>
      </c>
      <c r="B23" s="134" t="s">
        <v>51</v>
      </c>
      <c r="C23" s="134" t="s">
        <v>52</v>
      </c>
      <c r="D23" s="33">
        <v>4121183379.6199999</v>
      </c>
      <c r="E23" s="30">
        <f t="shared" ref="E23" si="12">(D23/$D$25)</f>
        <v>0.11256523855165559</v>
      </c>
      <c r="F23" s="33">
        <v>1.6146</v>
      </c>
      <c r="G23" s="31">
        <v>1.6304000000000001</v>
      </c>
      <c r="H23" s="32">
        <v>4795</v>
      </c>
      <c r="I23" s="50">
        <v>-5.9999999999999995E-4</v>
      </c>
      <c r="J23" s="50">
        <v>8.2400000000000001E-2</v>
      </c>
      <c r="K23" s="33">
        <v>4102594600.98</v>
      </c>
      <c r="L23" s="30">
        <f t="shared" ref="L23" si="13">(K23/$K$25)</f>
        <v>0.11183740010304213</v>
      </c>
      <c r="M23" s="33">
        <v>1.6112</v>
      </c>
      <c r="N23" s="31">
        <v>1.6271</v>
      </c>
      <c r="O23" s="32">
        <v>4807</v>
      </c>
      <c r="P23" s="50">
        <v>-2.0999999999999999E-3</v>
      </c>
      <c r="Q23" s="50">
        <v>8.0100000000000005E-2</v>
      </c>
      <c r="R23" s="56">
        <f t="shared" ref="R23" si="14">((K23-D23)/D23)</f>
        <v>-4.510543920934155E-3</v>
      </c>
      <c r="S23" s="56">
        <f t="shared" ref="S23" si="15">((N23-G23)/G23)</f>
        <v>-2.0240431795878807E-3</v>
      </c>
      <c r="T23" s="56">
        <f t="shared" ref="T23" si="16">((O23-H23)/H23)</f>
        <v>2.5026068821689261E-3</v>
      </c>
      <c r="U23" s="57">
        <f t="shared" ref="U23" si="17">P23-I23</f>
        <v>-1.5E-3</v>
      </c>
      <c r="V23" s="58">
        <f t="shared" ref="V23" si="18">Q23-J23</f>
        <v>-2.2999999999999965E-3</v>
      </c>
    </row>
    <row r="24" spans="1:22">
      <c r="A24" s="140">
        <v>19</v>
      </c>
      <c r="B24" s="134" t="s">
        <v>297</v>
      </c>
      <c r="C24" s="134" t="s">
        <v>298</v>
      </c>
      <c r="D24" s="33">
        <v>2078116009.3800001</v>
      </c>
      <c r="E24" s="30">
        <f>(D24/$D$25)</f>
        <v>5.6761275290652939E-2</v>
      </c>
      <c r="F24" s="33">
        <v>127.19</v>
      </c>
      <c r="G24" s="31">
        <v>131.71</v>
      </c>
      <c r="H24" s="32">
        <v>34</v>
      </c>
      <c r="I24" s="50">
        <v>-2.1600000000000001E-2</v>
      </c>
      <c r="J24" s="50">
        <v>5.7099999999999998E-2</v>
      </c>
      <c r="K24" s="33">
        <v>2163813023.2800002</v>
      </c>
      <c r="L24" s="30">
        <f>(K24/$K$25)</f>
        <v>5.8985897064977477E-2</v>
      </c>
      <c r="M24" s="33">
        <v>127.47</v>
      </c>
      <c r="N24" s="31">
        <v>131.65</v>
      </c>
      <c r="O24" s="32">
        <v>35</v>
      </c>
      <c r="P24" s="50">
        <v>5.9999999999999995E-4</v>
      </c>
      <c r="Q24" s="50">
        <v>5.7700000000000001E-2</v>
      </c>
      <c r="R24" s="56">
        <f t="shared" si="2"/>
        <v>4.1237839231875968E-2</v>
      </c>
      <c r="S24" s="56">
        <f t="shared" si="3"/>
        <v>-4.5554627590921169E-4</v>
      </c>
      <c r="T24" s="56">
        <f t="shared" si="4"/>
        <v>2.9411764705882353E-2</v>
      </c>
      <c r="U24" s="57">
        <f t="shared" si="5"/>
        <v>2.2200000000000001E-2</v>
      </c>
      <c r="V24" s="58">
        <f t="shared" si="6"/>
        <v>6.0000000000000331E-4</v>
      </c>
    </row>
    <row r="25" spans="1:22">
      <c r="A25" s="36"/>
      <c r="B25" s="37"/>
      <c r="C25" s="38" t="s">
        <v>53</v>
      </c>
      <c r="D25" s="39">
        <f>SUM(D6:D24)</f>
        <v>36611510201.959999</v>
      </c>
      <c r="E25" s="40">
        <f>(D25/$D$221)</f>
        <v>7.2825307786102611E-3</v>
      </c>
      <c r="F25" s="41"/>
      <c r="G25" s="42"/>
      <c r="H25" s="43">
        <f>SUM(H6:H24)</f>
        <v>51769</v>
      </c>
      <c r="I25" s="52"/>
      <c r="J25" s="32">
        <v>0</v>
      </c>
      <c r="K25" s="39">
        <f>SUM(K6:K24)</f>
        <v>36683565580.029999</v>
      </c>
      <c r="L25" s="40">
        <f>(K25/$K$221)</f>
        <v>7.238077897370623E-3</v>
      </c>
      <c r="M25" s="41"/>
      <c r="N25" s="42"/>
      <c r="O25" s="43">
        <f>SUM(O6:O24)</f>
        <v>51801</v>
      </c>
      <c r="P25" s="52"/>
      <c r="Q25" s="43"/>
      <c r="R25" s="56">
        <f t="shared" si="2"/>
        <v>1.9681072338322229E-3</v>
      </c>
      <c r="S25" s="56" t="e">
        <f t="shared" si="3"/>
        <v>#DIV/0!</v>
      </c>
      <c r="T25" s="56">
        <f t="shared" si="4"/>
        <v>6.1813054144372118E-4</v>
      </c>
      <c r="U25" s="57">
        <f t="shared" si="5"/>
        <v>0</v>
      </c>
      <c r="V25" s="58">
        <f t="shared" si="6"/>
        <v>0</v>
      </c>
    </row>
    <row r="26" spans="1:22" ht="4.5" customHeight="1">
      <c r="A26" s="36"/>
      <c r="B26" s="177"/>
      <c r="C26" s="177"/>
      <c r="D26" s="177"/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</row>
    <row r="27" spans="1:22" ht="15" customHeight="1">
      <c r="A27" s="176" t="s">
        <v>54</v>
      </c>
      <c r="B27" s="176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176"/>
      <c r="T27" s="176"/>
      <c r="U27" s="176"/>
      <c r="V27" s="176"/>
    </row>
    <row r="28" spans="1:22">
      <c r="A28" s="135">
        <v>20</v>
      </c>
      <c r="B28" s="133" t="s">
        <v>55</v>
      </c>
      <c r="C28" s="134" t="s">
        <v>19</v>
      </c>
      <c r="D28" s="44">
        <v>2955003366.4200001</v>
      </c>
      <c r="E28" s="30">
        <f>(D28/$K$69)</f>
        <v>1.1039524569086069E-3</v>
      </c>
      <c r="F28" s="31">
        <v>100</v>
      </c>
      <c r="G28" s="31">
        <v>100</v>
      </c>
      <c r="H28" s="32">
        <v>1166</v>
      </c>
      <c r="I28" s="50">
        <v>0.1772</v>
      </c>
      <c r="J28" s="50">
        <v>0.1772</v>
      </c>
      <c r="K28" s="44">
        <v>2992646305.2399998</v>
      </c>
      <c r="L28" s="30">
        <f t="shared" ref="L28:L68" si="19">(K28/$K$69)</f>
        <v>1.1180153900571211E-3</v>
      </c>
      <c r="M28" s="31">
        <v>100</v>
      </c>
      <c r="N28" s="31">
        <v>100</v>
      </c>
      <c r="O28" s="32">
        <v>1166</v>
      </c>
      <c r="P28" s="50">
        <v>0.17469999999999999</v>
      </c>
      <c r="Q28" s="50">
        <v>0.17469999999999999</v>
      </c>
      <c r="R28" s="56">
        <f>((K28-D28)/D28)</f>
        <v>1.2738712668745378E-2</v>
      </c>
      <c r="S28" s="56">
        <f>((N28-G28)/G28)</f>
        <v>0</v>
      </c>
      <c r="T28" s="56">
        <f>((O28-H28)/H28)</f>
        <v>0</v>
      </c>
      <c r="U28" s="57">
        <f>P28-I28</f>
        <v>-2.5000000000000022E-3</v>
      </c>
      <c r="V28" s="58">
        <f>Q28-J28</f>
        <v>-2.5000000000000022E-3</v>
      </c>
    </row>
    <row r="29" spans="1:22">
      <c r="A29" s="135">
        <v>21</v>
      </c>
      <c r="B29" s="133" t="s">
        <v>56</v>
      </c>
      <c r="C29" s="134" t="s">
        <v>57</v>
      </c>
      <c r="D29" s="44">
        <v>18633097887.98</v>
      </c>
      <c r="E29" s="30">
        <f t="shared" ref="E29:E68" si="20">(D29/$K$69)</f>
        <v>6.9610933195567923E-3</v>
      </c>
      <c r="F29" s="31">
        <v>100</v>
      </c>
      <c r="G29" s="31">
        <v>100</v>
      </c>
      <c r="H29" s="32">
        <v>2604</v>
      </c>
      <c r="I29" s="50">
        <v>0.201682</v>
      </c>
      <c r="J29" s="50">
        <v>0.201682</v>
      </c>
      <c r="K29" s="44">
        <v>18840498842.810001</v>
      </c>
      <c r="L29" s="30">
        <f t="shared" si="19"/>
        <v>7.038575733367765E-3</v>
      </c>
      <c r="M29" s="31">
        <v>100</v>
      </c>
      <c r="N29" s="31">
        <v>100</v>
      </c>
      <c r="O29" s="32">
        <v>2636</v>
      </c>
      <c r="P29" s="50">
        <v>0.210484</v>
      </c>
      <c r="Q29" s="50">
        <v>0.210484</v>
      </c>
      <c r="R29" s="56">
        <f t="shared" ref="R29:R69" si="21">((K29-D29)/D29)</f>
        <v>1.1130782228316089E-2</v>
      </c>
      <c r="S29" s="56">
        <f t="shared" ref="S29:S69" si="22">((N29-G29)/G29)</f>
        <v>0</v>
      </c>
      <c r="T29" s="56">
        <f t="shared" ref="T29:T69" si="23">((O29-H29)/H29)</f>
        <v>1.2288786482334869E-2</v>
      </c>
      <c r="U29" s="57">
        <f t="shared" ref="U29:U69" si="24">P29-I29</f>
        <v>8.8020000000000043E-3</v>
      </c>
      <c r="V29" s="58">
        <f t="shared" ref="V29:V69" si="25">Q29-J29</f>
        <v>8.8020000000000043E-3</v>
      </c>
    </row>
    <row r="30" spans="1:22">
      <c r="A30" s="135">
        <v>22</v>
      </c>
      <c r="B30" s="133" t="s">
        <v>58</v>
      </c>
      <c r="C30" s="134" t="s">
        <v>21</v>
      </c>
      <c r="D30" s="44">
        <v>1860589181.51</v>
      </c>
      <c r="E30" s="30">
        <f t="shared" si="20"/>
        <v>6.9509294695456513E-4</v>
      </c>
      <c r="F30" s="31">
        <v>100</v>
      </c>
      <c r="G30" s="31">
        <v>100</v>
      </c>
      <c r="H30" s="32">
        <v>1948</v>
      </c>
      <c r="I30" s="50">
        <v>0.1971</v>
      </c>
      <c r="J30" s="50">
        <v>0.1971</v>
      </c>
      <c r="K30" s="44">
        <v>2115999699.7</v>
      </c>
      <c r="L30" s="30">
        <f t="shared" si="19"/>
        <v>7.9051113573915118E-4</v>
      </c>
      <c r="M30" s="31">
        <v>100</v>
      </c>
      <c r="N30" s="31">
        <v>100</v>
      </c>
      <c r="O30" s="32">
        <v>1952</v>
      </c>
      <c r="P30" s="50">
        <v>0.1958</v>
      </c>
      <c r="Q30" s="50">
        <v>0.1958</v>
      </c>
      <c r="R30" s="56">
        <f t="shared" si="21"/>
        <v>0.1372739994020154</v>
      </c>
      <c r="S30" s="56">
        <f t="shared" si="22"/>
        <v>0</v>
      </c>
      <c r="T30" s="56">
        <f t="shared" si="23"/>
        <v>2.0533880903490761E-3</v>
      </c>
      <c r="U30" s="57">
        <f t="shared" si="24"/>
        <v>-1.2999999999999956E-3</v>
      </c>
      <c r="V30" s="58">
        <f t="shared" si="25"/>
        <v>-1.2999999999999956E-3</v>
      </c>
    </row>
    <row r="31" spans="1:22">
      <c r="A31" s="135">
        <v>23</v>
      </c>
      <c r="B31" s="133" t="s">
        <v>59</v>
      </c>
      <c r="C31" s="134" t="s">
        <v>23</v>
      </c>
      <c r="D31" s="44">
        <v>191138935886.82001</v>
      </c>
      <c r="E31" s="30">
        <f t="shared" si="20"/>
        <v>7.1407126056438008E-2</v>
      </c>
      <c r="F31" s="31">
        <v>1</v>
      </c>
      <c r="G31" s="31">
        <v>1</v>
      </c>
      <c r="H31" s="32">
        <v>68275</v>
      </c>
      <c r="I31" s="50">
        <v>0.2177</v>
      </c>
      <c r="J31" s="50">
        <v>0.2177</v>
      </c>
      <c r="K31" s="44">
        <v>193868803631.45001</v>
      </c>
      <c r="L31" s="30">
        <f t="shared" si="19"/>
        <v>7.2426970648821976E-2</v>
      </c>
      <c r="M31" s="31">
        <v>1</v>
      </c>
      <c r="N31" s="31">
        <v>1</v>
      </c>
      <c r="O31" s="32">
        <v>68533</v>
      </c>
      <c r="P31" s="50">
        <v>0.21940000000000001</v>
      </c>
      <c r="Q31" s="50">
        <v>0.21940000000000001</v>
      </c>
      <c r="R31" s="56">
        <f t="shared" si="21"/>
        <v>1.4282112286355168E-2</v>
      </c>
      <c r="S31" s="56">
        <f t="shared" si="22"/>
        <v>0</v>
      </c>
      <c r="T31" s="56">
        <f t="shared" si="23"/>
        <v>3.7788355913584769E-3</v>
      </c>
      <c r="U31" s="57">
        <f t="shared" si="24"/>
        <v>1.7000000000000071E-3</v>
      </c>
      <c r="V31" s="58">
        <f t="shared" si="25"/>
        <v>1.7000000000000071E-3</v>
      </c>
    </row>
    <row r="32" spans="1:22">
      <c r="A32" s="135">
        <v>24</v>
      </c>
      <c r="B32" s="133" t="s">
        <v>306</v>
      </c>
      <c r="C32" s="134" t="s">
        <v>118</v>
      </c>
      <c r="D32" s="44">
        <v>614795532.09000003</v>
      </c>
      <c r="E32" s="30">
        <f t="shared" si="20"/>
        <v>2.2967995429712284E-4</v>
      </c>
      <c r="F32" s="31">
        <v>1</v>
      </c>
      <c r="G32" s="31">
        <v>1</v>
      </c>
      <c r="H32" s="32">
        <v>233</v>
      </c>
      <c r="I32" s="50">
        <v>0.15709999999999999</v>
      </c>
      <c r="J32" s="50">
        <v>0.15709999999999999</v>
      </c>
      <c r="K32" s="44">
        <v>627094038</v>
      </c>
      <c r="L32" s="30">
        <f t="shared" si="19"/>
        <v>2.3427452294294408E-4</v>
      </c>
      <c r="M32" s="31">
        <v>1</v>
      </c>
      <c r="N32" s="31">
        <v>1</v>
      </c>
      <c r="O32" s="32">
        <v>247</v>
      </c>
      <c r="P32" s="50">
        <v>0.2059</v>
      </c>
      <c r="Q32" s="50">
        <v>0.2059</v>
      </c>
      <c r="R32" s="56">
        <f t="shared" si="21"/>
        <v>2.0004221351757622E-2</v>
      </c>
      <c r="S32" s="56">
        <f t="shared" si="22"/>
        <v>0</v>
      </c>
      <c r="T32" s="56">
        <f t="shared" si="23"/>
        <v>6.0085836909871244E-2</v>
      </c>
      <c r="U32" s="57">
        <f t="shared" si="24"/>
        <v>4.880000000000001E-2</v>
      </c>
      <c r="V32" s="58">
        <f t="shared" si="25"/>
        <v>4.880000000000001E-2</v>
      </c>
    </row>
    <row r="33" spans="1:22">
      <c r="A33" s="135">
        <v>25</v>
      </c>
      <c r="B33" s="133" t="s">
        <v>60</v>
      </c>
      <c r="C33" s="134" t="s">
        <v>25</v>
      </c>
      <c r="D33" s="44">
        <v>109008160197.3</v>
      </c>
      <c r="E33" s="30">
        <f t="shared" si="20"/>
        <v>4.0724091092555537E-2</v>
      </c>
      <c r="F33" s="31">
        <v>1</v>
      </c>
      <c r="G33" s="31">
        <v>1</v>
      </c>
      <c r="H33" s="32">
        <v>32825</v>
      </c>
      <c r="I33" s="50">
        <v>0.1973</v>
      </c>
      <c r="J33" s="50">
        <v>0.1973</v>
      </c>
      <c r="K33" s="44">
        <v>110384383675.97</v>
      </c>
      <c r="L33" s="30">
        <f t="shared" si="19"/>
        <v>4.1238231045084145E-2</v>
      </c>
      <c r="M33" s="31">
        <v>1</v>
      </c>
      <c r="N33" s="31">
        <v>1</v>
      </c>
      <c r="O33" s="32">
        <v>32922</v>
      </c>
      <c r="P33" s="50">
        <v>0.1996</v>
      </c>
      <c r="Q33" s="50">
        <v>0.1996</v>
      </c>
      <c r="R33" s="56">
        <f t="shared" si="21"/>
        <v>1.262495831669018E-2</v>
      </c>
      <c r="S33" s="56">
        <f t="shared" si="22"/>
        <v>0</v>
      </c>
      <c r="T33" s="56">
        <f t="shared" si="23"/>
        <v>2.9550647372429549E-3</v>
      </c>
      <c r="U33" s="57">
        <f t="shared" si="24"/>
        <v>2.2999999999999965E-3</v>
      </c>
      <c r="V33" s="58">
        <f t="shared" si="25"/>
        <v>2.2999999999999965E-3</v>
      </c>
    </row>
    <row r="34" spans="1:22">
      <c r="A34" s="135">
        <v>26</v>
      </c>
      <c r="B34" s="133" t="s">
        <v>291</v>
      </c>
      <c r="C34" s="134" t="s">
        <v>27</v>
      </c>
      <c r="D34" s="33">
        <v>4693943363.3599997</v>
      </c>
      <c r="E34" s="30">
        <f t="shared" ref="E34" si="26">(D34/$D$25)</f>
        <v>0.12820949852838109</v>
      </c>
      <c r="F34" s="33">
        <v>1</v>
      </c>
      <c r="G34" s="33">
        <v>1</v>
      </c>
      <c r="H34" s="32">
        <v>699</v>
      </c>
      <c r="I34" s="50">
        <v>0.21160000000000001</v>
      </c>
      <c r="J34" s="50">
        <v>0.21160000000000001</v>
      </c>
      <c r="K34" s="33">
        <v>4728992517.9700003</v>
      </c>
      <c r="L34" s="30">
        <f t="shared" ref="L34" si="27">(K34/$K$25)</f>
        <v>0.12891310981352355</v>
      </c>
      <c r="M34" s="33">
        <v>1</v>
      </c>
      <c r="N34" s="33">
        <v>1</v>
      </c>
      <c r="O34" s="32">
        <v>699</v>
      </c>
      <c r="P34" s="50">
        <v>0.2069</v>
      </c>
      <c r="Q34" s="50">
        <v>0.2069</v>
      </c>
      <c r="R34" s="56">
        <f t="shared" si="21"/>
        <v>7.466889115788535E-3</v>
      </c>
      <c r="S34" s="56">
        <f t="shared" si="22"/>
        <v>0</v>
      </c>
      <c r="T34" s="56">
        <f t="shared" si="23"/>
        <v>0</v>
      </c>
      <c r="U34" s="57">
        <f t="shared" si="24"/>
        <v>-4.7000000000000097E-3</v>
      </c>
      <c r="V34" s="58">
        <f t="shared" si="25"/>
        <v>-4.7000000000000097E-3</v>
      </c>
    </row>
    <row r="35" spans="1:22" ht="15" customHeight="1">
      <c r="A35" s="135">
        <v>27</v>
      </c>
      <c r="B35" s="133" t="s">
        <v>61</v>
      </c>
      <c r="C35" s="134" t="s">
        <v>47</v>
      </c>
      <c r="D35" s="44">
        <v>21092770861</v>
      </c>
      <c r="E35" s="30">
        <f t="shared" si="20"/>
        <v>7.8799965101974175E-3</v>
      </c>
      <c r="F35" s="31">
        <v>100</v>
      </c>
      <c r="G35" s="31">
        <v>100</v>
      </c>
      <c r="H35" s="32">
        <v>2083</v>
      </c>
      <c r="I35" s="50">
        <v>0.22170000000000001</v>
      </c>
      <c r="J35" s="50">
        <v>0.22170000000000001</v>
      </c>
      <c r="K35" s="44">
        <v>21549969659</v>
      </c>
      <c r="L35" s="30">
        <f t="shared" si="19"/>
        <v>8.0508002873041894E-3</v>
      </c>
      <c r="M35" s="31">
        <v>100</v>
      </c>
      <c r="N35" s="31">
        <v>100</v>
      </c>
      <c r="O35" s="32">
        <v>2083</v>
      </c>
      <c r="P35" s="50">
        <v>0.2213</v>
      </c>
      <c r="Q35" s="50">
        <v>0.2213</v>
      </c>
      <c r="R35" s="56">
        <f t="shared" si="21"/>
        <v>2.1675615831268001E-2</v>
      </c>
      <c r="S35" s="56">
        <f t="shared" si="22"/>
        <v>0</v>
      </c>
      <c r="T35" s="56">
        <f t="shared" si="23"/>
        <v>0</v>
      </c>
      <c r="U35" s="57">
        <f t="shared" si="24"/>
        <v>-4.0000000000001146E-4</v>
      </c>
      <c r="V35" s="58">
        <f t="shared" si="25"/>
        <v>-4.0000000000001146E-4</v>
      </c>
    </row>
    <row r="36" spans="1:22" ht="15" customHeight="1">
      <c r="A36" s="135">
        <v>28</v>
      </c>
      <c r="B36" s="133" t="s">
        <v>62</v>
      </c>
      <c r="C36" s="134" t="s">
        <v>63</v>
      </c>
      <c r="D36" s="44">
        <v>771771355.77999997</v>
      </c>
      <c r="E36" s="30">
        <f t="shared" si="20"/>
        <v>2.8832416709467849E-4</v>
      </c>
      <c r="F36" s="31">
        <v>1</v>
      </c>
      <c r="G36" s="31">
        <v>1</v>
      </c>
      <c r="H36" s="32">
        <v>398</v>
      </c>
      <c r="I36" s="50">
        <v>0.20799999999999999</v>
      </c>
      <c r="J36" s="50">
        <v>0.20799999999999999</v>
      </c>
      <c r="K36" s="44">
        <v>836115004.80999994</v>
      </c>
      <c r="L36" s="30">
        <f t="shared" si="19"/>
        <v>3.1236215305446759E-4</v>
      </c>
      <c r="M36" s="31">
        <v>1</v>
      </c>
      <c r="N36" s="31">
        <v>1</v>
      </c>
      <c r="O36" s="32">
        <v>406</v>
      </c>
      <c r="P36" s="50">
        <v>0.2077</v>
      </c>
      <c r="Q36" s="50">
        <v>0.2077</v>
      </c>
      <c r="R36" s="56">
        <f t="shared" si="21"/>
        <v>8.3371387844487041E-2</v>
      </c>
      <c r="S36" s="56">
        <f t="shared" si="22"/>
        <v>0</v>
      </c>
      <c r="T36" s="56">
        <f t="shared" si="23"/>
        <v>2.0100502512562814E-2</v>
      </c>
      <c r="U36" s="57">
        <f t="shared" si="24"/>
        <v>-2.9999999999999472E-4</v>
      </c>
      <c r="V36" s="58">
        <f t="shared" si="25"/>
        <v>-2.9999999999999472E-4</v>
      </c>
    </row>
    <row r="37" spans="1:22">
      <c r="A37" s="135">
        <v>29</v>
      </c>
      <c r="B37" s="133" t="s">
        <v>64</v>
      </c>
      <c r="C37" s="134" t="s">
        <v>65</v>
      </c>
      <c r="D37" s="44">
        <v>52125031762.330002</v>
      </c>
      <c r="E37" s="30">
        <f t="shared" si="20"/>
        <v>1.9473262715831573E-2</v>
      </c>
      <c r="F37" s="31">
        <v>100</v>
      </c>
      <c r="G37" s="31">
        <v>100</v>
      </c>
      <c r="H37" s="32">
        <v>4013</v>
      </c>
      <c r="I37" s="50">
        <v>0.207114506678613</v>
      </c>
      <c r="J37" s="50">
        <v>0.207114506678613</v>
      </c>
      <c r="K37" s="44">
        <v>51701760993.229996</v>
      </c>
      <c r="L37" s="30">
        <f t="shared" si="19"/>
        <v>1.9315134027791652E-2</v>
      </c>
      <c r="M37" s="31">
        <v>100</v>
      </c>
      <c r="N37" s="31">
        <v>100</v>
      </c>
      <c r="O37" s="32">
        <v>4072</v>
      </c>
      <c r="P37" s="50">
        <v>0.20875522264473101</v>
      </c>
      <c r="Q37" s="50">
        <v>0.20875522264473101</v>
      </c>
      <c r="R37" s="56">
        <f t="shared" si="21"/>
        <v>-8.1202975766030642E-3</v>
      </c>
      <c r="S37" s="56">
        <f t="shared" si="22"/>
        <v>0</v>
      </c>
      <c r="T37" s="56">
        <f t="shared" si="23"/>
        <v>1.4702217792175429E-2</v>
      </c>
      <c r="U37" s="57">
        <f t="shared" si="24"/>
        <v>1.640715966118006E-3</v>
      </c>
      <c r="V37" s="58">
        <f t="shared" si="25"/>
        <v>1.640715966118006E-3</v>
      </c>
    </row>
    <row r="38" spans="1:22">
      <c r="A38" s="135">
        <v>30</v>
      </c>
      <c r="B38" s="133" t="s">
        <v>66</v>
      </c>
      <c r="C38" s="134" t="s">
        <v>67</v>
      </c>
      <c r="D38" s="44">
        <v>21305955071.209999</v>
      </c>
      <c r="E38" s="30">
        <f t="shared" si="20"/>
        <v>7.9596394761953116E-3</v>
      </c>
      <c r="F38" s="31">
        <v>100</v>
      </c>
      <c r="G38" s="31">
        <v>100</v>
      </c>
      <c r="H38" s="32">
        <v>6832</v>
      </c>
      <c r="I38" s="50">
        <v>0.20680000000000001</v>
      </c>
      <c r="J38" s="50">
        <v>0.20680000000000001</v>
      </c>
      <c r="K38" s="44">
        <v>22156138199.669998</v>
      </c>
      <c r="L38" s="30">
        <f t="shared" si="19"/>
        <v>8.2772573050449386E-3</v>
      </c>
      <c r="M38" s="31">
        <v>100</v>
      </c>
      <c r="N38" s="31">
        <v>100</v>
      </c>
      <c r="O38" s="32">
        <v>6853</v>
      </c>
      <c r="P38" s="50">
        <v>0.2082</v>
      </c>
      <c r="Q38" s="50">
        <v>0.2082</v>
      </c>
      <c r="R38" s="56">
        <f t="shared" si="21"/>
        <v>3.9903544601425645E-2</v>
      </c>
      <c r="S38" s="56">
        <f t="shared" si="22"/>
        <v>0</v>
      </c>
      <c r="T38" s="56">
        <f t="shared" si="23"/>
        <v>3.0737704918032786E-3</v>
      </c>
      <c r="U38" s="57">
        <f t="shared" si="24"/>
        <v>1.3999999999999846E-3</v>
      </c>
      <c r="V38" s="58">
        <f t="shared" si="25"/>
        <v>1.3999999999999846E-3</v>
      </c>
    </row>
    <row r="39" spans="1:22">
      <c r="A39" s="135">
        <v>31</v>
      </c>
      <c r="B39" s="133" t="s">
        <v>68</v>
      </c>
      <c r="C39" s="134" t="s">
        <v>69</v>
      </c>
      <c r="D39" s="44">
        <v>44514190.369999997</v>
      </c>
      <c r="E39" s="30">
        <f t="shared" si="20"/>
        <v>1.6629947154948306E-5</v>
      </c>
      <c r="F39" s="31">
        <v>100</v>
      </c>
      <c r="G39" s="31">
        <v>100</v>
      </c>
      <c r="H39" s="32">
        <v>0</v>
      </c>
      <c r="I39" s="50">
        <v>0</v>
      </c>
      <c r="J39" s="50">
        <v>0</v>
      </c>
      <c r="K39" s="44">
        <v>44514190.369999997</v>
      </c>
      <c r="L39" s="30">
        <f t="shared" si="19"/>
        <v>1.6629947154948306E-5</v>
      </c>
      <c r="M39" s="31">
        <v>100</v>
      </c>
      <c r="N39" s="31">
        <v>100</v>
      </c>
      <c r="O39" s="32">
        <v>0</v>
      </c>
      <c r="P39" s="50">
        <v>0</v>
      </c>
      <c r="Q39" s="50">
        <v>0</v>
      </c>
      <c r="R39" s="56">
        <f t="shared" si="21"/>
        <v>0</v>
      </c>
      <c r="S39" s="56">
        <f t="shared" si="22"/>
        <v>0</v>
      </c>
      <c r="T39" s="56" t="e">
        <f t="shared" si="23"/>
        <v>#DIV/0!</v>
      </c>
      <c r="U39" s="57">
        <f t="shared" si="24"/>
        <v>0</v>
      </c>
      <c r="V39" s="58">
        <f t="shared" si="25"/>
        <v>0</v>
      </c>
    </row>
    <row r="40" spans="1:22">
      <c r="A40" s="135">
        <v>32</v>
      </c>
      <c r="B40" s="133" t="s">
        <v>70</v>
      </c>
      <c r="C40" s="134" t="s">
        <v>301</v>
      </c>
      <c r="D40" s="44">
        <v>21624186288.540001</v>
      </c>
      <c r="E40" s="30">
        <f t="shared" si="20"/>
        <v>8.0785266958271745E-3</v>
      </c>
      <c r="F40" s="31">
        <v>1</v>
      </c>
      <c r="G40" s="31">
        <v>1</v>
      </c>
      <c r="H40" s="32">
        <v>5484</v>
      </c>
      <c r="I40" s="50">
        <v>0.1993</v>
      </c>
      <c r="J40" s="50">
        <v>0.1993</v>
      </c>
      <c r="K40" s="44">
        <v>22791841533.400002</v>
      </c>
      <c r="L40" s="30">
        <f t="shared" si="19"/>
        <v>8.5147481536548501E-3</v>
      </c>
      <c r="M40" s="31">
        <v>1</v>
      </c>
      <c r="N40" s="31">
        <v>1</v>
      </c>
      <c r="O40" s="32">
        <v>5557</v>
      </c>
      <c r="P40" s="50">
        <v>0.2026</v>
      </c>
      <c r="Q40" s="50">
        <v>0.2026</v>
      </c>
      <c r="R40" s="56">
        <f t="shared" si="21"/>
        <v>5.3997650097882002E-2</v>
      </c>
      <c r="S40" s="56">
        <f t="shared" si="22"/>
        <v>0</v>
      </c>
      <c r="T40" s="56">
        <f t="shared" si="23"/>
        <v>1.3311451495258935E-2</v>
      </c>
      <c r="U40" s="57">
        <f t="shared" si="24"/>
        <v>3.2999999999999974E-3</v>
      </c>
      <c r="V40" s="58">
        <f t="shared" si="25"/>
        <v>3.2999999999999974E-3</v>
      </c>
    </row>
    <row r="41" spans="1:22">
      <c r="A41" s="135">
        <v>33</v>
      </c>
      <c r="B41" s="133" t="s">
        <v>71</v>
      </c>
      <c r="C41" s="134" t="s">
        <v>72</v>
      </c>
      <c r="D41" s="44">
        <v>46032802028.540001</v>
      </c>
      <c r="E41" s="30">
        <f t="shared" si="20"/>
        <v>1.7197281558213758E-2</v>
      </c>
      <c r="F41" s="45">
        <v>100</v>
      </c>
      <c r="G41" s="45">
        <v>100</v>
      </c>
      <c r="H41" s="32">
        <v>3385</v>
      </c>
      <c r="I41" s="50">
        <v>0.2024</v>
      </c>
      <c r="J41" s="50">
        <v>0.2024</v>
      </c>
      <c r="K41" s="44">
        <v>46537383179.260002</v>
      </c>
      <c r="L41" s="30">
        <f t="shared" si="19"/>
        <v>1.7385786792210145E-2</v>
      </c>
      <c r="M41" s="45">
        <v>100</v>
      </c>
      <c r="N41" s="45">
        <v>100</v>
      </c>
      <c r="O41" s="32">
        <v>3385</v>
      </c>
      <c r="P41" s="50">
        <v>0.20730000000000001</v>
      </c>
      <c r="Q41" s="50">
        <v>0.20730000000000001</v>
      </c>
      <c r="R41" s="56">
        <f t="shared" si="21"/>
        <v>1.0961339055727361E-2</v>
      </c>
      <c r="S41" s="56">
        <f t="shared" si="22"/>
        <v>0</v>
      </c>
      <c r="T41" s="56">
        <f t="shared" si="23"/>
        <v>0</v>
      </c>
      <c r="U41" s="57">
        <f t="shared" si="24"/>
        <v>4.9000000000000155E-3</v>
      </c>
      <c r="V41" s="58">
        <f t="shared" si="25"/>
        <v>4.9000000000000155E-3</v>
      </c>
    </row>
    <row r="42" spans="1:22">
      <c r="A42" s="135">
        <v>34</v>
      </c>
      <c r="B42" s="133" t="s">
        <v>73</v>
      </c>
      <c r="C42" s="134" t="s">
        <v>72</v>
      </c>
      <c r="D42" s="44">
        <v>5693254527.7299995</v>
      </c>
      <c r="E42" s="30">
        <f t="shared" si="20"/>
        <v>2.1269289893594908E-3</v>
      </c>
      <c r="F42" s="45">
        <v>1000000</v>
      </c>
      <c r="G42" s="45">
        <v>1000000</v>
      </c>
      <c r="H42" s="32">
        <v>19</v>
      </c>
      <c r="I42" s="50">
        <v>0.21360000000000001</v>
      </c>
      <c r="J42" s="50">
        <v>0.21360000000000001</v>
      </c>
      <c r="K42" s="44">
        <v>5905311765.5799999</v>
      </c>
      <c r="L42" s="30">
        <f t="shared" si="19"/>
        <v>2.2061509325186873E-3</v>
      </c>
      <c r="M42" s="45">
        <v>1000000</v>
      </c>
      <c r="N42" s="45">
        <v>1000000</v>
      </c>
      <c r="O42" s="32">
        <v>19</v>
      </c>
      <c r="P42" s="50">
        <v>0.2109</v>
      </c>
      <c r="Q42" s="50">
        <v>0.2109</v>
      </c>
      <c r="R42" s="56">
        <f t="shared" si="21"/>
        <v>3.7247103008856926E-2</v>
      </c>
      <c r="S42" s="56">
        <f t="shared" si="22"/>
        <v>0</v>
      </c>
      <c r="T42" s="56">
        <f t="shared" si="23"/>
        <v>0</v>
      </c>
      <c r="U42" s="57">
        <f t="shared" si="24"/>
        <v>-2.7000000000000079E-3</v>
      </c>
      <c r="V42" s="58">
        <f t="shared" si="25"/>
        <v>-2.7000000000000079E-3</v>
      </c>
    </row>
    <row r="43" spans="1:22">
      <c r="A43" s="135">
        <v>35</v>
      </c>
      <c r="B43" s="133" t="s">
        <v>74</v>
      </c>
      <c r="C43" s="134" t="s">
        <v>75</v>
      </c>
      <c r="D43" s="44">
        <v>4207566133.6500001</v>
      </c>
      <c r="E43" s="30">
        <f t="shared" si="20"/>
        <v>1.5718943076791642E-3</v>
      </c>
      <c r="F43" s="31">
        <v>1</v>
      </c>
      <c r="G43" s="31">
        <v>1</v>
      </c>
      <c r="H43" s="32">
        <v>885</v>
      </c>
      <c r="I43" s="50">
        <v>0.21590000000000001</v>
      </c>
      <c r="J43" s="50">
        <v>0.21590000000000001</v>
      </c>
      <c r="K43" s="44">
        <v>4220510569.5599999</v>
      </c>
      <c r="L43" s="30">
        <f t="shared" si="19"/>
        <v>1.5767301877287537E-3</v>
      </c>
      <c r="M43" s="31">
        <v>1</v>
      </c>
      <c r="N43" s="31">
        <v>1</v>
      </c>
      <c r="O43" s="32">
        <v>883</v>
      </c>
      <c r="P43" s="50">
        <v>0.21429999999999999</v>
      </c>
      <c r="Q43" s="50">
        <v>0.21429999999999999</v>
      </c>
      <c r="R43" s="56">
        <f t="shared" si="21"/>
        <v>3.0764664175987042E-3</v>
      </c>
      <c r="S43" s="56">
        <f t="shared" si="22"/>
        <v>0</v>
      </c>
      <c r="T43" s="56">
        <f t="shared" si="23"/>
        <v>-2.2598870056497176E-3</v>
      </c>
      <c r="U43" s="57">
        <f t="shared" si="24"/>
        <v>-1.6000000000000181E-3</v>
      </c>
      <c r="V43" s="58">
        <f t="shared" si="25"/>
        <v>-1.6000000000000181E-3</v>
      </c>
    </row>
    <row r="44" spans="1:22">
      <c r="A44" s="135">
        <v>36</v>
      </c>
      <c r="B44" s="133" t="s">
        <v>76</v>
      </c>
      <c r="C44" s="134" t="s">
        <v>31</v>
      </c>
      <c r="D44" s="44">
        <v>486341733862.88</v>
      </c>
      <c r="E44" s="30">
        <f t="shared" si="20"/>
        <v>0.1816912150071669</v>
      </c>
      <c r="F44" s="31">
        <v>100</v>
      </c>
      <c r="G44" s="31">
        <v>100</v>
      </c>
      <c r="H44" s="32">
        <v>15512</v>
      </c>
      <c r="I44" s="50">
        <v>0.20810000000000001</v>
      </c>
      <c r="J44" s="50">
        <v>0.20810000000000001</v>
      </c>
      <c r="K44" s="44">
        <v>490646180512.28003</v>
      </c>
      <c r="L44" s="30">
        <f t="shared" si="19"/>
        <v>0.1832993026690074</v>
      </c>
      <c r="M44" s="31">
        <v>100</v>
      </c>
      <c r="N44" s="31">
        <v>100</v>
      </c>
      <c r="O44" s="32">
        <v>15683</v>
      </c>
      <c r="P44" s="50">
        <v>0.20810000000000001</v>
      </c>
      <c r="Q44" s="50">
        <v>0.20810000000000001</v>
      </c>
      <c r="R44" s="56">
        <f t="shared" si="21"/>
        <v>8.8506627124326272E-3</v>
      </c>
      <c r="S44" s="56">
        <f t="shared" si="22"/>
        <v>0</v>
      </c>
      <c r="T44" s="56">
        <f t="shared" si="23"/>
        <v>1.1023723568849923E-2</v>
      </c>
      <c r="U44" s="57">
        <f t="shared" si="24"/>
        <v>0</v>
      </c>
      <c r="V44" s="58">
        <f t="shared" si="25"/>
        <v>0</v>
      </c>
    </row>
    <row r="45" spans="1:22">
      <c r="A45" s="135">
        <v>37</v>
      </c>
      <c r="B45" s="133" t="s">
        <v>77</v>
      </c>
      <c r="C45" s="134" t="s">
        <v>78</v>
      </c>
      <c r="D45" s="44">
        <v>1772824734.8099999</v>
      </c>
      <c r="E45" s="30">
        <f t="shared" si="20"/>
        <v>6.6230524266133121E-4</v>
      </c>
      <c r="F45" s="31">
        <v>1</v>
      </c>
      <c r="G45" s="31">
        <v>1</v>
      </c>
      <c r="H45" s="46">
        <v>1151</v>
      </c>
      <c r="I45" s="53">
        <v>0.20019999999999999</v>
      </c>
      <c r="J45" s="53">
        <v>0.20019999999999999</v>
      </c>
      <c r="K45" s="44">
        <v>1920477758.03</v>
      </c>
      <c r="L45" s="30">
        <f t="shared" si="19"/>
        <v>7.1746657330684594E-4</v>
      </c>
      <c r="M45" s="31">
        <v>1</v>
      </c>
      <c r="N45" s="31">
        <v>1</v>
      </c>
      <c r="O45" s="46">
        <v>1183</v>
      </c>
      <c r="P45" s="53">
        <v>0.1973</v>
      </c>
      <c r="Q45" s="53">
        <v>0.1973</v>
      </c>
      <c r="R45" s="56">
        <f t="shared" si="21"/>
        <v>8.328686999948956E-2</v>
      </c>
      <c r="S45" s="56">
        <f t="shared" si="22"/>
        <v>0</v>
      </c>
      <c r="T45" s="56">
        <f t="shared" si="23"/>
        <v>2.780191138140747E-2</v>
      </c>
      <c r="U45" s="57">
        <f t="shared" si="24"/>
        <v>-2.8999999999999859E-3</v>
      </c>
      <c r="V45" s="58">
        <f t="shared" si="25"/>
        <v>-2.8999999999999859E-3</v>
      </c>
    </row>
    <row r="46" spans="1:22">
      <c r="A46" s="135">
        <v>38</v>
      </c>
      <c r="B46" s="133" t="s">
        <v>303</v>
      </c>
      <c r="C46" s="134" t="s">
        <v>304</v>
      </c>
      <c r="D46" s="44">
        <v>972026811.21000004</v>
      </c>
      <c r="E46" s="30">
        <f t="shared" si="20"/>
        <v>3.6313711131786256E-4</v>
      </c>
      <c r="F46" s="31">
        <v>1</v>
      </c>
      <c r="G46" s="31">
        <v>1</v>
      </c>
      <c r="H46" s="46">
        <v>155</v>
      </c>
      <c r="I46" s="53">
        <v>0.19739999999999999</v>
      </c>
      <c r="J46" s="53">
        <v>0.19739999999999999</v>
      </c>
      <c r="K46" s="44">
        <v>1017032811.21</v>
      </c>
      <c r="L46" s="30">
        <f t="shared" si="19"/>
        <v>3.7995079242571917E-4</v>
      </c>
      <c r="M46" s="31">
        <v>1</v>
      </c>
      <c r="N46" s="31">
        <v>1</v>
      </c>
      <c r="O46" s="46">
        <v>161</v>
      </c>
      <c r="P46" s="53">
        <v>0.1956</v>
      </c>
      <c r="Q46" s="53">
        <v>0.1956</v>
      </c>
      <c r="R46" s="56">
        <f t="shared" si="21"/>
        <v>4.6301191984586883E-2</v>
      </c>
      <c r="S46" s="56">
        <f t="shared" si="22"/>
        <v>0</v>
      </c>
      <c r="T46" s="56">
        <f t="shared" si="23"/>
        <v>3.870967741935484E-2</v>
      </c>
      <c r="U46" s="57">
        <f t="shared" si="24"/>
        <v>-1.799999999999996E-3</v>
      </c>
      <c r="V46" s="58">
        <f t="shared" si="25"/>
        <v>-1.799999999999996E-3</v>
      </c>
    </row>
    <row r="47" spans="1:22">
      <c r="A47" s="135">
        <v>39</v>
      </c>
      <c r="B47" s="133" t="s">
        <v>79</v>
      </c>
      <c r="C47" s="134" t="s">
        <v>80</v>
      </c>
      <c r="D47" s="44">
        <v>994858033.25999999</v>
      </c>
      <c r="E47" s="30">
        <f t="shared" si="20"/>
        <v>3.7166657154208519E-4</v>
      </c>
      <c r="F47" s="31">
        <v>10</v>
      </c>
      <c r="G47" s="31">
        <v>10</v>
      </c>
      <c r="H47" s="32">
        <v>448</v>
      </c>
      <c r="I47" s="50">
        <v>0.19500000000000001</v>
      </c>
      <c r="J47" s="50">
        <v>0.19500000000000001</v>
      </c>
      <c r="K47" s="44">
        <v>1014615986.28</v>
      </c>
      <c r="L47" s="30">
        <f t="shared" si="19"/>
        <v>3.7904789673033325E-4</v>
      </c>
      <c r="M47" s="31">
        <v>10</v>
      </c>
      <c r="N47" s="31">
        <v>10</v>
      </c>
      <c r="O47" s="32">
        <v>453</v>
      </c>
      <c r="P47" s="50">
        <v>0.18870000000000001</v>
      </c>
      <c r="Q47" s="50">
        <v>0.18870000000000001</v>
      </c>
      <c r="R47" s="56">
        <f t="shared" si="21"/>
        <v>1.9860072854069585E-2</v>
      </c>
      <c r="S47" s="56">
        <f t="shared" si="22"/>
        <v>0</v>
      </c>
      <c r="T47" s="56">
        <f t="shared" si="23"/>
        <v>1.1160714285714286E-2</v>
      </c>
      <c r="U47" s="57">
        <f t="shared" si="24"/>
        <v>-6.3E-3</v>
      </c>
      <c r="V47" s="58">
        <f t="shared" si="25"/>
        <v>-6.3E-3</v>
      </c>
    </row>
    <row r="48" spans="1:22">
      <c r="A48" s="135">
        <v>40</v>
      </c>
      <c r="B48" s="133" t="s">
        <v>81</v>
      </c>
      <c r="C48" s="134" t="s">
        <v>82</v>
      </c>
      <c r="D48" s="44">
        <v>6491032037.7600002</v>
      </c>
      <c r="E48" s="30">
        <f t="shared" si="20"/>
        <v>2.4249687318085938E-3</v>
      </c>
      <c r="F48" s="31">
        <v>100</v>
      </c>
      <c r="G48" s="31">
        <v>100</v>
      </c>
      <c r="H48" s="32">
        <v>879</v>
      </c>
      <c r="I48" s="50">
        <v>0.20569999999999999</v>
      </c>
      <c r="J48" s="50">
        <v>0.20569999999999999</v>
      </c>
      <c r="K48" s="44">
        <v>6883645924.1099997</v>
      </c>
      <c r="L48" s="30">
        <f t="shared" si="19"/>
        <v>2.5716443902453617E-3</v>
      </c>
      <c r="M48" s="31">
        <v>100</v>
      </c>
      <c r="N48" s="31">
        <v>100</v>
      </c>
      <c r="O48" s="32">
        <v>879</v>
      </c>
      <c r="P48" s="50">
        <v>0.18379999999999999</v>
      </c>
      <c r="Q48" s="50">
        <v>0.18379999999999999</v>
      </c>
      <c r="R48" s="56">
        <f t="shared" si="21"/>
        <v>6.0485587509977401E-2</v>
      </c>
      <c r="S48" s="56">
        <f t="shared" si="22"/>
        <v>0</v>
      </c>
      <c r="T48" s="56">
        <f t="shared" si="23"/>
        <v>0</v>
      </c>
      <c r="U48" s="57">
        <f t="shared" si="24"/>
        <v>-2.1900000000000003E-2</v>
      </c>
      <c r="V48" s="58">
        <f t="shared" si="25"/>
        <v>-2.1900000000000003E-2</v>
      </c>
    </row>
    <row r="49" spans="1:22">
      <c r="A49" s="135">
        <v>41</v>
      </c>
      <c r="B49" s="133" t="s">
        <v>83</v>
      </c>
      <c r="C49" s="133" t="s">
        <v>84</v>
      </c>
      <c r="D49" s="136">
        <v>96394551.376918778</v>
      </c>
      <c r="E49" s="30">
        <f>(D49/$D$189)</f>
        <v>1.6874239329178755E-3</v>
      </c>
      <c r="F49" s="33">
        <v>1</v>
      </c>
      <c r="G49" s="33">
        <v>1</v>
      </c>
      <c r="H49" s="32">
        <v>77</v>
      </c>
      <c r="I49" s="50">
        <v>0.16226560684282518</v>
      </c>
      <c r="J49" s="50">
        <v>0.16226560684282518</v>
      </c>
      <c r="K49" s="136">
        <v>101551213.68605264</v>
      </c>
      <c r="L49" s="54">
        <f>(K49/$K$189)</f>
        <v>1.7635513997483114E-3</v>
      </c>
      <c r="M49" s="33">
        <v>1</v>
      </c>
      <c r="N49" s="33">
        <v>1</v>
      </c>
      <c r="O49" s="32">
        <v>79</v>
      </c>
      <c r="P49" s="50">
        <v>0.16533529283183931</v>
      </c>
      <c r="Q49" s="50">
        <v>0.16533529283183931</v>
      </c>
      <c r="R49" s="57">
        <f t="shared" si="21"/>
        <v>5.3495371216267684E-2</v>
      </c>
      <c r="S49" s="57">
        <f t="shared" si="22"/>
        <v>0</v>
      </c>
      <c r="T49" s="57">
        <f t="shared" si="23"/>
        <v>2.5974025974025976E-2</v>
      </c>
      <c r="U49" s="57">
        <f t="shared" si="24"/>
        <v>3.069685989014137E-3</v>
      </c>
      <c r="V49" s="58">
        <f t="shared" si="25"/>
        <v>3.069685989014137E-3</v>
      </c>
    </row>
    <row r="50" spans="1:22">
      <c r="A50" s="135">
        <v>42</v>
      </c>
      <c r="B50" s="133" t="s">
        <v>290</v>
      </c>
      <c r="C50" s="134" t="s">
        <v>37</v>
      </c>
      <c r="D50" s="44">
        <v>355369969.02999997</v>
      </c>
      <c r="E50" s="30">
        <f t="shared" ref="E50" si="28">(D50/$K$69)</f>
        <v>1.3276179475135125E-4</v>
      </c>
      <c r="F50" s="31">
        <v>100</v>
      </c>
      <c r="G50" s="31">
        <v>100</v>
      </c>
      <c r="H50" s="32">
        <v>1772</v>
      </c>
      <c r="I50" s="50">
        <v>0.19403715999999999</v>
      </c>
      <c r="J50" s="50">
        <v>0.19403715999999999</v>
      </c>
      <c r="K50" s="44">
        <v>361512375.70999998</v>
      </c>
      <c r="L50" s="30">
        <f t="shared" ref="L50" si="29">(K50/$K$69)</f>
        <v>1.3505652139118344E-4</v>
      </c>
      <c r="M50" s="31">
        <v>100</v>
      </c>
      <c r="N50" s="31">
        <v>100</v>
      </c>
      <c r="O50" s="32">
        <v>1789</v>
      </c>
      <c r="P50" s="50">
        <v>0.189</v>
      </c>
      <c r="Q50" s="50">
        <v>0.189</v>
      </c>
      <c r="R50" s="56">
        <f t="shared" ref="R50" si="30">((K50-D50)/D50)</f>
        <v>1.7284540662695871E-2</v>
      </c>
      <c r="S50" s="56">
        <f t="shared" ref="S50" si="31">((N50-G50)/G50)</f>
        <v>0</v>
      </c>
      <c r="T50" s="56">
        <f t="shared" ref="T50" si="32">((O50-H50)/H50)</f>
        <v>9.5936794582392772E-3</v>
      </c>
      <c r="U50" s="57">
        <f t="shared" ref="U50" si="33">P50-I50</f>
        <v>-5.037159999999985E-3</v>
      </c>
      <c r="V50" s="58">
        <f t="shared" ref="V50" si="34">Q50-J50</f>
        <v>-5.037159999999985E-3</v>
      </c>
    </row>
    <row r="51" spans="1:22">
      <c r="A51" s="135">
        <v>43</v>
      </c>
      <c r="B51" s="133" t="s">
        <v>85</v>
      </c>
      <c r="C51" s="134" t="s">
        <v>37</v>
      </c>
      <c r="D51" s="44">
        <v>75770546255.259995</v>
      </c>
      <c r="E51" s="30">
        <f t="shared" si="20"/>
        <v>2.8306932455762421E-2</v>
      </c>
      <c r="F51" s="31">
        <v>100</v>
      </c>
      <c r="G51" s="31">
        <v>100</v>
      </c>
      <c r="H51" s="32">
        <v>11316</v>
      </c>
      <c r="I51" s="50">
        <v>0.19284841999999999</v>
      </c>
      <c r="J51" s="50">
        <v>0.19284841999999999</v>
      </c>
      <c r="K51" s="44">
        <v>77383315568.470001</v>
      </c>
      <c r="L51" s="30">
        <f t="shared" si="19"/>
        <v>2.8909442986199473E-2</v>
      </c>
      <c r="M51" s="31">
        <v>100</v>
      </c>
      <c r="N51" s="31">
        <v>100</v>
      </c>
      <c r="O51" s="32">
        <v>11373</v>
      </c>
      <c r="P51" s="50">
        <v>0.19810865999999999</v>
      </c>
      <c r="Q51" s="50">
        <v>0.19810865999999999</v>
      </c>
      <c r="R51" s="56">
        <f t="shared" si="21"/>
        <v>2.128491073268524E-2</v>
      </c>
      <c r="S51" s="56">
        <f t="shared" si="22"/>
        <v>0</v>
      </c>
      <c r="T51" s="56">
        <f t="shared" si="23"/>
        <v>5.0371155885471901E-3</v>
      </c>
      <c r="U51" s="57">
        <f t="shared" si="24"/>
        <v>5.2602399999999994E-3</v>
      </c>
      <c r="V51" s="58">
        <f t="shared" si="25"/>
        <v>5.2602399999999994E-3</v>
      </c>
    </row>
    <row r="52" spans="1:22">
      <c r="A52" s="135">
        <v>44</v>
      </c>
      <c r="B52" s="133" t="s">
        <v>86</v>
      </c>
      <c r="C52" s="134" t="s">
        <v>41</v>
      </c>
      <c r="D52" s="44">
        <v>15997828016.35</v>
      </c>
      <c r="E52" s="30">
        <f t="shared" si="20"/>
        <v>5.9765893144301616E-3</v>
      </c>
      <c r="F52" s="31">
        <v>1</v>
      </c>
      <c r="G52" s="31">
        <v>1</v>
      </c>
      <c r="H52" s="32">
        <v>1545</v>
      </c>
      <c r="I52" s="50">
        <v>0.2137</v>
      </c>
      <c r="J52" s="50">
        <v>0.2137</v>
      </c>
      <c r="K52" s="44">
        <v>16429019366.1</v>
      </c>
      <c r="L52" s="30">
        <f t="shared" si="19"/>
        <v>6.1376770327602236E-3</v>
      </c>
      <c r="M52" s="31">
        <v>1</v>
      </c>
      <c r="N52" s="31">
        <v>1</v>
      </c>
      <c r="O52" s="32">
        <v>1569</v>
      </c>
      <c r="P52" s="50">
        <v>0.19919999999999999</v>
      </c>
      <c r="Q52" s="50">
        <v>0.19919999999999999</v>
      </c>
      <c r="R52" s="56">
        <f t="shared" si="21"/>
        <v>2.6953118217630325E-2</v>
      </c>
      <c r="S52" s="56">
        <f t="shared" si="22"/>
        <v>0</v>
      </c>
      <c r="T52" s="56">
        <f t="shared" si="23"/>
        <v>1.5533980582524271E-2</v>
      </c>
      <c r="U52" s="57">
        <f t="shared" si="24"/>
        <v>-1.4500000000000013E-2</v>
      </c>
      <c r="V52" s="58">
        <f t="shared" si="25"/>
        <v>-1.4500000000000013E-2</v>
      </c>
    </row>
    <row r="53" spans="1:22">
      <c r="A53" s="135">
        <v>45</v>
      </c>
      <c r="B53" s="133" t="s">
        <v>87</v>
      </c>
      <c r="C53" s="134" t="s">
        <v>43</v>
      </c>
      <c r="D53" s="47">
        <v>36804698443.589996</v>
      </c>
      <c r="E53" s="30">
        <f t="shared" si="20"/>
        <v>1.3749776983098925E-2</v>
      </c>
      <c r="F53" s="31">
        <v>10</v>
      </c>
      <c r="G53" s="31">
        <v>10</v>
      </c>
      <c r="H53" s="32">
        <v>4379</v>
      </c>
      <c r="I53" s="50">
        <v>0.21440000000000001</v>
      </c>
      <c r="J53" s="50">
        <v>0.21440000000000001</v>
      </c>
      <c r="K53" s="47">
        <v>38026143262.269997</v>
      </c>
      <c r="L53" s="30">
        <f t="shared" si="19"/>
        <v>1.4206093555825436E-2</v>
      </c>
      <c r="M53" s="31">
        <v>10</v>
      </c>
      <c r="N53" s="31">
        <v>10</v>
      </c>
      <c r="O53" s="32">
        <v>4410</v>
      </c>
      <c r="P53" s="50">
        <v>0.21629999999999999</v>
      </c>
      <c r="Q53" s="50">
        <v>0.21629999999999999</v>
      </c>
      <c r="R53" s="56">
        <f t="shared" si="21"/>
        <v>3.3187198111460967E-2</v>
      </c>
      <c r="S53" s="56">
        <f t="shared" si="22"/>
        <v>0</v>
      </c>
      <c r="T53" s="56">
        <f t="shared" si="23"/>
        <v>7.0792418360356244E-3</v>
      </c>
      <c r="U53" s="57">
        <f t="shared" si="24"/>
        <v>1.899999999999985E-3</v>
      </c>
      <c r="V53" s="58">
        <f t="shared" si="25"/>
        <v>1.899999999999985E-3</v>
      </c>
    </row>
    <row r="54" spans="1:22">
      <c r="A54" s="135">
        <v>46</v>
      </c>
      <c r="B54" s="133" t="s">
        <v>88</v>
      </c>
      <c r="C54" s="134" t="s">
        <v>89</v>
      </c>
      <c r="D54" s="44">
        <v>18314390153</v>
      </c>
      <c r="E54" s="30">
        <f t="shared" si="20"/>
        <v>6.8420280788653066E-3</v>
      </c>
      <c r="F54" s="31">
        <v>100</v>
      </c>
      <c r="G54" s="31">
        <v>100</v>
      </c>
      <c r="H54" s="32">
        <v>3855</v>
      </c>
      <c r="I54" s="50">
        <v>0.22770000000000001</v>
      </c>
      <c r="J54" s="50">
        <v>0.22770000000000001</v>
      </c>
      <c r="K54" s="44">
        <v>18787794753</v>
      </c>
      <c r="L54" s="30">
        <f t="shared" si="19"/>
        <v>7.0188861417767503E-3</v>
      </c>
      <c r="M54" s="31">
        <v>100</v>
      </c>
      <c r="N54" s="31">
        <v>100</v>
      </c>
      <c r="O54" s="32">
        <v>3897</v>
      </c>
      <c r="P54" s="50">
        <v>0.22309999999999999</v>
      </c>
      <c r="Q54" s="50">
        <v>0.22309999999999999</v>
      </c>
      <c r="R54" s="56">
        <f t="shared" si="21"/>
        <v>2.5848777712232675E-2</v>
      </c>
      <c r="S54" s="56">
        <f t="shared" si="22"/>
        <v>0</v>
      </c>
      <c r="T54" s="56">
        <f t="shared" si="23"/>
        <v>1.0894941634241245E-2</v>
      </c>
      <c r="U54" s="57">
        <f t="shared" si="24"/>
        <v>-4.6000000000000207E-3</v>
      </c>
      <c r="V54" s="58">
        <f t="shared" si="25"/>
        <v>-4.6000000000000207E-3</v>
      </c>
    </row>
    <row r="55" spans="1:22">
      <c r="A55" s="135">
        <v>47</v>
      </c>
      <c r="B55" s="133" t="s">
        <v>90</v>
      </c>
      <c r="C55" s="134" t="s">
        <v>91</v>
      </c>
      <c r="D55" s="44">
        <v>222967936.69999999</v>
      </c>
      <c r="E55" s="30">
        <f t="shared" si="20"/>
        <v>8.3298044370763182E-5</v>
      </c>
      <c r="F55" s="31">
        <v>1</v>
      </c>
      <c r="G55" s="31">
        <v>1</v>
      </c>
      <c r="H55" s="32">
        <v>87</v>
      </c>
      <c r="I55" s="50">
        <v>0.20930000000000001</v>
      </c>
      <c r="J55" s="50">
        <v>0.20930000000000001</v>
      </c>
      <c r="K55" s="44">
        <v>222605264.25999999</v>
      </c>
      <c r="L55" s="30">
        <f t="shared" si="19"/>
        <v>8.3162554463800368E-5</v>
      </c>
      <c r="M55" s="31">
        <v>1</v>
      </c>
      <c r="N55" s="31">
        <v>1</v>
      </c>
      <c r="O55" s="32">
        <v>88</v>
      </c>
      <c r="P55" s="50">
        <v>0.2109</v>
      </c>
      <c r="Q55" s="50">
        <v>0.2109</v>
      </c>
      <c r="R55" s="56">
        <f t="shared" si="21"/>
        <v>-1.6265676821863762E-3</v>
      </c>
      <c r="S55" s="56">
        <f t="shared" si="22"/>
        <v>0</v>
      </c>
      <c r="T55" s="56">
        <f t="shared" si="23"/>
        <v>1.1494252873563218E-2</v>
      </c>
      <c r="U55" s="57">
        <f t="shared" si="24"/>
        <v>1.5999999999999903E-3</v>
      </c>
      <c r="V55" s="58">
        <f t="shared" si="25"/>
        <v>1.5999999999999903E-3</v>
      </c>
    </row>
    <row r="56" spans="1:22">
      <c r="A56" s="135">
        <v>48</v>
      </c>
      <c r="B56" s="133" t="s">
        <v>92</v>
      </c>
      <c r="C56" s="134" t="s">
        <v>45</v>
      </c>
      <c r="D56" s="47">
        <v>1184893841.22</v>
      </c>
      <c r="E56" s="30">
        <f t="shared" si="20"/>
        <v>4.4266158274311012E-4</v>
      </c>
      <c r="F56" s="31">
        <v>10</v>
      </c>
      <c r="G56" s="31">
        <v>10</v>
      </c>
      <c r="H56" s="32">
        <v>782</v>
      </c>
      <c r="I56" s="50">
        <v>0.17799999999999999</v>
      </c>
      <c r="J56" s="50">
        <v>0.17799999999999999</v>
      </c>
      <c r="K56" s="47">
        <v>1190690873.79</v>
      </c>
      <c r="L56" s="30">
        <f t="shared" si="19"/>
        <v>4.4482728191663892E-4</v>
      </c>
      <c r="M56" s="31">
        <v>10</v>
      </c>
      <c r="N56" s="31">
        <v>10</v>
      </c>
      <c r="O56" s="32">
        <v>787</v>
      </c>
      <c r="P56" s="50">
        <v>0.1774</v>
      </c>
      <c r="Q56" s="50">
        <v>0.1774</v>
      </c>
      <c r="R56" s="56">
        <f t="shared" si="21"/>
        <v>4.8924488999209795E-3</v>
      </c>
      <c r="S56" s="56">
        <f t="shared" si="22"/>
        <v>0</v>
      </c>
      <c r="T56" s="56">
        <f t="shared" si="23"/>
        <v>6.3938618925831201E-3</v>
      </c>
      <c r="U56" s="57">
        <f t="shared" si="24"/>
        <v>-5.9999999999998943E-4</v>
      </c>
      <c r="V56" s="58">
        <f t="shared" si="25"/>
        <v>-5.9999999999998943E-4</v>
      </c>
    </row>
    <row r="57" spans="1:22">
      <c r="A57" s="135">
        <v>49</v>
      </c>
      <c r="B57" s="133" t="s">
        <v>93</v>
      </c>
      <c r="C57" s="134" t="s">
        <v>94</v>
      </c>
      <c r="D57" s="47">
        <v>819181502.76999998</v>
      </c>
      <c r="E57" s="30">
        <f t="shared" si="20"/>
        <v>3.0603600757742456E-4</v>
      </c>
      <c r="F57" s="31">
        <v>1</v>
      </c>
      <c r="G57" s="31">
        <v>1</v>
      </c>
      <c r="H57" s="32">
        <v>78</v>
      </c>
      <c r="I57" s="50">
        <v>0.2303</v>
      </c>
      <c r="J57" s="50">
        <v>0.2303</v>
      </c>
      <c r="K57" s="47">
        <v>805561378.71000004</v>
      </c>
      <c r="L57" s="30">
        <f t="shared" si="19"/>
        <v>3.0094769884982635E-4</v>
      </c>
      <c r="M57" s="31">
        <v>1</v>
      </c>
      <c r="N57" s="31">
        <v>1</v>
      </c>
      <c r="O57" s="32">
        <v>79</v>
      </c>
      <c r="P57" s="50">
        <v>0.22189999999999999</v>
      </c>
      <c r="Q57" s="50">
        <v>0.22189999999999999</v>
      </c>
      <c r="R57" s="56">
        <f t="shared" si="21"/>
        <v>-1.6626503423166329E-2</v>
      </c>
      <c r="S57" s="56">
        <f t="shared" si="22"/>
        <v>0</v>
      </c>
      <c r="T57" s="56">
        <f t="shared" si="23"/>
        <v>1.282051282051282E-2</v>
      </c>
      <c r="U57" s="57">
        <f t="shared" si="24"/>
        <v>-8.4000000000000186E-3</v>
      </c>
      <c r="V57" s="58">
        <f t="shared" si="25"/>
        <v>-8.4000000000000186E-3</v>
      </c>
    </row>
    <row r="58" spans="1:22">
      <c r="A58" s="135">
        <v>50</v>
      </c>
      <c r="B58" s="133" t="s">
        <v>310</v>
      </c>
      <c r="C58" s="134" t="s">
        <v>309</v>
      </c>
      <c r="D58" s="47">
        <v>412141478.63413554</v>
      </c>
      <c r="E58" s="30">
        <f t="shared" si="20"/>
        <v>1.5397092372294518E-4</v>
      </c>
      <c r="F58" s="31">
        <v>1</v>
      </c>
      <c r="G58" s="31">
        <v>1</v>
      </c>
      <c r="H58" s="32">
        <v>204</v>
      </c>
      <c r="I58" s="50">
        <v>0.17599999999999999</v>
      </c>
      <c r="J58" s="50">
        <v>0.17599999999999999</v>
      </c>
      <c r="K58" s="47">
        <v>413417176.04445553</v>
      </c>
      <c r="L58" s="30">
        <f t="shared" si="19"/>
        <v>1.5444750838826177E-4</v>
      </c>
      <c r="M58" s="31">
        <v>1</v>
      </c>
      <c r="N58" s="31">
        <v>1</v>
      </c>
      <c r="O58" s="32">
        <v>201</v>
      </c>
      <c r="P58" s="50">
        <v>0.18049999999999999</v>
      </c>
      <c r="Q58" s="50">
        <v>0.18049999999999999</v>
      </c>
      <c r="R58" s="56">
        <f t="shared" si="21"/>
        <v>3.0952900313448929E-3</v>
      </c>
      <c r="S58" s="56">
        <f t="shared" si="22"/>
        <v>0</v>
      </c>
      <c r="T58" s="56">
        <f t="shared" si="23"/>
        <v>-1.4705882352941176E-2</v>
      </c>
      <c r="U58" s="57">
        <f t="shared" si="24"/>
        <v>4.500000000000004E-3</v>
      </c>
      <c r="V58" s="58">
        <f t="shared" si="25"/>
        <v>4.500000000000004E-3</v>
      </c>
    </row>
    <row r="59" spans="1:22">
      <c r="A59" s="135">
        <v>51</v>
      </c>
      <c r="B59" s="133" t="s">
        <v>95</v>
      </c>
      <c r="C59" s="134" t="s">
        <v>96</v>
      </c>
      <c r="D59" s="47">
        <v>11093510773.49</v>
      </c>
      <c r="E59" s="30">
        <f t="shared" si="20"/>
        <v>4.1443974694936906E-3</v>
      </c>
      <c r="F59" s="31">
        <v>100</v>
      </c>
      <c r="G59" s="31">
        <v>100</v>
      </c>
      <c r="H59" s="32">
        <v>110</v>
      </c>
      <c r="I59" s="50">
        <v>0.21099999999999999</v>
      </c>
      <c r="J59" s="50">
        <v>0.21099999999999999</v>
      </c>
      <c r="K59" s="47">
        <v>11196275203.273102</v>
      </c>
      <c r="L59" s="30">
        <f t="shared" si="19"/>
        <v>4.1827889806611753E-3</v>
      </c>
      <c r="M59" s="31">
        <v>100</v>
      </c>
      <c r="N59" s="31">
        <v>100</v>
      </c>
      <c r="O59" s="32">
        <v>111</v>
      </c>
      <c r="P59" s="50">
        <v>0.20680000000000001</v>
      </c>
      <c r="Q59" s="50">
        <v>0.20680000000000001</v>
      </c>
      <c r="R59" s="56">
        <f t="shared" si="21"/>
        <v>9.2634723020846282E-3</v>
      </c>
      <c r="S59" s="56">
        <f t="shared" si="22"/>
        <v>0</v>
      </c>
      <c r="T59" s="56">
        <f t="shared" si="23"/>
        <v>9.0909090909090905E-3</v>
      </c>
      <c r="U59" s="57">
        <f t="shared" si="24"/>
        <v>-4.1999999999999815E-3</v>
      </c>
      <c r="V59" s="58">
        <f t="shared" si="25"/>
        <v>-4.1999999999999815E-3</v>
      </c>
    </row>
    <row r="60" spans="1:22">
      <c r="A60" s="135">
        <v>52</v>
      </c>
      <c r="B60" s="133" t="s">
        <v>97</v>
      </c>
      <c r="C60" s="134" t="s">
        <v>98</v>
      </c>
      <c r="D60" s="47">
        <v>51743000</v>
      </c>
      <c r="E60" s="30">
        <f t="shared" si="20"/>
        <v>1.9330540407141863E-5</v>
      </c>
      <c r="F60" s="31">
        <v>1000</v>
      </c>
      <c r="G60" s="31">
        <v>1000</v>
      </c>
      <c r="H60" s="32">
        <v>23</v>
      </c>
      <c r="I60" s="50">
        <v>0.1812</v>
      </c>
      <c r="J60" s="50">
        <v>0.1812</v>
      </c>
      <c r="K60" s="47">
        <v>51743000</v>
      </c>
      <c r="L60" s="30">
        <f t="shared" si="19"/>
        <v>1.9330540407141863E-5</v>
      </c>
      <c r="M60" s="31">
        <v>1000</v>
      </c>
      <c r="N60" s="31">
        <v>1000</v>
      </c>
      <c r="O60" s="32">
        <v>23</v>
      </c>
      <c r="P60" s="50">
        <v>0.18179999999999999</v>
      </c>
      <c r="Q60" s="50">
        <v>0.18179999999999999</v>
      </c>
      <c r="R60" s="56">
        <f t="shared" si="21"/>
        <v>0</v>
      </c>
      <c r="S60" s="56">
        <f t="shared" si="22"/>
        <v>0</v>
      </c>
      <c r="T60" s="56">
        <f t="shared" si="23"/>
        <v>0</v>
      </c>
      <c r="U60" s="57">
        <f t="shared" si="24"/>
        <v>5.9999999999998943E-4</v>
      </c>
      <c r="V60" s="58">
        <f t="shared" si="25"/>
        <v>5.9999999999998943E-4</v>
      </c>
    </row>
    <row r="61" spans="1:22">
      <c r="A61" s="135">
        <v>53</v>
      </c>
      <c r="B61" s="133" t="s">
        <v>99</v>
      </c>
      <c r="C61" s="134" t="s">
        <v>49</v>
      </c>
      <c r="D61" s="44">
        <v>1239298671697.1001</v>
      </c>
      <c r="E61" s="30">
        <f t="shared" si="20"/>
        <v>0.46298654986680388</v>
      </c>
      <c r="F61" s="31">
        <v>100</v>
      </c>
      <c r="G61" s="31">
        <v>100</v>
      </c>
      <c r="H61" s="32">
        <v>171789</v>
      </c>
      <c r="I61" s="50">
        <v>0.20860000000000001</v>
      </c>
      <c r="J61" s="50">
        <v>0.20860000000000001</v>
      </c>
      <c r="K61" s="44">
        <v>1269406378538.21</v>
      </c>
      <c r="L61" s="30">
        <f t="shared" si="19"/>
        <v>0.4742344141896776</v>
      </c>
      <c r="M61" s="31">
        <v>100</v>
      </c>
      <c r="N61" s="31">
        <v>100</v>
      </c>
      <c r="O61" s="32">
        <v>173487</v>
      </c>
      <c r="P61" s="50">
        <v>0.20760000000000001</v>
      </c>
      <c r="Q61" s="50">
        <v>0.20760000000000001</v>
      </c>
      <c r="R61" s="56">
        <f t="shared" si="21"/>
        <v>2.4294149206083034E-2</v>
      </c>
      <c r="S61" s="56">
        <f t="shared" si="22"/>
        <v>0</v>
      </c>
      <c r="T61" s="56">
        <f t="shared" si="23"/>
        <v>9.8842184307493496E-3</v>
      </c>
      <c r="U61" s="57">
        <f t="shared" si="24"/>
        <v>-1.0000000000000009E-3</v>
      </c>
      <c r="V61" s="58">
        <f t="shared" si="25"/>
        <v>-1.0000000000000009E-3</v>
      </c>
    </row>
    <row r="62" spans="1:22">
      <c r="A62" s="135">
        <v>54</v>
      </c>
      <c r="B62" s="133" t="s">
        <v>100</v>
      </c>
      <c r="C62" s="133" t="s">
        <v>101</v>
      </c>
      <c r="D62" s="44">
        <v>3120739549.8099999</v>
      </c>
      <c r="E62" s="30">
        <f t="shared" si="20"/>
        <v>1.1658694309910115E-3</v>
      </c>
      <c r="F62" s="31">
        <v>100</v>
      </c>
      <c r="G62" s="31">
        <v>100</v>
      </c>
      <c r="H62" s="32">
        <v>532</v>
      </c>
      <c r="I62" s="50">
        <v>0.20430000000000001</v>
      </c>
      <c r="J62" s="50">
        <v>0.20430000000000001</v>
      </c>
      <c r="K62" s="44">
        <v>3136122090</v>
      </c>
      <c r="L62" s="30">
        <f t="shared" si="19"/>
        <v>1.17161615643614E-3</v>
      </c>
      <c r="M62" s="31">
        <v>100</v>
      </c>
      <c r="N62" s="31">
        <v>100</v>
      </c>
      <c r="O62" s="32">
        <v>540</v>
      </c>
      <c r="P62" s="50">
        <v>0.20699999999999999</v>
      </c>
      <c r="Q62" s="50">
        <v>0.20699999999999999</v>
      </c>
      <c r="R62" s="56">
        <f t="shared" si="21"/>
        <v>4.9291329649526804E-3</v>
      </c>
      <c r="S62" s="56">
        <f t="shared" si="22"/>
        <v>0</v>
      </c>
      <c r="T62" s="56">
        <f t="shared" si="23"/>
        <v>1.5037593984962405E-2</v>
      </c>
      <c r="U62" s="57">
        <f t="shared" si="24"/>
        <v>2.6999999999999802E-3</v>
      </c>
      <c r="V62" s="58">
        <f t="shared" si="25"/>
        <v>2.6999999999999802E-3</v>
      </c>
    </row>
    <row r="63" spans="1:22">
      <c r="A63" s="135">
        <v>55</v>
      </c>
      <c r="B63" s="133" t="s">
        <v>102</v>
      </c>
      <c r="C63" s="134" t="s">
        <v>103</v>
      </c>
      <c r="D63" s="44">
        <v>4669354452.3161583</v>
      </c>
      <c r="E63" s="30">
        <f t="shared" si="20"/>
        <v>1.7444126725502051E-3</v>
      </c>
      <c r="F63" s="31">
        <v>1</v>
      </c>
      <c r="G63" s="31">
        <v>1</v>
      </c>
      <c r="H63" s="32">
        <v>450</v>
      </c>
      <c r="I63" s="50">
        <v>0.21715266808139833</v>
      </c>
      <c r="J63" s="50">
        <v>0.21715266808139833</v>
      </c>
      <c r="K63" s="44">
        <v>4272766269.9200001</v>
      </c>
      <c r="L63" s="30">
        <f t="shared" si="19"/>
        <v>1.5962522666053646E-3</v>
      </c>
      <c r="M63" s="31">
        <v>1</v>
      </c>
      <c r="N63" s="31">
        <v>1</v>
      </c>
      <c r="O63" s="32">
        <v>462</v>
      </c>
      <c r="P63" s="50">
        <v>0.21738399999999999</v>
      </c>
      <c r="Q63" s="50">
        <v>0.21738399999999999</v>
      </c>
      <c r="R63" s="56">
        <f t="shared" si="21"/>
        <v>-8.4934263707360444E-2</v>
      </c>
      <c r="S63" s="56">
        <f t="shared" si="22"/>
        <v>0</v>
      </c>
      <c r="T63" s="56">
        <f t="shared" si="23"/>
        <v>2.6666666666666668E-2</v>
      </c>
      <c r="U63" s="57">
        <f t="shared" si="24"/>
        <v>2.3133191860166824E-4</v>
      </c>
      <c r="V63" s="58">
        <f t="shared" si="25"/>
        <v>2.3133191860166824E-4</v>
      </c>
    </row>
    <row r="64" spans="1:22">
      <c r="A64" s="135">
        <v>56</v>
      </c>
      <c r="B64" s="133" t="s">
        <v>104</v>
      </c>
      <c r="C64" s="134" t="s">
        <v>52</v>
      </c>
      <c r="D64" s="44">
        <v>123854323296.75</v>
      </c>
      <c r="E64" s="30">
        <f t="shared" si="20"/>
        <v>4.6270432736544805E-2</v>
      </c>
      <c r="F64" s="31">
        <v>1</v>
      </c>
      <c r="G64" s="31">
        <v>1</v>
      </c>
      <c r="H64" s="32">
        <v>51130</v>
      </c>
      <c r="I64" s="50">
        <v>0.1968</v>
      </c>
      <c r="J64" s="50">
        <v>0.1968</v>
      </c>
      <c r="K64" s="44">
        <v>124368954752.66</v>
      </c>
      <c r="L64" s="30">
        <f t="shared" si="19"/>
        <v>4.6462692639396487E-2</v>
      </c>
      <c r="M64" s="31">
        <v>1</v>
      </c>
      <c r="N64" s="31">
        <v>1</v>
      </c>
      <c r="O64" s="32">
        <v>51729</v>
      </c>
      <c r="P64" s="50">
        <v>0.19550000000000001</v>
      </c>
      <c r="Q64" s="50">
        <v>0.19550000000000001</v>
      </c>
      <c r="R64" s="56">
        <f t="shared" si="21"/>
        <v>4.1551351798755328E-3</v>
      </c>
      <c r="S64" s="56">
        <f t="shared" si="22"/>
        <v>0</v>
      </c>
      <c r="T64" s="56">
        <f t="shared" si="23"/>
        <v>1.1715235673772736E-2</v>
      </c>
      <c r="U64" s="57">
        <f t="shared" si="24"/>
        <v>-1.2999999999999956E-3</v>
      </c>
      <c r="V64" s="58">
        <f t="shared" si="25"/>
        <v>-1.2999999999999956E-3</v>
      </c>
    </row>
    <row r="65" spans="1:22">
      <c r="A65" s="135">
        <v>57</v>
      </c>
      <c r="B65" s="133" t="s">
        <v>105</v>
      </c>
      <c r="C65" s="134" t="s">
        <v>106</v>
      </c>
      <c r="D65" s="44">
        <v>1421168426.5699999</v>
      </c>
      <c r="E65" s="30">
        <f t="shared" si="20"/>
        <v>5.3093082533223061E-4</v>
      </c>
      <c r="F65" s="31">
        <v>1</v>
      </c>
      <c r="G65" s="31">
        <v>1</v>
      </c>
      <c r="H65" s="32">
        <v>156</v>
      </c>
      <c r="I65" s="50">
        <v>0.1825</v>
      </c>
      <c r="J65" s="50">
        <v>0.1825</v>
      </c>
      <c r="K65" s="44">
        <v>1388643769.98</v>
      </c>
      <c r="L65" s="30">
        <f t="shared" si="19"/>
        <v>5.1878001868318807E-4</v>
      </c>
      <c r="M65" s="31">
        <v>1</v>
      </c>
      <c r="N65" s="31">
        <v>1</v>
      </c>
      <c r="O65" s="32">
        <v>152</v>
      </c>
      <c r="P65" s="50">
        <v>0.19689999999999999</v>
      </c>
      <c r="Q65" s="50">
        <v>0.19689999999999999</v>
      </c>
      <c r="R65" s="56">
        <f t="shared" si="21"/>
        <v>-2.2885856441729715E-2</v>
      </c>
      <c r="S65" s="56">
        <f t="shared" si="22"/>
        <v>0</v>
      </c>
      <c r="T65" s="56">
        <f t="shared" si="23"/>
        <v>-2.564102564102564E-2</v>
      </c>
      <c r="U65" s="57">
        <f t="shared" si="24"/>
        <v>1.4399999999999996E-2</v>
      </c>
      <c r="V65" s="58">
        <f t="shared" si="25"/>
        <v>1.4399999999999996E-2</v>
      </c>
    </row>
    <row r="66" spans="1:22">
      <c r="A66" s="135">
        <v>58</v>
      </c>
      <c r="B66" s="133" t="s">
        <v>107</v>
      </c>
      <c r="C66" s="134" t="s">
        <v>108</v>
      </c>
      <c r="D66" s="44">
        <v>4219341827.1999998</v>
      </c>
      <c r="E66" s="30">
        <f t="shared" si="20"/>
        <v>1.5762935601382482E-3</v>
      </c>
      <c r="F66" s="31">
        <v>1</v>
      </c>
      <c r="G66" s="31">
        <v>1</v>
      </c>
      <c r="H66" s="32">
        <v>386</v>
      </c>
      <c r="I66" s="50">
        <v>0.2024</v>
      </c>
      <c r="J66" s="50">
        <v>0.2024</v>
      </c>
      <c r="K66" s="44">
        <v>4180989646.6300001</v>
      </c>
      <c r="L66" s="30">
        <f t="shared" si="19"/>
        <v>1.5619656631046324E-3</v>
      </c>
      <c r="M66" s="31">
        <v>1</v>
      </c>
      <c r="N66" s="31">
        <v>1</v>
      </c>
      <c r="O66" s="32">
        <v>382</v>
      </c>
      <c r="P66" s="50">
        <v>0.1968</v>
      </c>
      <c r="Q66" s="50">
        <v>0.21049999999999999</v>
      </c>
      <c r="R66" s="56">
        <f t="shared" si="21"/>
        <v>-9.0896121102969768E-3</v>
      </c>
      <c r="S66" s="56">
        <f t="shared" si="22"/>
        <v>0</v>
      </c>
      <c r="T66" s="56">
        <f t="shared" si="23"/>
        <v>-1.0362694300518135E-2</v>
      </c>
      <c r="U66" s="57">
        <f t="shared" si="24"/>
        <v>-5.5999999999999939E-3</v>
      </c>
      <c r="V66" s="58">
        <f t="shared" si="25"/>
        <v>8.0999999999999961E-3</v>
      </c>
    </row>
    <row r="67" spans="1:22">
      <c r="A67" s="135">
        <v>59</v>
      </c>
      <c r="B67" s="133" t="s">
        <v>109</v>
      </c>
      <c r="C67" s="134" t="s">
        <v>110</v>
      </c>
      <c r="D67" s="44">
        <v>5736746426.04</v>
      </c>
      <c r="E67" s="30">
        <f t="shared" si="20"/>
        <v>2.1431770209321627E-3</v>
      </c>
      <c r="F67" s="31">
        <v>1</v>
      </c>
      <c r="G67" s="31">
        <v>1</v>
      </c>
      <c r="H67" s="32">
        <v>3166</v>
      </c>
      <c r="I67" s="50">
        <v>0.2475</v>
      </c>
      <c r="J67" s="50">
        <v>0.2475</v>
      </c>
      <c r="K67" s="44">
        <v>5798688598.4399996</v>
      </c>
      <c r="L67" s="30">
        <f t="shared" si="19"/>
        <v>2.1663178451303022E-3</v>
      </c>
      <c r="M67" s="31">
        <v>1</v>
      </c>
      <c r="N67" s="31">
        <v>1</v>
      </c>
      <c r="O67" s="32">
        <v>3238</v>
      </c>
      <c r="P67" s="50">
        <v>0.2462</v>
      </c>
      <c r="Q67" s="50">
        <v>0.2462</v>
      </c>
      <c r="R67" s="56">
        <f t="shared" si="21"/>
        <v>1.0797439489190997E-2</v>
      </c>
      <c r="S67" s="56">
        <f t="shared" si="22"/>
        <v>0</v>
      </c>
      <c r="T67" s="56">
        <f t="shared" si="23"/>
        <v>2.2741629816803537E-2</v>
      </c>
      <c r="U67" s="57">
        <f t="shared" si="24"/>
        <v>-1.2999999999999956E-3</v>
      </c>
      <c r="V67" s="58">
        <f t="shared" si="25"/>
        <v>-1.2999999999999956E-3</v>
      </c>
    </row>
    <row r="68" spans="1:22">
      <c r="A68" s="135">
        <v>60</v>
      </c>
      <c r="B68" s="133" t="s">
        <v>111</v>
      </c>
      <c r="C68" s="134" t="s">
        <v>112</v>
      </c>
      <c r="D68" s="44">
        <v>87143512332.970001</v>
      </c>
      <c r="E68" s="30">
        <f t="shared" si="20"/>
        <v>3.2555730946654461E-2</v>
      </c>
      <c r="F68" s="31">
        <v>1</v>
      </c>
      <c r="G68" s="31">
        <v>1</v>
      </c>
      <c r="H68" s="32">
        <v>5145</v>
      </c>
      <c r="I68" s="50">
        <v>0.20399999999999999</v>
      </c>
      <c r="J68" s="50">
        <v>0.20399999999999999</v>
      </c>
      <c r="K68" s="44">
        <v>88442666741.110001</v>
      </c>
      <c r="L68" s="30">
        <f t="shared" si="19"/>
        <v>3.3041078854229723E-2</v>
      </c>
      <c r="M68" s="31">
        <v>1</v>
      </c>
      <c r="N68" s="31">
        <v>1</v>
      </c>
      <c r="O68" s="32">
        <v>5163</v>
      </c>
      <c r="P68" s="50">
        <v>0.20530000000000001</v>
      </c>
      <c r="Q68" s="50">
        <v>0.20530000000000001</v>
      </c>
      <c r="R68" s="56">
        <f t="shared" si="21"/>
        <v>1.4908217185187696E-2</v>
      </c>
      <c r="S68" s="56">
        <f t="shared" si="22"/>
        <v>0</v>
      </c>
      <c r="T68" s="56">
        <f t="shared" si="23"/>
        <v>3.4985422740524781E-3</v>
      </c>
      <c r="U68" s="57">
        <f t="shared" si="24"/>
        <v>1.3000000000000234E-3</v>
      </c>
      <c r="V68" s="58">
        <f t="shared" si="25"/>
        <v>1.3000000000000234E-3</v>
      </c>
    </row>
    <row r="69" spans="1:22">
      <c r="A69" s="36"/>
      <c r="B69" s="37"/>
      <c r="C69" s="38" t="s">
        <v>53</v>
      </c>
      <c r="D69" s="48">
        <f>SUM(D28:D68)</f>
        <v>2628962377044.7275</v>
      </c>
      <c r="E69" s="40">
        <f>(D69/$D$221)</f>
        <v>0.52293662077921244</v>
      </c>
      <c r="F69" s="41"/>
      <c r="G69" s="45"/>
      <c r="H69" s="43">
        <f>SUM(H28:H68)</f>
        <v>405976</v>
      </c>
      <c r="I69" s="55"/>
      <c r="J69" s="55"/>
      <c r="K69" s="48">
        <f>SUM(K28:K68)</f>
        <v>2676748756640.1934</v>
      </c>
      <c r="L69" s="40">
        <f>(K69/$K$221)</f>
        <v>0.52815247661745524</v>
      </c>
      <c r="M69" s="41"/>
      <c r="N69" s="45"/>
      <c r="O69" s="43">
        <f>SUM(O28:O68)</f>
        <v>409331</v>
      </c>
      <c r="P69" s="55"/>
      <c r="Q69" s="55"/>
      <c r="R69" s="56">
        <f t="shared" si="21"/>
        <v>1.8176897475871642E-2</v>
      </c>
      <c r="S69" s="56" t="e">
        <f t="shared" si="22"/>
        <v>#DIV/0!</v>
      </c>
      <c r="T69" s="56">
        <f t="shared" si="23"/>
        <v>8.2640353124322618E-3</v>
      </c>
      <c r="U69" s="57">
        <f t="shared" si="24"/>
        <v>0</v>
      </c>
      <c r="V69" s="58">
        <f t="shared" si="25"/>
        <v>0</v>
      </c>
    </row>
    <row r="70" spans="1:22" ht="3" customHeight="1">
      <c r="A70" s="36"/>
      <c r="B70" s="177"/>
      <c r="C70" s="177"/>
      <c r="D70" s="177"/>
      <c r="E70" s="177"/>
      <c r="F70" s="177"/>
      <c r="G70" s="177"/>
      <c r="H70" s="177"/>
      <c r="I70" s="177"/>
      <c r="J70" s="177"/>
      <c r="K70" s="177"/>
      <c r="L70" s="177"/>
      <c r="M70" s="177"/>
      <c r="N70" s="177"/>
      <c r="O70" s="177"/>
      <c r="P70" s="177"/>
      <c r="Q70" s="177"/>
      <c r="R70" s="177"/>
      <c r="S70" s="177"/>
      <c r="T70" s="177"/>
      <c r="U70" s="177"/>
      <c r="V70" s="177"/>
    </row>
    <row r="71" spans="1:22" ht="15" customHeight="1">
      <c r="A71" s="176" t="s">
        <v>113</v>
      </c>
      <c r="B71" s="176"/>
      <c r="C71" s="176"/>
      <c r="D71" s="176"/>
      <c r="E71" s="176"/>
      <c r="F71" s="176"/>
      <c r="G71" s="176"/>
      <c r="H71" s="176"/>
      <c r="I71" s="176"/>
      <c r="J71" s="176"/>
      <c r="K71" s="176"/>
      <c r="L71" s="176"/>
      <c r="M71" s="176"/>
      <c r="N71" s="176"/>
      <c r="O71" s="176"/>
      <c r="P71" s="176"/>
      <c r="Q71" s="176"/>
      <c r="R71" s="176"/>
      <c r="S71" s="176"/>
      <c r="T71" s="176"/>
      <c r="U71" s="176"/>
      <c r="V71" s="176"/>
    </row>
    <row r="72" spans="1:22">
      <c r="A72" s="135">
        <v>61</v>
      </c>
      <c r="B72" s="133" t="s">
        <v>114</v>
      </c>
      <c r="C72" s="134" t="s">
        <v>21</v>
      </c>
      <c r="D72" s="29">
        <v>540855095.87</v>
      </c>
      <c r="E72" s="30">
        <f>(D72/$D$109)</f>
        <v>2.5915780044685486E-3</v>
      </c>
      <c r="F72" s="60">
        <v>1.4160999999999999</v>
      </c>
      <c r="G72" s="60">
        <v>1.4160999999999999</v>
      </c>
      <c r="H72" s="32">
        <v>474</v>
      </c>
      <c r="I72" s="50">
        <v>-1.4100000000000001E-4</v>
      </c>
      <c r="J72" s="50">
        <v>8.6199999999999999E-2</v>
      </c>
      <c r="K72" s="29">
        <v>540507734.72000003</v>
      </c>
      <c r="L72" s="30">
        <f t="shared" ref="L72:L94" si="35">(K72/$K$109)</f>
        <v>2.5935935092822504E-3</v>
      </c>
      <c r="M72" s="60">
        <v>1.4154</v>
      </c>
      <c r="N72" s="60">
        <v>1.4154</v>
      </c>
      <c r="O72" s="32">
        <v>474</v>
      </c>
      <c r="P72" s="50">
        <v>4.95E-4</v>
      </c>
      <c r="Q72" s="50">
        <v>8.5699999999999998E-2</v>
      </c>
      <c r="R72" s="56">
        <f>((K72-D72)/D72)</f>
        <v>-6.4224438791914043E-4</v>
      </c>
      <c r="S72" s="56">
        <f>((N72-G72)/G72)</f>
        <v>-4.9431537320805241E-4</v>
      </c>
      <c r="T72" s="56">
        <f>((O72-H72)/H72)</f>
        <v>0</v>
      </c>
      <c r="U72" s="57">
        <f>P72-I72</f>
        <v>6.3600000000000006E-4</v>
      </c>
      <c r="V72" s="58">
        <f>Q72-J72</f>
        <v>-5.0000000000000044E-4</v>
      </c>
    </row>
    <row r="73" spans="1:22">
      <c r="A73" s="135">
        <v>62</v>
      </c>
      <c r="B73" s="133" t="s">
        <v>115</v>
      </c>
      <c r="C73" s="134" t="s">
        <v>23</v>
      </c>
      <c r="D73" s="29">
        <v>1302747703.0599999</v>
      </c>
      <c r="E73" s="30">
        <f>(D73/$D$109)</f>
        <v>6.2422861842346715E-3</v>
      </c>
      <c r="F73" s="60">
        <v>1.2342</v>
      </c>
      <c r="G73" s="60">
        <v>1.2342</v>
      </c>
      <c r="H73" s="32">
        <v>917</v>
      </c>
      <c r="I73" s="50">
        <v>9.3100000000000002E-2</v>
      </c>
      <c r="J73" s="50">
        <v>0.16220000000000001</v>
      </c>
      <c r="K73" s="29">
        <v>1304181264.3099999</v>
      </c>
      <c r="L73" s="30">
        <f t="shared" si="35"/>
        <v>6.258034519698751E-3</v>
      </c>
      <c r="M73" s="60">
        <v>1.2375</v>
      </c>
      <c r="N73" s="60">
        <v>1.2375</v>
      </c>
      <c r="O73" s="32">
        <v>925</v>
      </c>
      <c r="P73" s="50">
        <v>0.16109999999999999</v>
      </c>
      <c r="Q73" s="50">
        <v>0.16220000000000001</v>
      </c>
      <c r="R73" s="56">
        <f t="shared" ref="R73:R109" si="36">((K73-D73)/D73)</f>
        <v>1.1004135694369175E-3</v>
      </c>
      <c r="S73" s="56">
        <f t="shared" ref="S73:S109" si="37">((N73-G73)/G73)</f>
        <v>2.6737967914439156E-3</v>
      </c>
      <c r="T73" s="56">
        <f t="shared" ref="T73:T109" si="38">((O73-H73)/H73)</f>
        <v>8.7241003271537627E-3</v>
      </c>
      <c r="U73" s="57">
        <f t="shared" ref="U73:U109" si="39">P73-I73</f>
        <v>6.7999999999999991E-2</v>
      </c>
      <c r="V73" s="58">
        <f t="shared" ref="V73:V109" si="40">Q73-J73</f>
        <v>0</v>
      </c>
    </row>
    <row r="74" spans="1:22">
      <c r="A74" s="135">
        <v>63</v>
      </c>
      <c r="B74" s="133" t="s">
        <v>116</v>
      </c>
      <c r="C74" s="134" t="s">
        <v>23</v>
      </c>
      <c r="D74" s="29">
        <v>797832251.83000004</v>
      </c>
      <c r="E74" s="30">
        <f>(D74/$D$109)</f>
        <v>3.8229176925333422E-3</v>
      </c>
      <c r="F74" s="60">
        <v>1.1088</v>
      </c>
      <c r="G74" s="60">
        <v>1.1088</v>
      </c>
      <c r="H74" s="32">
        <v>253</v>
      </c>
      <c r="I74" s="50">
        <v>0.1226</v>
      </c>
      <c r="J74" s="50">
        <v>0.11990000000000001</v>
      </c>
      <c r="K74" s="29">
        <v>780684785.29999995</v>
      </c>
      <c r="L74" s="30">
        <f t="shared" si="35"/>
        <v>3.7460684868800007E-3</v>
      </c>
      <c r="M74" s="60">
        <v>1.1113999999999999</v>
      </c>
      <c r="N74" s="60">
        <v>1.1113999999999999</v>
      </c>
      <c r="O74" s="32">
        <v>261</v>
      </c>
      <c r="P74" s="50">
        <v>0.1203</v>
      </c>
      <c r="Q74" s="50">
        <v>0.11990000000000001</v>
      </c>
      <c r="R74" s="56">
        <f t="shared" si="36"/>
        <v>-2.1492571265035582E-2</v>
      </c>
      <c r="S74" s="56">
        <f t="shared" si="37"/>
        <v>2.3448773448772869E-3</v>
      </c>
      <c r="T74" s="56">
        <f t="shared" si="38"/>
        <v>3.1620553359683792E-2</v>
      </c>
      <c r="U74" s="57">
        <f t="shared" si="39"/>
        <v>-2.2999999999999965E-3</v>
      </c>
      <c r="V74" s="58">
        <f t="shared" si="40"/>
        <v>0</v>
      </c>
    </row>
    <row r="75" spans="1:22">
      <c r="A75" s="135">
        <v>64</v>
      </c>
      <c r="B75" s="133" t="s">
        <v>117</v>
      </c>
      <c r="C75" s="134" t="s">
        <v>118</v>
      </c>
      <c r="D75" s="29">
        <v>285129457.58999997</v>
      </c>
      <c r="E75" s="30">
        <f>(D75/$D$109)</f>
        <v>1.3662351272250974E-3</v>
      </c>
      <c r="F75" s="35">
        <v>1137.92</v>
      </c>
      <c r="G75" s="35">
        <v>1137.92</v>
      </c>
      <c r="H75" s="32">
        <v>110</v>
      </c>
      <c r="I75" s="50">
        <v>-6.8400000000000004E-4</v>
      </c>
      <c r="J75" s="50">
        <v>2.3363999999999999E-2</v>
      </c>
      <c r="K75" s="29">
        <v>281307863.06</v>
      </c>
      <c r="L75" s="30">
        <f t="shared" si="35"/>
        <v>1.3498386810698111E-3</v>
      </c>
      <c r="M75" s="35">
        <v>1096.2</v>
      </c>
      <c r="N75" s="35">
        <v>1096.2</v>
      </c>
      <c r="O75" s="32">
        <v>110</v>
      </c>
      <c r="P75" s="50">
        <v>2.617E-3</v>
      </c>
      <c r="Q75" s="50">
        <v>2.5898000000000001E-2</v>
      </c>
      <c r="R75" s="56">
        <f t="shared" si="36"/>
        <v>-1.3403015466382321E-2</v>
      </c>
      <c r="S75" s="56">
        <f t="shared" si="37"/>
        <v>-3.6663385826771679E-2</v>
      </c>
      <c r="T75" s="56">
        <f t="shared" si="38"/>
        <v>0</v>
      </c>
      <c r="U75" s="57">
        <f t="shared" si="39"/>
        <v>3.3010000000000001E-3</v>
      </c>
      <c r="V75" s="58">
        <f t="shared" si="40"/>
        <v>2.5340000000000015E-3</v>
      </c>
    </row>
    <row r="76" spans="1:22" ht="15" customHeight="1">
      <c r="A76" s="135">
        <v>65</v>
      </c>
      <c r="B76" s="133" t="s">
        <v>119</v>
      </c>
      <c r="C76" s="134" t="s">
        <v>27</v>
      </c>
      <c r="D76" s="29">
        <v>1717402986.4200001</v>
      </c>
      <c r="E76" s="30">
        <f>(D76/$K$109)</f>
        <v>8.2408538347898096E-3</v>
      </c>
      <c r="F76" s="35">
        <v>1.0843</v>
      </c>
      <c r="G76" s="35">
        <v>1.0843</v>
      </c>
      <c r="H76" s="32">
        <v>907</v>
      </c>
      <c r="I76" s="50">
        <v>3.5000000000000001E-3</v>
      </c>
      <c r="J76" s="50">
        <v>3.6999999999999998E-2</v>
      </c>
      <c r="K76" s="29">
        <v>1617399539.01</v>
      </c>
      <c r="L76" s="30">
        <f t="shared" si="35"/>
        <v>7.7609933712891608E-3</v>
      </c>
      <c r="M76" s="35">
        <v>1.0874999999999999</v>
      </c>
      <c r="N76" s="35">
        <v>1.0874999999999999</v>
      </c>
      <c r="O76" s="32">
        <v>908</v>
      </c>
      <c r="P76" s="50">
        <v>3.0000000000000001E-3</v>
      </c>
      <c r="Q76" s="50">
        <v>3.9899999999999998E-2</v>
      </c>
      <c r="R76" s="56">
        <f t="shared" si="36"/>
        <v>-5.8229459364375243E-2</v>
      </c>
      <c r="S76" s="56">
        <f t="shared" si="37"/>
        <v>2.9512127639950837E-3</v>
      </c>
      <c r="T76" s="56">
        <f t="shared" si="38"/>
        <v>1.1025358324145535E-3</v>
      </c>
      <c r="U76" s="57">
        <f t="shared" si="39"/>
        <v>-5.0000000000000001E-4</v>
      </c>
      <c r="V76" s="58">
        <f t="shared" si="40"/>
        <v>2.8999999999999998E-3</v>
      </c>
    </row>
    <row r="77" spans="1:22">
      <c r="A77" s="135">
        <v>66</v>
      </c>
      <c r="B77" s="133" t="s">
        <v>120</v>
      </c>
      <c r="C77" s="134" t="s">
        <v>121</v>
      </c>
      <c r="D77" s="29">
        <v>445844080.29740155</v>
      </c>
      <c r="E77" s="30">
        <f t="shared" ref="E77:E94" si="41">(D77/$D$109)</f>
        <v>2.136320283832505E-3</v>
      </c>
      <c r="F77" s="35">
        <v>2.5575999999999999</v>
      </c>
      <c r="G77" s="35">
        <v>2.5575999999999999</v>
      </c>
      <c r="H77" s="32">
        <v>1390</v>
      </c>
      <c r="I77" s="50">
        <v>0.1452</v>
      </c>
      <c r="J77" s="50">
        <v>0.13900000000000001</v>
      </c>
      <c r="K77" s="29">
        <v>446948436.13297099</v>
      </c>
      <c r="L77" s="30">
        <f t="shared" si="35"/>
        <v>2.144654902189012E-3</v>
      </c>
      <c r="M77" s="35">
        <v>2.5635557256981385</v>
      </c>
      <c r="N77" s="35">
        <v>2.5635557256981385</v>
      </c>
      <c r="O77" s="32">
        <v>1390</v>
      </c>
      <c r="P77" s="50">
        <v>0.12139999999999999</v>
      </c>
      <c r="Q77" s="50">
        <v>0.1394</v>
      </c>
      <c r="R77" s="56">
        <f t="shared" si="36"/>
        <v>2.4770001091699539E-3</v>
      </c>
      <c r="S77" s="56">
        <f t="shared" si="37"/>
        <v>2.328638449381696E-3</v>
      </c>
      <c r="T77" s="56">
        <f t="shared" si="38"/>
        <v>0</v>
      </c>
      <c r="U77" s="57">
        <f t="shared" si="39"/>
        <v>-2.3800000000000002E-2</v>
      </c>
      <c r="V77" s="58">
        <f t="shared" si="40"/>
        <v>3.999999999999837E-4</v>
      </c>
    </row>
    <row r="78" spans="1:22">
      <c r="A78" s="135">
        <v>67</v>
      </c>
      <c r="B78" s="133" t="s">
        <v>122</v>
      </c>
      <c r="C78" s="134" t="s">
        <v>63</v>
      </c>
      <c r="D78" s="29">
        <v>154198761.15000001</v>
      </c>
      <c r="E78" s="30">
        <f t="shared" si="41"/>
        <v>7.3886355285204082E-4</v>
      </c>
      <c r="F78" s="35">
        <v>11.74</v>
      </c>
      <c r="G78" s="35">
        <v>11.86</v>
      </c>
      <c r="H78" s="32">
        <v>30</v>
      </c>
      <c r="I78" s="50">
        <v>-0.497</v>
      </c>
      <c r="J78" s="50">
        <v>0.30209999999999998</v>
      </c>
      <c r="K78" s="29">
        <v>153020054.06999999</v>
      </c>
      <c r="L78" s="30">
        <f t="shared" si="35"/>
        <v>7.3425742784525194E-4</v>
      </c>
      <c r="M78" s="35">
        <v>11.79</v>
      </c>
      <c r="N78" s="35">
        <v>11.89</v>
      </c>
      <c r="O78" s="32">
        <v>29</v>
      </c>
      <c r="P78" s="50">
        <v>0.28699999999999998</v>
      </c>
      <c r="Q78" s="50">
        <v>0.29699999999999999</v>
      </c>
      <c r="R78" s="56">
        <f t="shared" si="36"/>
        <v>-7.6440761988574059E-3</v>
      </c>
      <c r="S78" s="56">
        <f t="shared" si="37"/>
        <v>2.5295109612142614E-3</v>
      </c>
      <c r="T78" s="56">
        <f t="shared" si="38"/>
        <v>-3.3333333333333333E-2</v>
      </c>
      <c r="U78" s="57">
        <f t="shared" si="39"/>
        <v>0.78400000000000003</v>
      </c>
      <c r="V78" s="58">
        <f t="shared" si="40"/>
        <v>-5.0999999999999934E-3</v>
      </c>
    </row>
    <row r="79" spans="1:22">
      <c r="A79" s="135">
        <v>68</v>
      </c>
      <c r="B79" s="133" t="s">
        <v>123</v>
      </c>
      <c r="C79" s="134" t="s">
        <v>65</v>
      </c>
      <c r="D79" s="29">
        <v>2054753129.9118299</v>
      </c>
      <c r="E79" s="30">
        <f t="shared" si="41"/>
        <v>9.8456186449102714E-3</v>
      </c>
      <c r="F79" s="29">
        <v>4532.8186100355997</v>
      </c>
      <c r="G79" s="29">
        <v>4532.8186100355997</v>
      </c>
      <c r="H79" s="32">
        <v>1096</v>
      </c>
      <c r="I79" s="50">
        <v>0.10545121116944002</v>
      </c>
      <c r="J79" s="50">
        <v>0.12243610462831089</v>
      </c>
      <c r="K79" s="29">
        <v>2059160334.97211</v>
      </c>
      <c r="L79" s="30">
        <f t="shared" si="35"/>
        <v>9.8807556974586878E-3</v>
      </c>
      <c r="M79" s="29">
        <v>4541.9470753413498</v>
      </c>
      <c r="N79" s="29">
        <v>4541.9470753413498</v>
      </c>
      <c r="O79" s="32">
        <v>1097</v>
      </c>
      <c r="P79" s="50">
        <v>0.10500845132373725</v>
      </c>
      <c r="Q79" s="50">
        <v>0.12153712242638641</v>
      </c>
      <c r="R79" s="56">
        <f t="shared" si="36"/>
        <v>2.1448830013312591E-3</v>
      </c>
      <c r="S79" s="56">
        <f t="shared" si="37"/>
        <v>2.0138607103182488E-3</v>
      </c>
      <c r="T79" s="56">
        <f t="shared" si="38"/>
        <v>9.1240875912408756E-4</v>
      </c>
      <c r="U79" s="57">
        <f t="shared" si="39"/>
        <v>-4.427598457027726E-4</v>
      </c>
      <c r="V79" s="58">
        <f t="shared" si="40"/>
        <v>-8.9898220192448364E-4</v>
      </c>
    </row>
    <row r="80" spans="1:22">
      <c r="A80" s="135">
        <v>69</v>
      </c>
      <c r="B80" s="133" t="s">
        <v>124</v>
      </c>
      <c r="C80" s="134" t="s">
        <v>67</v>
      </c>
      <c r="D80" s="29">
        <v>343999582.81999999</v>
      </c>
      <c r="E80" s="30">
        <f t="shared" si="41"/>
        <v>1.6483190399613989E-3</v>
      </c>
      <c r="F80" s="60">
        <v>114</v>
      </c>
      <c r="G80" s="60">
        <v>114</v>
      </c>
      <c r="H80" s="32">
        <v>136</v>
      </c>
      <c r="I80" s="50">
        <v>2.3E-3</v>
      </c>
      <c r="J80" s="50">
        <v>0.1275</v>
      </c>
      <c r="K80" s="29">
        <v>344036666.18000001</v>
      </c>
      <c r="L80" s="30">
        <f t="shared" si="35"/>
        <v>1.6508390297537319E-3</v>
      </c>
      <c r="M80" s="60">
        <v>114.23</v>
      </c>
      <c r="N80" s="60">
        <v>114.23</v>
      </c>
      <c r="O80" s="32">
        <v>137</v>
      </c>
      <c r="P80" s="50">
        <v>2E-3</v>
      </c>
      <c r="Q80" s="50">
        <v>0.1275</v>
      </c>
      <c r="R80" s="56">
        <f t="shared" si="36"/>
        <v>1.0780059584961304E-4</v>
      </c>
      <c r="S80" s="56">
        <f t="shared" si="37"/>
        <v>2.0175438596491575E-3</v>
      </c>
      <c r="T80" s="56">
        <f t="shared" si="38"/>
        <v>7.3529411764705881E-3</v>
      </c>
      <c r="U80" s="57">
        <f t="shared" si="39"/>
        <v>-2.9999999999999992E-4</v>
      </c>
      <c r="V80" s="58">
        <f t="shared" si="40"/>
        <v>0</v>
      </c>
    </row>
    <row r="81" spans="1:22" ht="13.5" customHeight="1">
      <c r="A81" s="135">
        <v>70</v>
      </c>
      <c r="B81" s="133" t="s">
        <v>125</v>
      </c>
      <c r="C81" s="134" t="s">
        <v>301</v>
      </c>
      <c r="D81" s="29">
        <v>368863800.5</v>
      </c>
      <c r="E81" s="30">
        <f t="shared" si="41"/>
        <v>1.7674591943758712E-3</v>
      </c>
      <c r="F81" s="60">
        <v>1.4027000000000001</v>
      </c>
      <c r="G81" s="60">
        <v>1.4027000000000001</v>
      </c>
      <c r="H81" s="32">
        <v>409</v>
      </c>
      <c r="I81" s="50">
        <v>1.0705109905795318E-3</v>
      </c>
      <c r="J81" s="50">
        <v>6.8498686991607882E-2</v>
      </c>
      <c r="K81" s="29">
        <v>369824345.30000001</v>
      </c>
      <c r="L81" s="30">
        <f t="shared" si="35"/>
        <v>1.7745796404588364E-3</v>
      </c>
      <c r="M81" s="60">
        <v>1.4058999999999999</v>
      </c>
      <c r="N81" s="60">
        <v>1.4058999999999999</v>
      </c>
      <c r="O81" s="32">
        <v>410</v>
      </c>
      <c r="P81" s="50">
        <v>2.2813146075424395E-3</v>
      </c>
      <c r="Q81" s="50">
        <v>7.083530619569689E-2</v>
      </c>
      <c r="R81" s="56">
        <f t="shared" si="36"/>
        <v>2.6040636101942781E-3</v>
      </c>
      <c r="S81" s="56">
        <f t="shared" si="37"/>
        <v>2.2813146075425033E-3</v>
      </c>
      <c r="T81" s="56">
        <f t="shared" si="38"/>
        <v>2.4449877750611247E-3</v>
      </c>
      <c r="U81" s="57">
        <f t="shared" si="39"/>
        <v>1.2108036169629077E-3</v>
      </c>
      <c r="V81" s="58">
        <f t="shared" si="40"/>
        <v>2.3366192040890077E-3</v>
      </c>
    </row>
    <row r="82" spans="1:22" ht="13.5" customHeight="1">
      <c r="A82" s="135">
        <v>71</v>
      </c>
      <c r="B82" s="133" t="s">
        <v>299</v>
      </c>
      <c r="C82" s="134" t="s">
        <v>301</v>
      </c>
      <c r="D82" s="29">
        <v>25508171.59</v>
      </c>
      <c r="E82" s="30">
        <f t="shared" si="41"/>
        <v>1.2222574388527692E-4</v>
      </c>
      <c r="F82" s="60">
        <v>0.88819999999999999</v>
      </c>
      <c r="G82" s="60">
        <v>0.88819999999999999</v>
      </c>
      <c r="H82" s="32">
        <v>1</v>
      </c>
      <c r="I82" s="50">
        <v>-3.3764772087785389E-4</v>
      </c>
      <c r="J82" s="50">
        <v>-9.0424987199180795E-2</v>
      </c>
      <c r="K82" s="29">
        <v>25587352.649999999</v>
      </c>
      <c r="L82" s="30">
        <f t="shared" si="35"/>
        <v>1.2277935631602795E-4</v>
      </c>
      <c r="M82" s="60">
        <v>0.88800000000000001</v>
      </c>
      <c r="N82" s="60">
        <v>0.88800000000000001</v>
      </c>
      <c r="O82" s="32">
        <v>1</v>
      </c>
      <c r="P82" s="50">
        <v>-2.2517451024539614E-4</v>
      </c>
      <c r="Q82" s="50">
        <v>-9.0629800307219677E-2</v>
      </c>
      <c r="R82" s="56">
        <f t="shared" ref="R82" si="42">((K82-D82)/D82)</f>
        <v>3.1041448706202097E-3</v>
      </c>
      <c r="S82" s="56">
        <f t="shared" ref="S82" si="43">((N82-G82)/G82)</f>
        <v>-2.2517451024541541E-4</v>
      </c>
      <c r="T82" s="56">
        <f t="shared" ref="T82" si="44">((O82-H82)/H82)</f>
        <v>0</v>
      </c>
      <c r="U82" s="57">
        <f t="shared" ref="U82" si="45">P82-I82</f>
        <v>1.1247321063245774E-4</v>
      </c>
      <c r="V82" s="58">
        <f t="shared" ref="V82" si="46">Q82-J82</f>
        <v>-2.0481310803888153E-4</v>
      </c>
    </row>
    <row r="83" spans="1:22">
      <c r="A83" s="135">
        <v>72</v>
      </c>
      <c r="B83" s="133" t="s">
        <v>127</v>
      </c>
      <c r="C83" s="134" t="s">
        <v>29</v>
      </c>
      <c r="D83" s="29">
        <v>135471196.43000001</v>
      </c>
      <c r="E83" s="30">
        <f t="shared" si="41"/>
        <v>6.4912797454979101E-4</v>
      </c>
      <c r="F83" s="60">
        <v>135.96119999999999</v>
      </c>
      <c r="G83" s="60">
        <v>135.96119999999999</v>
      </c>
      <c r="H83" s="32">
        <v>220</v>
      </c>
      <c r="I83" s="50">
        <v>1.536E-3</v>
      </c>
      <c r="J83" s="50">
        <v>3.9800000000000002E-2</v>
      </c>
      <c r="K83" s="29">
        <v>136450643.31999999</v>
      </c>
      <c r="L83" s="30">
        <f t="shared" si="35"/>
        <v>6.5475011756394106E-4</v>
      </c>
      <c r="M83" s="60">
        <v>130.50380000000001</v>
      </c>
      <c r="N83" s="60">
        <v>130.50380000000001</v>
      </c>
      <c r="O83" s="32">
        <v>220</v>
      </c>
      <c r="P83" s="50">
        <v>4.1599999999999997E-4</v>
      </c>
      <c r="Q83" s="50">
        <v>4.1799999999999997E-2</v>
      </c>
      <c r="R83" s="56">
        <f t="shared" si="36"/>
        <v>7.2299272156061646E-3</v>
      </c>
      <c r="S83" s="56">
        <f t="shared" si="37"/>
        <v>-4.0139392709096264E-2</v>
      </c>
      <c r="T83" s="56">
        <f t="shared" si="38"/>
        <v>0</v>
      </c>
      <c r="U83" s="57">
        <f t="shared" si="39"/>
        <v>-1.1200000000000001E-3</v>
      </c>
      <c r="V83" s="58">
        <f t="shared" si="40"/>
        <v>1.9999999999999948E-3</v>
      </c>
    </row>
    <row r="84" spans="1:22">
      <c r="A84" s="135">
        <v>73</v>
      </c>
      <c r="B84" s="133" t="s">
        <v>128</v>
      </c>
      <c r="C84" s="134" t="s">
        <v>98</v>
      </c>
      <c r="D84" s="29">
        <v>1530916448.8700004</v>
      </c>
      <c r="E84" s="30">
        <f t="shared" si="41"/>
        <v>7.3355866032631745E-3</v>
      </c>
      <c r="F84" s="35">
        <v>1000</v>
      </c>
      <c r="G84" s="35">
        <v>1000</v>
      </c>
      <c r="H84" s="32">
        <v>345</v>
      </c>
      <c r="I84" s="50">
        <v>1.17E-2</v>
      </c>
      <c r="J84" s="50">
        <v>0.20669999999999999</v>
      </c>
      <c r="K84" s="29">
        <v>1536467789.3400002</v>
      </c>
      <c r="L84" s="30">
        <f t="shared" si="35"/>
        <v>7.3726472900851525E-3</v>
      </c>
      <c r="M84" s="35">
        <v>1000</v>
      </c>
      <c r="N84" s="35">
        <v>1000</v>
      </c>
      <c r="O84" s="32">
        <v>348</v>
      </c>
      <c r="P84" s="50">
        <v>1.15E-2</v>
      </c>
      <c r="Q84" s="50">
        <v>0.2041</v>
      </c>
      <c r="R84" s="56">
        <f t="shared" si="36"/>
        <v>3.6261550877563203E-3</v>
      </c>
      <c r="S84" s="56">
        <f t="shared" si="37"/>
        <v>0</v>
      </c>
      <c r="T84" s="56">
        <f t="shared" si="38"/>
        <v>8.6956521739130436E-3</v>
      </c>
      <c r="U84" s="57">
        <f t="shared" si="39"/>
        <v>-2.0000000000000052E-4</v>
      </c>
      <c r="V84" s="58">
        <f t="shared" si="40"/>
        <v>-2.5999999999999912E-3</v>
      </c>
    </row>
    <row r="85" spans="1:22">
      <c r="A85" s="135">
        <v>74</v>
      </c>
      <c r="B85" s="133" t="s">
        <v>129</v>
      </c>
      <c r="C85" s="134" t="s">
        <v>72</v>
      </c>
      <c r="D85" s="29">
        <v>175008753.22</v>
      </c>
      <c r="E85" s="30">
        <f t="shared" si="41"/>
        <v>8.3857735444805963E-4</v>
      </c>
      <c r="F85" s="35">
        <v>1053.76</v>
      </c>
      <c r="G85" s="35">
        <v>1064.4000000000001</v>
      </c>
      <c r="H85" s="32">
        <v>71</v>
      </c>
      <c r="I85" s="50">
        <v>1.1999999999999999E-3</v>
      </c>
      <c r="J85" s="50">
        <v>4.7800000000000002E-2</v>
      </c>
      <c r="K85" s="29">
        <v>175441297.50999999</v>
      </c>
      <c r="L85" s="30">
        <f t="shared" si="35"/>
        <v>8.4184440157495364E-4</v>
      </c>
      <c r="M85" s="35">
        <v>1056.6600000000001</v>
      </c>
      <c r="N85" s="35">
        <v>1064.1600000000001</v>
      </c>
      <c r="O85" s="32">
        <v>71</v>
      </c>
      <c r="P85" s="50">
        <v>1.2999999999999999E-3</v>
      </c>
      <c r="Q85" s="50">
        <v>4.9099999999999998E-2</v>
      </c>
      <c r="R85" s="56">
        <f t="shared" si="36"/>
        <v>2.4715580337644535E-3</v>
      </c>
      <c r="S85" s="56">
        <f t="shared" si="37"/>
        <v>-2.2547914317926445E-4</v>
      </c>
      <c r="T85" s="56">
        <f t="shared" si="38"/>
        <v>0</v>
      </c>
      <c r="U85" s="57">
        <f t="shared" si="39"/>
        <v>1.0000000000000005E-4</v>
      </c>
      <c r="V85" s="58">
        <f t="shared" si="40"/>
        <v>1.2999999999999956E-3</v>
      </c>
    </row>
    <row r="86" spans="1:22">
      <c r="A86" s="135">
        <v>75</v>
      </c>
      <c r="B86" s="133" t="s">
        <v>130</v>
      </c>
      <c r="C86" s="134" t="s">
        <v>75</v>
      </c>
      <c r="D86" s="29">
        <v>656475375.76999998</v>
      </c>
      <c r="E86" s="30">
        <f t="shared" si="41"/>
        <v>3.1455877134412419E-3</v>
      </c>
      <c r="F86" s="61">
        <v>1.1819999999999999</v>
      </c>
      <c r="G86" s="61">
        <v>1.1819999999999999</v>
      </c>
      <c r="H86" s="32">
        <v>47</v>
      </c>
      <c r="I86" s="50">
        <v>1.4E-3</v>
      </c>
      <c r="J86" s="50">
        <v>0.1225</v>
      </c>
      <c r="K86" s="29">
        <v>656475375.76999998</v>
      </c>
      <c r="L86" s="30">
        <f t="shared" si="35"/>
        <v>3.1500571855511269E-3</v>
      </c>
      <c r="M86" s="61">
        <v>1.1840999999999999</v>
      </c>
      <c r="N86" s="61">
        <v>1.1840999999999999</v>
      </c>
      <c r="O86" s="32">
        <v>46</v>
      </c>
      <c r="P86" s="50">
        <v>1.1999999999999999E-3</v>
      </c>
      <c r="Q86" s="50">
        <v>0.122</v>
      </c>
      <c r="R86" s="56">
        <f t="shared" si="36"/>
        <v>0</v>
      </c>
      <c r="S86" s="56">
        <f t="shared" si="37"/>
        <v>1.7766497461928856E-3</v>
      </c>
      <c r="T86" s="56">
        <f t="shared" si="38"/>
        <v>-2.1276595744680851E-2</v>
      </c>
      <c r="U86" s="57">
        <f t="shared" si="39"/>
        <v>-2.0000000000000009E-4</v>
      </c>
      <c r="V86" s="58">
        <f t="shared" si="40"/>
        <v>-5.0000000000000044E-4</v>
      </c>
    </row>
    <row r="87" spans="1:22">
      <c r="A87" s="135">
        <v>76</v>
      </c>
      <c r="B87" s="133" t="s">
        <v>131</v>
      </c>
      <c r="C87" s="134" t="s">
        <v>31</v>
      </c>
      <c r="D87" s="29">
        <v>12411223919.809999</v>
      </c>
      <c r="E87" s="30">
        <f t="shared" si="41"/>
        <v>5.9470004377743003E-2</v>
      </c>
      <c r="F87" s="61">
        <v>1707</v>
      </c>
      <c r="G87" s="61">
        <v>1707</v>
      </c>
      <c r="H87" s="32">
        <v>2116</v>
      </c>
      <c r="I87" s="50">
        <v>1.2999999999999999E-3</v>
      </c>
      <c r="J87" s="50">
        <v>8.3000000000000001E-3</v>
      </c>
      <c r="K87" s="29">
        <v>12340125691.27</v>
      </c>
      <c r="L87" s="30">
        <f t="shared" si="35"/>
        <v>5.9213343011982528E-2</v>
      </c>
      <c r="M87" s="61">
        <v>1708.14</v>
      </c>
      <c r="N87" s="61">
        <v>1708.14</v>
      </c>
      <c r="O87" s="32">
        <v>2110</v>
      </c>
      <c r="P87" s="50">
        <v>6.9999999999999999E-4</v>
      </c>
      <c r="Q87" s="50">
        <v>8.9999999999999993E-3</v>
      </c>
      <c r="R87" s="56">
        <f t="shared" si="36"/>
        <v>-5.7285428898367205E-3</v>
      </c>
      <c r="S87" s="56">
        <f t="shared" si="37"/>
        <v>6.6783831282958409E-4</v>
      </c>
      <c r="T87" s="56">
        <f t="shared" si="38"/>
        <v>-2.8355387523629491E-3</v>
      </c>
      <c r="U87" s="57">
        <f t="shared" si="39"/>
        <v>-5.9999999999999995E-4</v>
      </c>
      <c r="V87" s="58">
        <f t="shared" si="40"/>
        <v>6.9999999999999923E-4</v>
      </c>
    </row>
    <row r="88" spans="1:22">
      <c r="A88" s="135">
        <v>77</v>
      </c>
      <c r="B88" s="133" t="s">
        <v>132</v>
      </c>
      <c r="C88" s="134" t="s">
        <v>80</v>
      </c>
      <c r="D88" s="29">
        <v>23299951.690000001</v>
      </c>
      <c r="E88" s="30">
        <f t="shared" si="41"/>
        <v>1.1164476911852487E-4</v>
      </c>
      <c r="F88" s="60">
        <v>0.71060000000000001</v>
      </c>
      <c r="G88" s="60">
        <v>0.71060000000000001</v>
      </c>
      <c r="H88" s="32">
        <v>746</v>
      </c>
      <c r="I88" s="50">
        <v>2.3E-3</v>
      </c>
      <c r="J88" s="50">
        <v>-8.5000000000000006E-3</v>
      </c>
      <c r="K88" s="29">
        <v>23352258.68</v>
      </c>
      <c r="L88" s="30">
        <f t="shared" si="35"/>
        <v>1.1205439376534236E-4</v>
      </c>
      <c r="M88" s="60">
        <v>0.71220000000000006</v>
      </c>
      <c r="N88" s="60">
        <v>0.71220000000000006</v>
      </c>
      <c r="O88" s="32">
        <v>746</v>
      </c>
      <c r="P88" s="50">
        <v>2.3E-3</v>
      </c>
      <c r="Q88" s="50">
        <v>-6.3E-3</v>
      </c>
      <c r="R88" s="56">
        <f t="shared" si="36"/>
        <v>2.2449398477700604E-3</v>
      </c>
      <c r="S88" s="56">
        <f t="shared" si="37"/>
        <v>2.2516183506896227E-3</v>
      </c>
      <c r="T88" s="56">
        <f t="shared" si="38"/>
        <v>0</v>
      </c>
      <c r="U88" s="57">
        <f t="shared" si="39"/>
        <v>0</v>
      </c>
      <c r="V88" s="58">
        <f t="shared" si="40"/>
        <v>2.2000000000000006E-3</v>
      </c>
    </row>
    <row r="89" spans="1:22">
      <c r="A89" s="135">
        <v>78</v>
      </c>
      <c r="B89" s="133" t="s">
        <v>133</v>
      </c>
      <c r="C89" s="134" t="s">
        <v>37</v>
      </c>
      <c r="D89" s="29">
        <v>11020432925.049999</v>
      </c>
      <c r="E89" s="30">
        <f t="shared" si="41"/>
        <v>5.2805847234071959E-2</v>
      </c>
      <c r="F89" s="60">
        <v>1</v>
      </c>
      <c r="G89" s="60">
        <v>1</v>
      </c>
      <c r="H89" s="32">
        <v>4277</v>
      </c>
      <c r="I89" s="50">
        <v>0.06</v>
      </c>
      <c r="J89" s="50">
        <v>0.06</v>
      </c>
      <c r="K89" s="29">
        <v>10896350697.870001</v>
      </c>
      <c r="L89" s="30">
        <f t="shared" si="35"/>
        <v>5.2285476468710824E-2</v>
      </c>
      <c r="M89" s="60">
        <v>1</v>
      </c>
      <c r="N89" s="60">
        <v>1</v>
      </c>
      <c r="O89" s="32">
        <v>4277</v>
      </c>
      <c r="P89" s="50">
        <v>0.06</v>
      </c>
      <c r="Q89" s="50">
        <v>0.06</v>
      </c>
      <c r="R89" s="56">
        <f t="shared" si="36"/>
        <v>-1.1259287908549695E-2</v>
      </c>
      <c r="S89" s="56">
        <f t="shared" si="37"/>
        <v>0</v>
      </c>
      <c r="T89" s="56">
        <f t="shared" si="38"/>
        <v>0</v>
      </c>
      <c r="U89" s="57">
        <f t="shared" si="39"/>
        <v>0</v>
      </c>
      <c r="V89" s="58">
        <f t="shared" si="40"/>
        <v>0</v>
      </c>
    </row>
    <row r="90" spans="1:22">
      <c r="A90" s="135">
        <v>79</v>
      </c>
      <c r="B90" s="133" t="s">
        <v>134</v>
      </c>
      <c r="C90" s="134" t="s">
        <v>135</v>
      </c>
      <c r="D90" s="29">
        <v>1577798202.6099999</v>
      </c>
      <c r="E90" s="30">
        <f t="shared" si="41"/>
        <v>7.5602266644020219E-3</v>
      </c>
      <c r="F90" s="29">
        <v>246.98</v>
      </c>
      <c r="G90" s="29">
        <v>249.04</v>
      </c>
      <c r="H90" s="32">
        <v>517</v>
      </c>
      <c r="I90" s="50">
        <v>3.0000000000000001E-3</v>
      </c>
      <c r="J90" s="50">
        <v>0.1865</v>
      </c>
      <c r="K90" s="29">
        <v>1594144826.8399999</v>
      </c>
      <c r="L90" s="30">
        <f t="shared" si="35"/>
        <v>7.6494070485225059E-3</v>
      </c>
      <c r="M90" s="29">
        <v>250.86</v>
      </c>
      <c r="N90" s="29">
        <v>253.02</v>
      </c>
      <c r="O90" s="32">
        <v>519</v>
      </c>
      <c r="P90" s="50">
        <v>3.0000000000000001E-3</v>
      </c>
      <c r="Q90" s="50">
        <v>0.18709999999999999</v>
      </c>
      <c r="R90" s="56">
        <f t="shared" si="36"/>
        <v>1.0360402365118284E-2</v>
      </c>
      <c r="S90" s="56">
        <f t="shared" si="37"/>
        <v>1.5981368454866762E-2</v>
      </c>
      <c r="T90" s="56">
        <f t="shared" si="38"/>
        <v>3.8684719535783366E-3</v>
      </c>
      <c r="U90" s="57">
        <f t="shared" si="39"/>
        <v>0</v>
      </c>
      <c r="V90" s="58">
        <f t="shared" si="40"/>
        <v>5.9999999999998943E-4</v>
      </c>
    </row>
    <row r="91" spans="1:22">
      <c r="A91" s="135">
        <v>80</v>
      </c>
      <c r="B91" s="133" t="s">
        <v>136</v>
      </c>
      <c r="C91" s="134" t="s">
        <v>41</v>
      </c>
      <c r="D91" s="29">
        <v>1117939529.8800001</v>
      </c>
      <c r="E91" s="30">
        <f t="shared" si="41"/>
        <v>5.3567536260383051E-3</v>
      </c>
      <c r="F91" s="60">
        <v>3.72</v>
      </c>
      <c r="G91" s="60">
        <v>3.72</v>
      </c>
      <c r="H91" s="46">
        <v>772</v>
      </c>
      <c r="I91" s="53">
        <v>1.9E-3</v>
      </c>
      <c r="J91" s="53">
        <v>9.5500000000000002E-2</v>
      </c>
      <c r="K91" s="29">
        <v>1117590407.03</v>
      </c>
      <c r="L91" s="30">
        <f t="shared" si="35"/>
        <v>5.3626896333142564E-3</v>
      </c>
      <c r="M91" s="60">
        <v>3.73</v>
      </c>
      <c r="N91" s="60">
        <v>3.73</v>
      </c>
      <c r="O91" s="46">
        <v>771</v>
      </c>
      <c r="P91" s="53">
        <v>1.9E-3</v>
      </c>
      <c r="Q91" s="53">
        <v>9.5899999999999999E-2</v>
      </c>
      <c r="R91" s="56">
        <f t="shared" si="36"/>
        <v>-3.1229135446853549E-4</v>
      </c>
      <c r="S91" s="56">
        <f t="shared" si="37"/>
        <v>2.6881720430106952E-3</v>
      </c>
      <c r="T91" s="56">
        <f t="shared" si="38"/>
        <v>-1.2953367875647669E-3</v>
      </c>
      <c r="U91" s="57">
        <f t="shared" si="39"/>
        <v>0</v>
      </c>
      <c r="V91" s="58">
        <f t="shared" si="40"/>
        <v>3.9999999999999758E-4</v>
      </c>
    </row>
    <row r="92" spans="1:22">
      <c r="A92" s="135">
        <v>81</v>
      </c>
      <c r="B92" s="133" t="s">
        <v>137</v>
      </c>
      <c r="C92" s="134" t="s">
        <v>43</v>
      </c>
      <c r="D92" s="29">
        <v>581557792.33000004</v>
      </c>
      <c r="E92" s="30">
        <f t="shared" si="41"/>
        <v>2.7866103036440193E-3</v>
      </c>
      <c r="F92" s="60">
        <v>108.68188000000001</v>
      </c>
      <c r="G92" s="60">
        <v>108.68188000000001</v>
      </c>
      <c r="H92" s="46">
        <v>59</v>
      </c>
      <c r="I92" s="53">
        <v>0.1497</v>
      </c>
      <c r="J92" s="53">
        <v>0.17319999999999999</v>
      </c>
      <c r="K92" s="29">
        <v>580155940.75999999</v>
      </c>
      <c r="L92" s="30">
        <f t="shared" si="35"/>
        <v>2.7838430158749713E-3</v>
      </c>
      <c r="M92" s="60">
        <v>108.94</v>
      </c>
      <c r="N92" s="60">
        <v>108.98714</v>
      </c>
      <c r="O92" s="46">
        <v>59</v>
      </c>
      <c r="P92" s="53">
        <v>0.1492</v>
      </c>
      <c r="Q92" s="53">
        <v>0.17280000000000001</v>
      </c>
      <c r="R92" s="56">
        <f t="shared" si="36"/>
        <v>-2.4105111968039518E-3</v>
      </c>
      <c r="S92" s="56">
        <f t="shared" si="37"/>
        <v>2.8087478795912422E-3</v>
      </c>
      <c r="T92" s="56">
        <f t="shared" si="38"/>
        <v>0</v>
      </c>
      <c r="U92" s="57">
        <f t="shared" si="39"/>
        <v>-5.0000000000000044E-4</v>
      </c>
      <c r="V92" s="58">
        <f t="shared" si="40"/>
        <v>-3.999999999999837E-4</v>
      </c>
    </row>
    <row r="93" spans="1:22">
      <c r="A93" s="135">
        <v>82</v>
      </c>
      <c r="B93" s="134" t="s">
        <v>138</v>
      </c>
      <c r="C93" s="184" t="s">
        <v>47</v>
      </c>
      <c r="D93" s="29">
        <v>1453271837.9100001</v>
      </c>
      <c r="E93" s="30">
        <f t="shared" si="41"/>
        <v>6.9635422840619741E-3</v>
      </c>
      <c r="F93" s="60">
        <v>100.11</v>
      </c>
      <c r="G93" s="60">
        <v>100.11</v>
      </c>
      <c r="H93" s="32">
        <v>289</v>
      </c>
      <c r="I93" s="50">
        <v>2E-3</v>
      </c>
      <c r="J93" s="50">
        <v>2.86E-2</v>
      </c>
      <c r="K93" s="29">
        <v>1458970868.27</v>
      </c>
      <c r="L93" s="30">
        <f t="shared" si="35"/>
        <v>7.0007830251257747E-3</v>
      </c>
      <c r="M93" s="60">
        <v>100.28</v>
      </c>
      <c r="N93" s="60">
        <v>100.28</v>
      </c>
      <c r="O93" s="32">
        <v>289</v>
      </c>
      <c r="P93" s="50">
        <v>1.9E-3</v>
      </c>
      <c r="Q93" s="50">
        <v>3.0300000000000001E-2</v>
      </c>
      <c r="R93" s="56">
        <f t="shared" si="36"/>
        <v>3.9215170977205923E-3</v>
      </c>
      <c r="S93" s="56">
        <f t="shared" si="37"/>
        <v>1.6981320547398034E-3</v>
      </c>
      <c r="T93" s="56">
        <f t="shared" si="38"/>
        <v>0</v>
      </c>
      <c r="U93" s="57">
        <f t="shared" si="39"/>
        <v>-1.0000000000000005E-4</v>
      </c>
      <c r="V93" s="58">
        <f t="shared" si="40"/>
        <v>1.7000000000000001E-3</v>
      </c>
    </row>
    <row r="94" spans="1:22">
      <c r="A94" s="135">
        <v>83</v>
      </c>
      <c r="B94" s="133" t="s">
        <v>139</v>
      </c>
      <c r="C94" s="134" t="s">
        <v>19</v>
      </c>
      <c r="D94" s="29">
        <v>1413561721.3599999</v>
      </c>
      <c r="E94" s="30">
        <f t="shared" si="41"/>
        <v>6.7732660614809098E-3</v>
      </c>
      <c r="F94" s="60">
        <v>355.71350000000001</v>
      </c>
      <c r="G94" s="60">
        <v>355.71350000000001</v>
      </c>
      <c r="H94" s="32">
        <v>196</v>
      </c>
      <c r="I94" s="50">
        <v>2.5999999999999999E-3</v>
      </c>
      <c r="J94" s="50">
        <v>3.6999999999999998E-2</v>
      </c>
      <c r="K94" s="29">
        <v>1416829407.51</v>
      </c>
      <c r="L94" s="30">
        <f t="shared" si="35"/>
        <v>6.7985697873162764E-3</v>
      </c>
      <c r="M94" s="60">
        <v>356.47590000000002</v>
      </c>
      <c r="N94" s="60">
        <v>356.47590000000002</v>
      </c>
      <c r="O94" s="32">
        <v>196</v>
      </c>
      <c r="P94" s="50">
        <v>2.0999999999999999E-3</v>
      </c>
      <c r="Q94" s="50">
        <v>3.9199999999999999E-2</v>
      </c>
      <c r="R94" s="56">
        <f t="shared" si="36"/>
        <v>2.3116685324898489E-3</v>
      </c>
      <c r="S94" s="56">
        <f t="shared" si="37"/>
        <v>2.1432979068829656E-3</v>
      </c>
      <c r="T94" s="56">
        <f t="shared" si="38"/>
        <v>0</v>
      </c>
      <c r="U94" s="57">
        <f t="shared" si="39"/>
        <v>-5.0000000000000001E-4</v>
      </c>
      <c r="V94" s="58">
        <f t="shared" si="40"/>
        <v>2.2000000000000006E-3</v>
      </c>
    </row>
    <row r="95" spans="1:22">
      <c r="A95" s="135">
        <v>84</v>
      </c>
      <c r="B95" s="133" t="s">
        <v>140</v>
      </c>
      <c r="C95" s="134" t="s">
        <v>89</v>
      </c>
      <c r="D95" s="44">
        <v>1527979760</v>
      </c>
      <c r="E95" s="30">
        <f>(D95/$K$69)</f>
        <v>5.7083420930318935E-4</v>
      </c>
      <c r="F95" s="60">
        <v>101.82</v>
      </c>
      <c r="G95" s="60">
        <v>101.82</v>
      </c>
      <c r="H95" s="32">
        <v>389</v>
      </c>
      <c r="I95" s="50">
        <v>2.8999999999999998E-3</v>
      </c>
      <c r="J95" s="50">
        <v>0.14419999999999999</v>
      </c>
      <c r="K95" s="44">
        <v>1513534664</v>
      </c>
      <c r="L95" s="30">
        <f>(K95/$K$69)</f>
        <v>5.6543770133277702E-4</v>
      </c>
      <c r="M95" s="60">
        <v>102.09</v>
      </c>
      <c r="N95" s="60">
        <v>102.09</v>
      </c>
      <c r="O95" s="32">
        <v>390</v>
      </c>
      <c r="P95" s="50">
        <v>2.7000000000000001E-3</v>
      </c>
      <c r="Q95" s="50">
        <v>0.1439</v>
      </c>
      <c r="R95" s="56">
        <f t="shared" si="36"/>
        <v>-9.4537220833344031E-3</v>
      </c>
      <c r="S95" s="56">
        <f t="shared" si="37"/>
        <v>2.6517383618150682E-3</v>
      </c>
      <c r="T95" s="56">
        <f t="shared" si="38"/>
        <v>2.5706940874035988E-3</v>
      </c>
      <c r="U95" s="57">
        <f t="shared" si="39"/>
        <v>-1.9999999999999966E-4</v>
      </c>
      <c r="V95" s="58">
        <f t="shared" si="40"/>
        <v>-2.9999999999999472E-4</v>
      </c>
    </row>
    <row r="96" spans="1:22">
      <c r="A96" s="135">
        <v>85</v>
      </c>
      <c r="B96" s="133" t="s">
        <v>141</v>
      </c>
      <c r="C96" s="134" t="s">
        <v>45</v>
      </c>
      <c r="D96" s="29">
        <v>60225348.18</v>
      </c>
      <c r="E96" s="30">
        <f t="shared" ref="E96:E108" si="47">(D96/$D$109)</f>
        <v>2.8857764093668262E-4</v>
      </c>
      <c r="F96" s="29">
        <v>12.5</v>
      </c>
      <c r="G96" s="29">
        <v>12.89</v>
      </c>
      <c r="H96" s="32">
        <v>58</v>
      </c>
      <c r="I96" s="50">
        <v>8.0000000000000004E-4</v>
      </c>
      <c r="J96" s="50">
        <v>2.6200000000000001E-2</v>
      </c>
      <c r="K96" s="29">
        <v>60271726.640000001</v>
      </c>
      <c r="L96" s="30">
        <f t="shared" ref="L96:L108" si="48">(K96/$K$109)</f>
        <v>2.8921021655262151E-4</v>
      </c>
      <c r="M96" s="29">
        <v>12.53</v>
      </c>
      <c r="N96" s="29">
        <v>12.93</v>
      </c>
      <c r="O96" s="32">
        <v>58</v>
      </c>
      <c r="P96" s="50">
        <v>-5.9999999999999995E-4</v>
      </c>
      <c r="Q96" s="50">
        <v>2.6700000000000002E-2</v>
      </c>
      <c r="R96" s="56">
        <f t="shared" si="36"/>
        <v>7.700820568340448E-4</v>
      </c>
      <c r="S96" s="56">
        <f t="shared" si="37"/>
        <v>3.1031807602792199E-3</v>
      </c>
      <c r="T96" s="56">
        <f t="shared" si="38"/>
        <v>0</v>
      </c>
      <c r="U96" s="57">
        <f t="shared" si="39"/>
        <v>-1.4E-3</v>
      </c>
      <c r="V96" s="58">
        <f t="shared" si="40"/>
        <v>5.0000000000000044E-4</v>
      </c>
    </row>
    <row r="97" spans="1:28">
      <c r="A97" s="135">
        <v>86</v>
      </c>
      <c r="B97" s="133" t="s">
        <v>142</v>
      </c>
      <c r="C97" s="134" t="s">
        <v>143</v>
      </c>
      <c r="D97" s="29">
        <v>512735496.08999997</v>
      </c>
      <c r="E97" s="30">
        <f t="shared" si="47"/>
        <v>2.4568392605040785E-3</v>
      </c>
      <c r="F97" s="29">
        <v>137.79</v>
      </c>
      <c r="G97" s="29">
        <v>137.79</v>
      </c>
      <c r="H97" s="32">
        <v>130</v>
      </c>
      <c r="I97" s="50">
        <v>0.20610000000000001</v>
      </c>
      <c r="J97" s="50">
        <v>0.19769999999999999</v>
      </c>
      <c r="K97" s="29">
        <v>515594645.97000003</v>
      </c>
      <c r="L97" s="30">
        <f t="shared" si="48"/>
        <v>2.4740495673039827E-3</v>
      </c>
      <c r="M97" s="29">
        <v>138.26</v>
      </c>
      <c r="N97" s="29">
        <v>128.26</v>
      </c>
      <c r="O97" s="32">
        <v>132</v>
      </c>
      <c r="P97" s="50">
        <v>0.19209999999999999</v>
      </c>
      <c r="Q97" s="50">
        <v>0.1973</v>
      </c>
      <c r="R97" s="56">
        <f t="shared" si="36"/>
        <v>5.576266714130888E-3</v>
      </c>
      <c r="S97" s="56">
        <f t="shared" si="37"/>
        <v>-6.9163219391828151E-2</v>
      </c>
      <c r="T97" s="56">
        <f t="shared" si="38"/>
        <v>1.5384615384615385E-2</v>
      </c>
      <c r="U97" s="57">
        <f t="shared" si="39"/>
        <v>-1.4000000000000012E-2</v>
      </c>
      <c r="V97" s="58">
        <f t="shared" si="40"/>
        <v>-3.999999999999837E-4</v>
      </c>
    </row>
    <row r="98" spans="1:28">
      <c r="A98" s="135">
        <v>87</v>
      </c>
      <c r="B98" s="133" t="s">
        <v>144</v>
      </c>
      <c r="C98" s="134" t="s">
        <v>145</v>
      </c>
      <c r="D98" s="29">
        <v>8510556577.3443527</v>
      </c>
      <c r="E98" s="30">
        <f t="shared" si="47"/>
        <v>4.0779446103124235E-2</v>
      </c>
      <c r="F98" s="29">
        <v>1.0487294877355273</v>
      </c>
      <c r="G98" s="29">
        <v>1.0487294877355273</v>
      </c>
      <c r="H98" s="32">
        <v>4680</v>
      </c>
      <c r="I98" s="50">
        <v>0.19020000000000001</v>
      </c>
      <c r="J98" s="50">
        <v>0.19020000000000001</v>
      </c>
      <c r="K98" s="29">
        <v>8501153171.4436989</v>
      </c>
      <c r="L98" s="30">
        <f t="shared" si="48"/>
        <v>4.0792266734707192E-2</v>
      </c>
      <c r="M98" s="29">
        <v>1.0524500000000001</v>
      </c>
      <c r="N98" s="29">
        <v>1.0524500000000001</v>
      </c>
      <c r="O98" s="32">
        <v>4687</v>
      </c>
      <c r="P98" s="50">
        <v>0.19040000000000001</v>
      </c>
      <c r="Q98" s="50">
        <v>0.19040000000000001</v>
      </c>
      <c r="R98" s="56">
        <f t="shared" si="36"/>
        <v>-1.1049108028593933E-3</v>
      </c>
      <c r="S98" s="56">
        <f t="shared" si="37"/>
        <v>3.5476376968347815E-3</v>
      </c>
      <c r="T98" s="56">
        <f t="shared" si="38"/>
        <v>1.4957264957264958E-3</v>
      </c>
      <c r="U98" s="57">
        <f t="shared" si="39"/>
        <v>2.0000000000000573E-4</v>
      </c>
      <c r="V98" s="58">
        <f t="shared" si="40"/>
        <v>2.0000000000000573E-4</v>
      </c>
    </row>
    <row r="99" spans="1:28" ht="14.25" customHeight="1">
      <c r="A99" s="135">
        <v>88</v>
      </c>
      <c r="B99" s="133" t="s">
        <v>146</v>
      </c>
      <c r="C99" s="134" t="s">
        <v>49</v>
      </c>
      <c r="D99" s="29">
        <v>8539683734.5500002</v>
      </c>
      <c r="E99" s="30">
        <f t="shared" si="47"/>
        <v>4.0919012690410303E-2</v>
      </c>
      <c r="F99" s="29">
        <v>5171.8100000000004</v>
      </c>
      <c r="G99" s="29">
        <v>5171.8100000000004</v>
      </c>
      <c r="H99" s="32">
        <v>254</v>
      </c>
      <c r="I99" s="50">
        <v>1E-4</v>
      </c>
      <c r="J99" s="50">
        <v>8.9999999999999998E-4</v>
      </c>
      <c r="K99" s="29">
        <v>8540005047.7700005</v>
      </c>
      <c r="L99" s="30">
        <f t="shared" si="48"/>
        <v>4.0978695101575119E-2</v>
      </c>
      <c r="M99" s="29">
        <v>5172.0200000000004</v>
      </c>
      <c r="N99" s="29">
        <v>5172.0200000000004</v>
      </c>
      <c r="O99" s="32">
        <v>253</v>
      </c>
      <c r="P99" s="50">
        <v>0</v>
      </c>
      <c r="Q99" s="50">
        <v>8.9999999999999998E-4</v>
      </c>
      <c r="R99" s="56">
        <f t="shared" si="36"/>
        <v>3.7625892244731786E-5</v>
      </c>
      <c r="S99" s="56">
        <f t="shared" si="37"/>
        <v>4.0604739926647798E-5</v>
      </c>
      <c r="T99" s="56">
        <f t="shared" si="38"/>
        <v>-3.937007874015748E-3</v>
      </c>
      <c r="U99" s="57">
        <f t="shared" si="39"/>
        <v>-1E-4</v>
      </c>
      <c r="V99" s="58">
        <f t="shared" si="40"/>
        <v>0</v>
      </c>
    </row>
    <row r="100" spans="1:28" ht="13.5" customHeight="1">
      <c r="A100" s="135">
        <v>89</v>
      </c>
      <c r="B100" s="133" t="s">
        <v>147</v>
      </c>
      <c r="C100" s="134" t="s">
        <v>49</v>
      </c>
      <c r="D100" s="29">
        <v>20076700713.669998</v>
      </c>
      <c r="E100" s="30">
        <f t="shared" si="47"/>
        <v>9.6200140054428174E-2</v>
      </c>
      <c r="F100" s="60">
        <v>259.05</v>
      </c>
      <c r="G100" s="60">
        <v>259.05</v>
      </c>
      <c r="H100" s="32">
        <v>6247</v>
      </c>
      <c r="I100" s="50">
        <v>0</v>
      </c>
      <c r="J100" s="50">
        <v>8.0000000000000004E-4</v>
      </c>
      <c r="K100" s="29">
        <v>20019371778.490002</v>
      </c>
      <c r="L100" s="30">
        <f t="shared" si="48"/>
        <v>9.6061738564198751E-2</v>
      </c>
      <c r="M100" s="60">
        <v>259.06</v>
      </c>
      <c r="N100" s="60">
        <v>259.06</v>
      </c>
      <c r="O100" s="32">
        <v>6242</v>
      </c>
      <c r="P100" s="50">
        <v>0</v>
      </c>
      <c r="Q100" s="50">
        <v>8.0000000000000004E-4</v>
      </c>
      <c r="R100" s="56">
        <f t="shared" si="36"/>
        <v>-2.8554958305954058E-3</v>
      </c>
      <c r="S100" s="56">
        <f t="shared" si="37"/>
        <v>3.8602586373251902E-5</v>
      </c>
      <c r="T100" s="56">
        <f t="shared" si="38"/>
        <v>-8.0038418440851614E-4</v>
      </c>
      <c r="U100" s="57">
        <f t="shared" si="39"/>
        <v>0</v>
      </c>
      <c r="V100" s="58">
        <f t="shared" si="40"/>
        <v>0</v>
      </c>
    </row>
    <row r="101" spans="1:28" ht="13.5" customHeight="1">
      <c r="A101" s="135">
        <v>90</v>
      </c>
      <c r="B101" s="133" t="s">
        <v>148</v>
      </c>
      <c r="C101" s="134" t="s">
        <v>49</v>
      </c>
      <c r="D101" s="29">
        <v>442542023.38999999</v>
      </c>
      <c r="E101" s="30">
        <f t="shared" si="47"/>
        <v>2.1204980458318441E-3</v>
      </c>
      <c r="F101" s="35">
        <v>7309.46</v>
      </c>
      <c r="G101" s="35">
        <v>7340.52</v>
      </c>
      <c r="H101" s="32">
        <v>15</v>
      </c>
      <c r="I101" s="50">
        <v>-5.5999999999999999E-3</v>
      </c>
      <c r="J101" s="50">
        <v>7.5800000000000006E-2</v>
      </c>
      <c r="K101" s="29">
        <v>443909297.94999999</v>
      </c>
      <c r="L101" s="30">
        <f t="shared" si="48"/>
        <v>2.1300717823577136E-3</v>
      </c>
      <c r="M101" s="35">
        <v>7331.98</v>
      </c>
      <c r="N101" s="35">
        <v>7363.25</v>
      </c>
      <c r="O101" s="32">
        <v>15</v>
      </c>
      <c r="P101" s="50">
        <v>3.0999999999999999E-3</v>
      </c>
      <c r="Q101" s="50">
        <v>7.9200000000000007E-2</v>
      </c>
      <c r="R101" s="56">
        <f t="shared" si="36"/>
        <v>3.0895925985204376E-3</v>
      </c>
      <c r="S101" s="56">
        <f t="shared" si="37"/>
        <v>3.0965108738889835E-3</v>
      </c>
      <c r="T101" s="56">
        <f t="shared" si="38"/>
        <v>0</v>
      </c>
      <c r="U101" s="57">
        <f t="shared" si="39"/>
        <v>8.6999999999999994E-3</v>
      </c>
      <c r="V101" s="58">
        <f t="shared" si="40"/>
        <v>3.4000000000000002E-3</v>
      </c>
    </row>
    <row r="102" spans="1:28" ht="15" customHeight="1">
      <c r="A102" s="135">
        <v>91</v>
      </c>
      <c r="B102" s="133" t="s">
        <v>149</v>
      </c>
      <c r="C102" s="134" t="s">
        <v>49</v>
      </c>
      <c r="D102" s="29">
        <v>6187083423.4499998</v>
      </c>
      <c r="E102" s="30">
        <f t="shared" si="47"/>
        <v>2.9646220280559202E-2</v>
      </c>
      <c r="F102" s="60">
        <v>144.31</v>
      </c>
      <c r="G102" s="60">
        <v>144.31</v>
      </c>
      <c r="H102" s="32">
        <v>4545</v>
      </c>
      <c r="I102" s="50">
        <v>3.2000000000000002E-3</v>
      </c>
      <c r="J102" s="50">
        <v>4.6600000000000003E-2</v>
      </c>
      <c r="K102" s="29">
        <v>6150409133.9799995</v>
      </c>
      <c r="L102" s="30">
        <f t="shared" si="48"/>
        <v>2.9512364365302295E-2</v>
      </c>
      <c r="M102" s="60">
        <v>144.69</v>
      </c>
      <c r="N102" s="60">
        <v>144.69</v>
      </c>
      <c r="O102" s="32">
        <v>4548</v>
      </c>
      <c r="P102" s="50">
        <v>2.5999999999999999E-3</v>
      </c>
      <c r="Q102" s="50">
        <v>4.9399999999999999E-2</v>
      </c>
      <c r="R102" s="56">
        <f t="shared" si="36"/>
        <v>-5.9275569698961968E-3</v>
      </c>
      <c r="S102" s="56">
        <f t="shared" si="37"/>
        <v>2.6332201510636507E-3</v>
      </c>
      <c r="T102" s="56">
        <f t="shared" si="38"/>
        <v>6.6006600660066007E-4</v>
      </c>
      <c r="U102" s="57">
        <f t="shared" si="39"/>
        <v>-6.0000000000000027E-4</v>
      </c>
      <c r="V102" s="58">
        <f t="shared" si="40"/>
        <v>2.7999999999999969E-3</v>
      </c>
    </row>
    <row r="103" spans="1:28" ht="15" customHeight="1">
      <c r="A103" s="135">
        <v>92</v>
      </c>
      <c r="B103" s="133" t="s">
        <v>150</v>
      </c>
      <c r="C103" s="134" t="s">
        <v>49</v>
      </c>
      <c r="D103" s="29">
        <v>7488083402.3800001</v>
      </c>
      <c r="E103" s="30">
        <f t="shared" si="47"/>
        <v>3.5880132015800467E-2</v>
      </c>
      <c r="F103" s="60">
        <v>361.53</v>
      </c>
      <c r="G103" s="60">
        <v>362.19</v>
      </c>
      <c r="H103" s="32">
        <v>10184</v>
      </c>
      <c r="I103" s="50">
        <v>2.3999999999999998E-3</v>
      </c>
      <c r="J103" s="50">
        <v>2.24E-2</v>
      </c>
      <c r="K103" s="29">
        <v>7442519903.9200001</v>
      </c>
      <c r="L103" s="30">
        <f t="shared" si="48"/>
        <v>3.5712479351494138E-2</v>
      </c>
      <c r="M103" s="60">
        <v>358.61</v>
      </c>
      <c r="N103" s="60">
        <v>359.21</v>
      </c>
      <c r="O103" s="32">
        <v>10187</v>
      </c>
      <c r="P103" s="50">
        <v>-8.2000000000000007E-3</v>
      </c>
      <c r="Q103" s="50">
        <v>1.4E-2</v>
      </c>
      <c r="R103" s="56">
        <f t="shared" si="36"/>
        <v>-6.0848011449122228E-3</v>
      </c>
      <c r="S103" s="56">
        <f t="shared" si="37"/>
        <v>-8.2277257792871643E-3</v>
      </c>
      <c r="T103" s="56">
        <f t="shared" si="38"/>
        <v>2.9457973291437551E-4</v>
      </c>
      <c r="U103" s="57">
        <f t="shared" si="39"/>
        <v>-1.06E-2</v>
      </c>
      <c r="V103" s="58">
        <f t="shared" si="40"/>
        <v>-8.3999999999999995E-3</v>
      </c>
    </row>
    <row r="104" spans="1:28">
      <c r="A104" s="135">
        <v>93</v>
      </c>
      <c r="B104" s="133" t="s">
        <v>151</v>
      </c>
      <c r="C104" s="134" t="s">
        <v>52</v>
      </c>
      <c r="D104" s="29">
        <v>88065701844.160004</v>
      </c>
      <c r="E104" s="30">
        <f t="shared" si="47"/>
        <v>0.42197834057621142</v>
      </c>
      <c r="F104" s="29">
        <v>2.0057999999999998</v>
      </c>
      <c r="G104" s="29">
        <v>2.0057999999999998</v>
      </c>
      <c r="H104" s="32">
        <v>6447</v>
      </c>
      <c r="I104" s="50">
        <v>8.6800000000000002E-2</v>
      </c>
      <c r="J104" s="50">
        <v>8.0100000000000005E-2</v>
      </c>
      <c r="K104" s="29">
        <v>88181103384.649994</v>
      </c>
      <c r="L104" s="30">
        <f t="shared" si="48"/>
        <v>0.42313166433825811</v>
      </c>
      <c r="M104" s="29">
        <v>2.0099</v>
      </c>
      <c r="N104" s="29">
        <v>2.0099</v>
      </c>
      <c r="O104" s="32">
        <v>6455</v>
      </c>
      <c r="P104" s="50">
        <v>0.1123</v>
      </c>
      <c r="Q104" s="50">
        <v>8.2100000000000006E-2</v>
      </c>
      <c r="R104" s="56">
        <f t="shared" si="36"/>
        <v>1.3104027796678826E-3</v>
      </c>
      <c r="S104" s="56">
        <f t="shared" si="37"/>
        <v>2.0440721906472307E-3</v>
      </c>
      <c r="T104" s="56">
        <f t="shared" si="38"/>
        <v>1.2408872343725764E-3</v>
      </c>
      <c r="U104" s="57">
        <f t="shared" si="39"/>
        <v>2.5499999999999995E-2</v>
      </c>
      <c r="V104" s="58">
        <f t="shared" si="40"/>
        <v>2.0000000000000018E-3</v>
      </c>
    </row>
    <row r="105" spans="1:28">
      <c r="A105" s="135">
        <v>94</v>
      </c>
      <c r="B105" s="133" t="s">
        <v>152</v>
      </c>
      <c r="C105" s="134" t="s">
        <v>52</v>
      </c>
      <c r="D105" s="29">
        <v>24785307325.060001</v>
      </c>
      <c r="E105" s="30">
        <f t="shared" si="47"/>
        <v>0.11876204511727066</v>
      </c>
      <c r="F105" s="29">
        <v>114.82380000000001</v>
      </c>
      <c r="G105" s="29">
        <v>114.82380000000001</v>
      </c>
      <c r="H105" s="32">
        <v>503</v>
      </c>
      <c r="I105" s="50">
        <v>0.20039999999999999</v>
      </c>
      <c r="J105" s="50">
        <v>0.21909999999999999</v>
      </c>
      <c r="K105" s="29">
        <v>24806511595.639999</v>
      </c>
      <c r="L105" s="30">
        <f t="shared" si="48"/>
        <v>0.11903253798156264</v>
      </c>
      <c r="M105" s="29">
        <v>115.259</v>
      </c>
      <c r="N105" s="29">
        <v>115.259</v>
      </c>
      <c r="O105" s="32">
        <v>512</v>
      </c>
      <c r="P105" s="50">
        <v>0.218</v>
      </c>
      <c r="Q105" s="50">
        <v>0.219</v>
      </c>
      <c r="R105" s="56">
        <f t="shared" ref="R105:R107" si="49">((K105-D105)/D105)</f>
        <v>8.5551775904584969E-4</v>
      </c>
      <c r="S105" s="56">
        <f t="shared" ref="S105:S107" si="50">((N105-G105)/G105)</f>
        <v>3.7901550027084514E-3</v>
      </c>
      <c r="T105" s="56">
        <f t="shared" ref="T105:T107" si="51">((O105-H105)/H105)</f>
        <v>1.7892644135188866E-2</v>
      </c>
      <c r="U105" s="57">
        <f t="shared" ref="U105:U107" si="52">P105-I105</f>
        <v>1.7600000000000005E-2</v>
      </c>
      <c r="V105" s="58">
        <f t="shared" ref="V105:V107" si="53">Q105-J105</f>
        <v>-9.9999999999988987E-5</v>
      </c>
    </row>
    <row r="106" spans="1:28">
      <c r="A106" s="135">
        <v>95</v>
      </c>
      <c r="B106" s="133" t="s">
        <v>153</v>
      </c>
      <c r="C106" s="133" t="s">
        <v>154</v>
      </c>
      <c r="D106" s="29">
        <v>104040490.7</v>
      </c>
      <c r="E106" s="30">
        <f t="shared" si="47"/>
        <v>4.9852363291228493E-4</v>
      </c>
      <c r="F106" s="29">
        <v>113.9234465205908</v>
      </c>
      <c r="G106" s="29">
        <v>113.9234465205908</v>
      </c>
      <c r="H106" s="62">
        <v>73</v>
      </c>
      <c r="I106" s="63">
        <v>4.6537684929400342E-3</v>
      </c>
      <c r="J106" s="63">
        <v>3.1883497433872421E-2</v>
      </c>
      <c r="K106" s="29">
        <v>104283401.19</v>
      </c>
      <c r="L106" s="64">
        <f t="shared" si="48"/>
        <v>5.0039756154899846E-4</v>
      </c>
      <c r="M106" s="29">
        <v>114.18943142733831</v>
      </c>
      <c r="N106" s="29">
        <v>114.18943142733831</v>
      </c>
      <c r="O106" s="62">
        <v>72</v>
      </c>
      <c r="P106" s="63">
        <v>2.3347687843997093E-3</v>
      </c>
      <c r="Q106" s="63">
        <v>3.4292706812818263E-2</v>
      </c>
      <c r="R106" s="56">
        <f t="shared" si="49"/>
        <v>2.3347687843997705E-3</v>
      </c>
      <c r="S106" s="56">
        <f t="shared" si="50"/>
        <v>2.3347687843997093E-3</v>
      </c>
      <c r="T106" s="56">
        <f t="shared" si="51"/>
        <v>-1.3698630136986301E-2</v>
      </c>
      <c r="U106" s="57">
        <f t="shared" si="52"/>
        <v>-2.3189997085403249E-3</v>
      </c>
      <c r="V106" s="58">
        <f t="shared" si="53"/>
        <v>2.4092093789458424E-3</v>
      </c>
    </row>
    <row r="107" spans="1:28">
      <c r="A107" s="135">
        <v>96</v>
      </c>
      <c r="B107" s="133" t="s">
        <v>155</v>
      </c>
      <c r="C107" s="134" t="s">
        <v>110</v>
      </c>
      <c r="D107" s="29">
        <v>281617591.70999998</v>
      </c>
      <c r="E107" s="30">
        <f t="shared" si="47"/>
        <v>1.3494075620625438E-3</v>
      </c>
      <c r="F107" s="29">
        <v>1.1736</v>
      </c>
      <c r="G107" s="29">
        <v>1.1736</v>
      </c>
      <c r="H107" s="32">
        <v>469</v>
      </c>
      <c r="I107" s="50">
        <v>-9.325E-3</v>
      </c>
      <c r="J107" s="50">
        <v>9.0122999999999995E-2</v>
      </c>
      <c r="K107" s="29">
        <v>282382231.79000002</v>
      </c>
      <c r="L107" s="30">
        <f t="shared" si="48"/>
        <v>1.3549939741132073E-3</v>
      </c>
      <c r="M107" s="29">
        <v>1.1775</v>
      </c>
      <c r="N107" s="29">
        <v>1.1775</v>
      </c>
      <c r="O107" s="32">
        <v>476</v>
      </c>
      <c r="P107" s="50">
        <v>2.3879999999999999E-3</v>
      </c>
      <c r="Q107" s="50">
        <v>9.3771999999999994E-2</v>
      </c>
      <c r="R107" s="56">
        <f t="shared" si="49"/>
        <v>2.7151715748902601E-3</v>
      </c>
      <c r="S107" s="56">
        <f t="shared" si="50"/>
        <v>3.3231083844580903E-3</v>
      </c>
      <c r="T107" s="56">
        <f t="shared" si="51"/>
        <v>1.4925373134328358E-2</v>
      </c>
      <c r="U107" s="57">
        <f t="shared" si="52"/>
        <v>1.1712999999999999E-2</v>
      </c>
      <c r="V107" s="58">
        <f t="shared" si="53"/>
        <v>3.6489999999999995E-3</v>
      </c>
    </row>
    <row r="108" spans="1:28">
      <c r="A108" s="135">
        <v>97</v>
      </c>
      <c r="B108" s="133" t="s">
        <v>156</v>
      </c>
      <c r="C108" s="134" t="s">
        <v>112</v>
      </c>
      <c r="D108" s="29">
        <v>1980858374.03</v>
      </c>
      <c r="E108" s="30">
        <f t="shared" si="47"/>
        <v>9.4915422472739014E-3</v>
      </c>
      <c r="F108" s="60">
        <v>28.4282</v>
      </c>
      <c r="G108" s="60">
        <v>28.4282</v>
      </c>
      <c r="H108" s="32">
        <v>1298</v>
      </c>
      <c r="I108" s="50">
        <v>0</v>
      </c>
      <c r="J108" s="50">
        <v>0.1159</v>
      </c>
      <c r="K108" s="29">
        <v>1985034290.1400001</v>
      </c>
      <c r="L108" s="30">
        <f t="shared" si="48"/>
        <v>9.5250663772218219E-3</v>
      </c>
      <c r="M108" s="60">
        <v>28.471699999999998</v>
      </c>
      <c r="N108" s="60">
        <v>28.471699999999998</v>
      </c>
      <c r="O108" s="32">
        <v>1299</v>
      </c>
      <c r="P108" s="50">
        <v>0</v>
      </c>
      <c r="Q108" s="50">
        <v>0.1149</v>
      </c>
      <c r="R108" s="56">
        <f t="shared" si="36"/>
        <v>2.1081346171681879E-3</v>
      </c>
      <c r="S108" s="56">
        <f t="shared" si="37"/>
        <v>1.5301707459493775E-3</v>
      </c>
      <c r="T108" s="56">
        <f t="shared" si="38"/>
        <v>7.7041602465331282E-4</v>
      </c>
      <c r="U108" s="57">
        <f t="shared" si="39"/>
        <v>0</v>
      </c>
      <c r="V108" s="58">
        <f t="shared" si="40"/>
        <v>-1.0000000000000009E-3</v>
      </c>
    </row>
    <row r="109" spans="1:28">
      <c r="A109" s="36"/>
      <c r="B109" s="37"/>
      <c r="C109" s="38" t="s">
        <v>53</v>
      </c>
      <c r="D109" s="48">
        <f>SUM(D72:D108)</f>
        <v>208697208780.68359</v>
      </c>
      <c r="E109" s="40">
        <f>(D109/$D$221)</f>
        <v>4.1512732962160494E-2</v>
      </c>
      <c r="F109" s="41"/>
      <c r="G109" s="45"/>
      <c r="H109" s="43">
        <f>SUM(H72:H108)</f>
        <v>50670</v>
      </c>
      <c r="I109" s="53"/>
      <c r="J109" s="53"/>
      <c r="K109" s="48">
        <f>SUM(K72:K108)</f>
        <v>208401097853.44882</v>
      </c>
      <c r="L109" s="40">
        <f>(K109/$K$221)</f>
        <v>4.111986815649088E-2</v>
      </c>
      <c r="M109" s="41"/>
      <c r="N109" s="45"/>
      <c r="O109" s="43">
        <f>SUM(O72:O108)</f>
        <v>50720</v>
      </c>
      <c r="P109" s="53"/>
      <c r="Q109" s="53"/>
      <c r="R109" s="56">
        <f t="shared" si="36"/>
        <v>-1.4188542768003656E-3</v>
      </c>
      <c r="S109" s="56" t="e">
        <f t="shared" si="37"/>
        <v>#DIV/0!</v>
      </c>
      <c r="T109" s="56">
        <f t="shared" si="38"/>
        <v>9.8677718571146627E-4</v>
      </c>
      <c r="U109" s="57">
        <f t="shared" si="39"/>
        <v>0</v>
      </c>
      <c r="V109" s="58">
        <f t="shared" si="40"/>
        <v>0</v>
      </c>
    </row>
    <row r="110" spans="1:28" ht="3.75" customHeight="1">
      <c r="A110" s="36"/>
      <c r="B110" s="177"/>
      <c r="C110" s="177"/>
      <c r="D110" s="177"/>
      <c r="E110" s="177"/>
      <c r="F110" s="177"/>
      <c r="G110" s="177"/>
      <c r="H110" s="177"/>
      <c r="I110" s="177"/>
      <c r="J110" s="177"/>
      <c r="K110" s="177"/>
      <c r="L110" s="177"/>
      <c r="M110" s="177"/>
      <c r="N110" s="177"/>
      <c r="O110" s="177"/>
      <c r="P110" s="177"/>
      <c r="Q110" s="177"/>
      <c r="R110" s="177"/>
      <c r="S110" s="177"/>
      <c r="T110" s="177"/>
      <c r="U110" s="177"/>
      <c r="V110" s="177"/>
    </row>
    <row r="111" spans="1:28" ht="15" customHeight="1">
      <c r="A111" s="176" t="s">
        <v>157</v>
      </c>
      <c r="B111" s="176"/>
      <c r="C111" s="176"/>
      <c r="D111" s="176"/>
      <c r="E111" s="176"/>
      <c r="F111" s="176"/>
      <c r="G111" s="176"/>
      <c r="H111" s="176"/>
      <c r="I111" s="176"/>
      <c r="J111" s="176"/>
      <c r="K111" s="176"/>
      <c r="L111" s="176"/>
      <c r="M111" s="176"/>
      <c r="N111" s="176"/>
      <c r="O111" s="176"/>
      <c r="P111" s="176"/>
      <c r="Q111" s="176"/>
      <c r="R111" s="176"/>
      <c r="S111" s="176"/>
      <c r="T111" s="176"/>
      <c r="U111" s="176"/>
      <c r="V111" s="176"/>
    </row>
    <row r="112" spans="1:28">
      <c r="A112" s="178" t="s">
        <v>158</v>
      </c>
      <c r="B112" s="178"/>
      <c r="C112" s="178"/>
      <c r="D112" s="178"/>
      <c r="E112" s="178"/>
      <c r="F112" s="178"/>
      <c r="G112" s="178"/>
      <c r="H112" s="178"/>
      <c r="I112" s="178"/>
      <c r="J112" s="178"/>
      <c r="K112" s="178"/>
      <c r="L112" s="178"/>
      <c r="M112" s="178"/>
      <c r="N112" s="178"/>
      <c r="O112" s="178"/>
      <c r="P112" s="178"/>
      <c r="Q112" s="178"/>
      <c r="R112" s="178"/>
      <c r="S112" s="178"/>
      <c r="T112" s="178"/>
      <c r="U112" s="178"/>
      <c r="V112" s="178"/>
      <c r="Z112" s="65"/>
      <c r="AB112" s="68"/>
    </row>
    <row r="113" spans="1:27" ht="16.5" customHeight="1">
      <c r="A113" s="135">
        <v>98</v>
      </c>
      <c r="B113" s="133" t="s">
        <v>159</v>
      </c>
      <c r="C113" s="134" t="s">
        <v>19</v>
      </c>
      <c r="D113" s="29">
        <f>1927819.44*1591.8496</f>
        <v>3068798604.436224</v>
      </c>
      <c r="E113" s="30">
        <f t="shared" ref="E113:E118" si="54">(D113/$D$149)</f>
        <v>1.5889914317590882E-3</v>
      </c>
      <c r="F113" s="29">
        <f>112.1637*1591.8496</f>
        <v>178547.74097952002</v>
      </c>
      <c r="G113" s="29">
        <f>112.1637*1591.8496</f>
        <v>178547.74097952002</v>
      </c>
      <c r="H113" s="32">
        <v>298</v>
      </c>
      <c r="I113" s="50">
        <v>1.1000000000000001E-3</v>
      </c>
      <c r="J113" s="50">
        <v>1.8800000000000001E-2</v>
      </c>
      <c r="K113" s="29">
        <f>1931208.4*1599.9384</f>
        <v>3089814477.5625601</v>
      </c>
      <c r="L113" s="30">
        <f t="shared" ref="L113:L129" si="55">(K113/$K$149)</f>
        <v>1.6063607120190631E-3</v>
      </c>
      <c r="M113" s="29">
        <f>112.1637*1599.9384</f>
        <v>179455.01071608</v>
      </c>
      <c r="N113" s="29">
        <f>112.1637*1599.9384</f>
        <v>179455.01071608</v>
      </c>
      <c r="O113" s="32">
        <v>298</v>
      </c>
      <c r="P113" s="50">
        <v>1E-3</v>
      </c>
      <c r="Q113" s="50">
        <v>1.9699999999999999E-2</v>
      </c>
      <c r="R113" s="57">
        <f>((K113-D113)/D113)</f>
        <v>6.8482412289798903E-3</v>
      </c>
      <c r="S113" s="57">
        <f>((N113-G113)/G113)</f>
        <v>5.0813845730147932E-3</v>
      </c>
      <c r="T113" s="57">
        <f>((O113-H113)/H113)</f>
        <v>0</v>
      </c>
      <c r="U113" s="57">
        <f>P113-I113</f>
        <v>-1.0000000000000005E-4</v>
      </c>
      <c r="V113" s="58">
        <f>Q113-J113</f>
        <v>8.9999999999999802E-4</v>
      </c>
      <c r="X113" s="65"/>
      <c r="Y113" s="69"/>
      <c r="Z113" s="65"/>
      <c r="AA113" s="70"/>
    </row>
    <row r="114" spans="1:27" ht="16.5" customHeight="1">
      <c r="A114" s="135">
        <v>99</v>
      </c>
      <c r="B114" s="133" t="s">
        <v>160</v>
      </c>
      <c r="C114" s="134" t="s">
        <v>57</v>
      </c>
      <c r="D114" s="29">
        <f>1958143.68*1591.8496</f>
        <v>3117070233.7505279</v>
      </c>
      <c r="E114" s="30">
        <f t="shared" si="54"/>
        <v>1.6139859704253265E-3</v>
      </c>
      <c r="F114" s="29">
        <f>100*1591.8496</f>
        <v>159184.95999999999</v>
      </c>
      <c r="G114" s="29">
        <f>100*1591.8496</f>
        <v>159184.95999999999</v>
      </c>
      <c r="H114" s="32">
        <v>58</v>
      </c>
      <c r="I114" s="50">
        <v>1.0660000000000001E-3</v>
      </c>
      <c r="J114" s="50">
        <v>7.1261000000000005E-2</v>
      </c>
      <c r="K114" s="29">
        <f>1956882.45*1599.9384</f>
        <v>3130891376.04108</v>
      </c>
      <c r="L114" s="30">
        <f t="shared" si="55"/>
        <v>1.6277161417274327E-3</v>
      </c>
      <c r="M114" s="29">
        <f>100*1599.9384</f>
        <v>159993.84</v>
      </c>
      <c r="N114" s="29">
        <f>100*1599.9384</f>
        <v>159993.84</v>
      </c>
      <c r="O114" s="32">
        <v>59</v>
      </c>
      <c r="P114" s="50">
        <v>2.8699999999999998E-4</v>
      </c>
      <c r="Q114" s="50">
        <v>7.1548E-2</v>
      </c>
      <c r="R114" s="57">
        <f>((K114-D114)/D114)</f>
        <v>4.4340169627561567E-3</v>
      </c>
      <c r="S114" s="57">
        <f>((N114-G114)/G114)</f>
        <v>5.0813845730149675E-3</v>
      </c>
      <c r="T114" s="57">
        <f>((O114-H114)/H114)</f>
        <v>1.7241379310344827E-2</v>
      </c>
      <c r="U114" s="57">
        <f>P114-I114</f>
        <v>-7.7900000000000018E-4</v>
      </c>
      <c r="V114" s="58">
        <f>Q114-J114</f>
        <v>2.8699999999999559E-4</v>
      </c>
      <c r="X114" s="65"/>
      <c r="Y114" s="69"/>
      <c r="Z114" s="65"/>
      <c r="AA114" s="70"/>
    </row>
    <row r="115" spans="1:27">
      <c r="A115" s="135">
        <v>100</v>
      </c>
      <c r="B115" s="133" t="s">
        <v>161</v>
      </c>
      <c r="C115" s="134" t="s">
        <v>23</v>
      </c>
      <c r="D115" s="29">
        <f>10387841.8*1598.6484</f>
        <v>16606506673.023121</v>
      </c>
      <c r="E115" s="30">
        <f t="shared" si="54"/>
        <v>8.5986733625133364E-3</v>
      </c>
      <c r="F115" s="29">
        <f>1.155*1598.6484</f>
        <v>1846.4389020000001</v>
      </c>
      <c r="G115" s="29">
        <f>1.155*1598.6484</f>
        <v>1846.4389020000001</v>
      </c>
      <c r="H115" s="32">
        <v>305</v>
      </c>
      <c r="I115" s="50">
        <v>-2.2599999999999999E-2</v>
      </c>
      <c r="J115" s="50">
        <v>6.08E-2</v>
      </c>
      <c r="K115" s="29">
        <f>10463055.79*1599.9384</f>
        <v>16740244739.763334</v>
      </c>
      <c r="L115" s="30">
        <f t="shared" si="55"/>
        <v>8.7030699269532892E-3</v>
      </c>
      <c r="M115" s="29">
        <f>1.1588*1599.9384</f>
        <v>1854.00861792</v>
      </c>
      <c r="N115" s="29">
        <f>1.1588*1599.9384</f>
        <v>1854.00861792</v>
      </c>
      <c r="O115" s="32">
        <v>305</v>
      </c>
      <c r="P115" s="50">
        <v>0.1716</v>
      </c>
      <c r="Q115" s="50">
        <v>6.8099999999999994E-2</v>
      </c>
      <c r="R115" s="57">
        <f t="shared" ref="R115:R127" si="56">((K115-D115)/D115)</f>
        <v>8.0533533857224619E-3</v>
      </c>
      <c r="S115" s="57">
        <f t="shared" ref="S115:S127" si="57">((N115-G115)/G115)</f>
        <v>4.0996297856379909E-3</v>
      </c>
      <c r="T115" s="57">
        <f t="shared" ref="T115:T127" si="58">((O115-H115)/H115)</f>
        <v>0</v>
      </c>
      <c r="U115" s="57">
        <f t="shared" ref="U115:U127" si="59">P115-I115</f>
        <v>0.19420000000000001</v>
      </c>
      <c r="V115" s="58">
        <f t="shared" ref="V115:V127" si="60">Q115-J115</f>
        <v>7.299999999999994E-3</v>
      </c>
    </row>
    <row r="116" spans="1:27">
      <c r="A116" s="135">
        <v>101</v>
      </c>
      <c r="B116" s="133" t="s">
        <v>293</v>
      </c>
      <c r="C116" s="134" t="s">
        <v>23</v>
      </c>
      <c r="D116" s="29">
        <f>1836946.77*1598.6484</f>
        <v>2936632014.7456679</v>
      </c>
      <c r="E116" s="30">
        <f t="shared" si="54"/>
        <v>1.5205569707033768E-3</v>
      </c>
      <c r="F116" s="29">
        <f>1.0121*1598.6484</f>
        <v>1617.99204564</v>
      </c>
      <c r="G116" s="29">
        <f>1.0121*1598.6484</f>
        <v>1617.99204564</v>
      </c>
      <c r="H116" s="32">
        <v>57</v>
      </c>
      <c r="I116" s="50">
        <v>5.67E-2</v>
      </c>
      <c r="J116" s="50">
        <v>4.3700000000000003E-2</v>
      </c>
      <c r="K116" s="29">
        <f>1931856.82*1599.9384</f>
        <v>3090851909.6198883</v>
      </c>
      <c r="L116" s="30">
        <f t="shared" si="55"/>
        <v>1.6069000615853181E-3</v>
      </c>
      <c r="M116" s="29">
        <f>1.0131*1599.9384</f>
        <v>1620.8975930399997</v>
      </c>
      <c r="N116" s="29">
        <f>1.0131*1599.9384</f>
        <v>1620.8975930399997</v>
      </c>
      <c r="O116" s="32">
        <v>63</v>
      </c>
      <c r="P116" s="50">
        <v>5.1499999999999997E-2</v>
      </c>
      <c r="Q116" s="50">
        <v>4.4299999999999999E-2</v>
      </c>
      <c r="R116" s="57">
        <f t="shared" si="56"/>
        <v>5.251590737274478E-2</v>
      </c>
      <c r="S116" s="57">
        <f t="shared" ref="S116" si="61">((N116-G116)/G116)</f>
        <v>1.7957735996473392E-3</v>
      </c>
      <c r="T116" s="57">
        <f t="shared" ref="T116" si="62">((O116-H116)/H116)</f>
        <v>0.10526315789473684</v>
      </c>
      <c r="U116" s="57">
        <f t="shared" ref="U116" si="63">P116-I116</f>
        <v>-5.2000000000000032E-3</v>
      </c>
      <c r="V116" s="58">
        <f t="shared" ref="V116" si="64">Q116-J116</f>
        <v>5.9999999999999637E-4</v>
      </c>
    </row>
    <row r="117" spans="1:27">
      <c r="A117" s="135">
        <v>102</v>
      </c>
      <c r="B117" s="133" t="s">
        <v>162</v>
      </c>
      <c r="C117" s="134" t="s">
        <v>27</v>
      </c>
      <c r="D117" s="29">
        <f>6665102.81*1591.8496</f>
        <v>10609841242.057375</v>
      </c>
      <c r="E117" s="30">
        <f t="shared" si="54"/>
        <v>5.493663481722864E-3</v>
      </c>
      <c r="F117" s="29">
        <f>1.0628*1591.8496</f>
        <v>1691.8177548799999</v>
      </c>
      <c r="G117" s="29">
        <f>1.0628*1591.8496</f>
        <v>1691.8177548799999</v>
      </c>
      <c r="H117" s="32">
        <v>390</v>
      </c>
      <c r="I117" s="50">
        <v>2.5999999999999999E-3</v>
      </c>
      <c r="J117" s="50">
        <v>2.3E-2</v>
      </c>
      <c r="K117" s="29">
        <f>6930211.69*1599.9384</f>
        <v>11087911802.959896</v>
      </c>
      <c r="L117" s="30">
        <f t="shared" si="55"/>
        <v>5.7644839287107671E-3</v>
      </c>
      <c r="M117" s="29">
        <f>1.0648*1599.9384</f>
        <v>1703.6144083199999</v>
      </c>
      <c r="N117" s="29">
        <f>1.0648*1599.9384</f>
        <v>1703.6144083199999</v>
      </c>
      <c r="O117" s="32">
        <v>400</v>
      </c>
      <c r="P117" s="50">
        <v>4.4000000000000003E-3</v>
      </c>
      <c r="Q117" s="50">
        <v>2.4799999999999999E-2</v>
      </c>
      <c r="R117" s="57">
        <f t="shared" si="56"/>
        <v>4.5059162526150817E-2</v>
      </c>
      <c r="S117" s="57">
        <f t="shared" ref="S117:T120" si="65">((N117-G117)/G117)</f>
        <v>6.9727684355911802E-3</v>
      </c>
      <c r="T117" s="57">
        <f t="shared" si="65"/>
        <v>2.564102564102564E-2</v>
      </c>
      <c r="U117" s="57">
        <f t="shared" si="59"/>
        <v>1.8000000000000004E-3</v>
      </c>
      <c r="V117" s="58">
        <f t="shared" si="60"/>
        <v>1.7999999999999995E-3</v>
      </c>
    </row>
    <row r="118" spans="1:27">
      <c r="A118" s="135">
        <v>103</v>
      </c>
      <c r="B118" s="133" t="s">
        <v>163</v>
      </c>
      <c r="C118" s="134" t="s">
        <v>63</v>
      </c>
      <c r="D118" s="29">
        <f>444798.71*1591.8496</f>
        <v>708052648.59401608</v>
      </c>
      <c r="E118" s="30">
        <f t="shared" si="54"/>
        <v>3.6662216615446908E-4</v>
      </c>
      <c r="F118" s="29">
        <f>1.09*1591.8496</f>
        <v>1735.1160640000001</v>
      </c>
      <c r="G118" s="29">
        <f>1.1*1591.8496</f>
        <v>1751.0345600000001</v>
      </c>
      <c r="H118" s="32">
        <v>21</v>
      </c>
      <c r="I118" s="50">
        <v>-0.25700000000000001</v>
      </c>
      <c r="J118" s="50">
        <v>7.2999999999999995E-2</v>
      </c>
      <c r="K118" s="29">
        <f>453134.64*1599.9384</f>
        <v>724987510.90617597</v>
      </c>
      <c r="L118" s="30">
        <f t="shared" si="55"/>
        <v>3.7691306797904453E-4</v>
      </c>
      <c r="M118" s="29">
        <f>1*1599.9384</f>
        <v>1599.9384</v>
      </c>
      <c r="N118" s="29">
        <f>1*1599.9384</f>
        <v>1599.9384</v>
      </c>
      <c r="O118" s="32">
        <v>21</v>
      </c>
      <c r="P118" s="50">
        <v>0.22109999999999999</v>
      </c>
      <c r="Q118" s="50">
        <v>7.0999999999999994E-2</v>
      </c>
      <c r="R118" s="57">
        <f t="shared" si="56"/>
        <v>2.3917518486496085E-2</v>
      </c>
      <c r="S118" s="57">
        <f t="shared" si="65"/>
        <v>-8.6289650388168271E-2</v>
      </c>
      <c r="T118" s="57">
        <f t="shared" si="65"/>
        <v>0</v>
      </c>
      <c r="U118" s="57">
        <f t="shared" si="59"/>
        <v>0.47809999999999997</v>
      </c>
      <c r="V118" s="58">
        <f t="shared" si="60"/>
        <v>-2.0000000000000018E-3</v>
      </c>
    </row>
    <row r="119" spans="1:27">
      <c r="A119" s="135">
        <v>104</v>
      </c>
      <c r="B119" s="133" t="s">
        <v>164</v>
      </c>
      <c r="C119" s="134" t="s">
        <v>29</v>
      </c>
      <c r="D119" s="29">
        <f>290142.9*1591.8496</f>
        <v>461863859.30784005</v>
      </c>
      <c r="E119" s="30">
        <v>0</v>
      </c>
      <c r="F119" s="29">
        <f>1.2871*1591.8496</f>
        <v>2048.8696201600001</v>
      </c>
      <c r="G119" s="29">
        <f>1.2871*1591.8496</f>
        <v>2048.8696201600001</v>
      </c>
      <c r="H119" s="32">
        <v>41</v>
      </c>
      <c r="I119" s="50">
        <v>7.7800000000000005E-4</v>
      </c>
      <c r="J119" s="50">
        <v>3.2500000000000001E-2</v>
      </c>
      <c r="K119" s="29">
        <f>290540.37*1599.9384</f>
        <v>464846694.71320802</v>
      </c>
      <c r="L119" s="30">
        <f t="shared" si="55"/>
        <v>2.4166870629989081E-4</v>
      </c>
      <c r="M119" s="29">
        <f>1.2889*1599.9384</f>
        <v>2062.16060376</v>
      </c>
      <c r="N119" s="29">
        <f>1.2889*1599.9384</f>
        <v>2062.16060376</v>
      </c>
      <c r="O119" s="32">
        <v>41</v>
      </c>
      <c r="P119" s="50">
        <v>5.44E-4</v>
      </c>
      <c r="Q119" s="50">
        <v>3.3000000000000002E-2</v>
      </c>
      <c r="R119" s="57">
        <f t="shared" si="56"/>
        <v>6.4582567898646952E-3</v>
      </c>
      <c r="S119" s="57">
        <f t="shared" si="65"/>
        <v>6.4869835880342515E-3</v>
      </c>
      <c r="T119" s="57">
        <f t="shared" si="65"/>
        <v>0</v>
      </c>
      <c r="U119" s="57">
        <f t="shared" si="59"/>
        <v>-2.3400000000000005E-4</v>
      </c>
      <c r="V119" s="58">
        <f t="shared" si="60"/>
        <v>5.0000000000000044E-4</v>
      </c>
    </row>
    <row r="120" spans="1:27">
      <c r="A120" s="135">
        <v>105</v>
      </c>
      <c r="B120" s="133" t="s">
        <v>165</v>
      </c>
      <c r="C120" s="134" t="s">
        <v>72</v>
      </c>
      <c r="D120" s="29">
        <f>475629.48*1591.9896</f>
        <v>757197185.61340797</v>
      </c>
      <c r="E120" s="30">
        <f t="shared" ref="E120:E129" si="66">(D120/$D$149)</f>
        <v>3.9206868718999569E-4</v>
      </c>
      <c r="F120" s="29">
        <f>107.78*1591.8496</f>
        <v>171569.54988800001</v>
      </c>
      <c r="G120" s="29">
        <f>108.71*1591.8496</f>
        <v>173049.97001599998</v>
      </c>
      <c r="H120" s="32">
        <v>47</v>
      </c>
      <c r="I120" s="50">
        <v>6.9999999999999999E-4</v>
      </c>
      <c r="J120" s="50">
        <v>2.8799999999999999E-2</v>
      </c>
      <c r="K120" s="29">
        <f>476479.18*1599.9384</f>
        <v>762337336.88251197</v>
      </c>
      <c r="L120" s="30">
        <f t="shared" si="55"/>
        <v>3.9633083350665798E-4</v>
      </c>
      <c r="M120" s="29">
        <f>107.79*1599.9384</f>
        <v>172457.360136</v>
      </c>
      <c r="N120" s="29">
        <f>107.79*1599.9384</f>
        <v>172457.360136</v>
      </c>
      <c r="O120" s="32">
        <v>47</v>
      </c>
      <c r="P120" s="50">
        <v>1E-4</v>
      </c>
      <c r="Q120" s="50">
        <v>2.8899999999999999E-2</v>
      </c>
      <c r="R120" s="57">
        <f t="shared" si="56"/>
        <v>6.7883919364279599E-3</v>
      </c>
      <c r="S120" s="57">
        <f t="shared" si="65"/>
        <v>-3.4245014890507209E-3</v>
      </c>
      <c r="T120" s="57">
        <f t="shared" si="65"/>
        <v>0</v>
      </c>
      <c r="U120" s="57">
        <f t="shared" si="59"/>
        <v>-5.9999999999999995E-4</v>
      </c>
      <c r="V120" s="58">
        <f t="shared" si="60"/>
        <v>9.9999999999999395E-5</v>
      </c>
    </row>
    <row r="121" spans="1:27">
      <c r="A121" s="135">
        <v>106</v>
      </c>
      <c r="B121" s="133" t="s">
        <v>166</v>
      </c>
      <c r="C121" s="134" t="s">
        <v>75</v>
      </c>
      <c r="D121" s="29">
        <v>5207915272.3389444</v>
      </c>
      <c r="E121" s="30">
        <f t="shared" si="66"/>
        <v>2.6966033981868816E-3</v>
      </c>
      <c r="F121" s="29">
        <v>180535.96112992</v>
      </c>
      <c r="G121" s="29">
        <v>180535.96112992</v>
      </c>
      <c r="H121" s="32">
        <v>59</v>
      </c>
      <c r="I121" s="50">
        <v>8.0000000000000004E-4</v>
      </c>
      <c r="J121" s="50">
        <v>7.3899999999999993E-2</v>
      </c>
      <c r="K121" s="29">
        <v>5242917131.918808</v>
      </c>
      <c r="L121" s="30">
        <f t="shared" si="55"/>
        <v>2.7257352045712002E-3</v>
      </c>
      <c r="M121" s="29">
        <v>181636.2067368</v>
      </c>
      <c r="N121" s="29">
        <v>181636.2067368</v>
      </c>
      <c r="O121" s="32">
        <v>59</v>
      </c>
      <c r="P121" s="50" t="s">
        <v>317</v>
      </c>
      <c r="Q121" s="50">
        <v>7.3300000000000004E-2</v>
      </c>
      <c r="R121" s="57">
        <f t="shared" si="56"/>
        <v>6.7208965103120319E-3</v>
      </c>
      <c r="S121" s="57">
        <f t="shared" si="57"/>
        <v>6.0943293513042503E-3</v>
      </c>
      <c r="T121" s="57">
        <f t="shared" si="58"/>
        <v>0</v>
      </c>
      <c r="U121" s="57">
        <f t="shared" si="59"/>
        <v>-1.0000000000000005E-4</v>
      </c>
      <c r="V121" s="58">
        <f t="shared" si="60"/>
        <v>-5.9999999999998943E-4</v>
      </c>
      <c r="X121" s="66"/>
    </row>
    <row r="122" spans="1:27">
      <c r="A122" s="135">
        <v>107</v>
      </c>
      <c r="B122" s="133" t="s">
        <v>167</v>
      </c>
      <c r="C122" s="134" t="s">
        <v>31</v>
      </c>
      <c r="D122" s="29">
        <f>34119610.24*1626</f>
        <v>55478486250.240005</v>
      </c>
      <c r="E122" s="30">
        <f t="shared" si="66"/>
        <v>2.8726172897485035E-2</v>
      </c>
      <c r="F122" s="29">
        <f>129.09*1626</f>
        <v>209900.34</v>
      </c>
      <c r="G122" s="29">
        <f>129.09*1626</f>
        <v>209900.34</v>
      </c>
      <c r="H122" s="32">
        <v>2377</v>
      </c>
      <c r="I122" s="50">
        <v>1.4E-3</v>
      </c>
      <c r="J122" s="50">
        <v>2.12E-2</v>
      </c>
      <c r="K122" s="29">
        <f>34217419.34*1600.5</f>
        <v>54764979653.670006</v>
      </c>
      <c r="L122" s="30">
        <f t="shared" si="55"/>
        <v>2.8471713220651666E-2</v>
      </c>
      <c r="M122" s="29">
        <f>129.27*1600.5</f>
        <v>206896.63500000001</v>
      </c>
      <c r="N122" s="29">
        <f>129.27*1600.5</f>
        <v>206896.63500000001</v>
      </c>
      <c r="O122" s="32">
        <v>2384</v>
      </c>
      <c r="P122" s="50">
        <v>1.4E-3</v>
      </c>
      <c r="Q122" s="50">
        <v>2.2800000000000001E-2</v>
      </c>
      <c r="R122" s="57">
        <f t="shared" si="56"/>
        <v>-1.2860960072913182E-2</v>
      </c>
      <c r="S122" s="57">
        <f t="shared" si="57"/>
        <v>-1.4310148330393306E-2</v>
      </c>
      <c r="T122" s="57">
        <f t="shared" si="58"/>
        <v>2.944888514934792E-3</v>
      </c>
      <c r="U122" s="57">
        <f t="shared" si="59"/>
        <v>0</v>
      </c>
      <c r="V122" s="58">
        <f t="shared" si="60"/>
        <v>1.6000000000000007E-3</v>
      </c>
    </row>
    <row r="123" spans="1:27">
      <c r="A123" s="135">
        <v>108</v>
      </c>
      <c r="B123" s="172" t="s">
        <v>168</v>
      </c>
      <c r="C123" s="172" t="s">
        <v>31</v>
      </c>
      <c r="D123" s="29">
        <f>87906156.69*1626</f>
        <v>142935410777.94</v>
      </c>
      <c r="E123" s="30">
        <f t="shared" si="66"/>
        <v>7.401044261841927E-2</v>
      </c>
      <c r="F123" s="29">
        <f>121.42*1626</f>
        <v>197428.92</v>
      </c>
      <c r="G123" s="29">
        <f>121.42*1626</f>
        <v>197428.92</v>
      </c>
      <c r="H123" s="32">
        <v>791</v>
      </c>
      <c r="I123" s="50">
        <v>1.6000000000000001E-3</v>
      </c>
      <c r="J123" s="50">
        <v>2.2700000000000001E-2</v>
      </c>
      <c r="K123" s="29">
        <f>88249741.52*1600.5</f>
        <v>141243711302.75998</v>
      </c>
      <c r="L123" s="30">
        <f t="shared" si="55"/>
        <v>7.3431058823797191E-2</v>
      </c>
      <c r="M123" s="29">
        <f>121.57*1600.5</f>
        <v>194572.785</v>
      </c>
      <c r="N123" s="29">
        <f>121.57*1600.5</f>
        <v>194572.785</v>
      </c>
      <c r="O123" s="32">
        <v>798</v>
      </c>
      <c r="P123" s="50">
        <v>1.1999999999999999E-3</v>
      </c>
      <c r="Q123" s="50">
        <v>2.3800000000000002E-2</v>
      </c>
      <c r="R123" s="57">
        <f t="shared" si="56"/>
        <v>-1.1835411994639975E-2</v>
      </c>
      <c r="S123" s="57">
        <f t="shared" si="57"/>
        <v>-1.4466649566841622E-2</v>
      </c>
      <c r="T123" s="57">
        <f t="shared" si="58"/>
        <v>8.8495575221238937E-3</v>
      </c>
      <c r="U123" s="57">
        <f t="shared" si="59"/>
        <v>-4.0000000000000018E-4</v>
      </c>
      <c r="V123" s="58">
        <f t="shared" si="60"/>
        <v>1.1000000000000003E-3</v>
      </c>
      <c r="X123" s="65"/>
    </row>
    <row r="124" spans="1:27">
      <c r="A124" s="141">
        <v>109</v>
      </c>
      <c r="B124" s="133" t="s">
        <v>305</v>
      </c>
      <c r="C124" s="134" t="s">
        <v>304</v>
      </c>
      <c r="D124" s="29">
        <f>372311.38*1591.8496</f>
        <v>592663721.32844806</v>
      </c>
      <c r="E124" s="30">
        <f t="shared" si="66"/>
        <v>3.0687500109782172E-4</v>
      </c>
      <c r="F124" s="29">
        <v>1591.8496</v>
      </c>
      <c r="G124" s="29">
        <v>1591.8496</v>
      </c>
      <c r="H124" s="32">
        <v>5</v>
      </c>
      <c r="I124" s="50">
        <v>9.3700000000000006E-2</v>
      </c>
      <c r="J124" s="50">
        <v>8.6199999999999999E-2</v>
      </c>
      <c r="K124" s="29">
        <f>372766.32*1599.9384</f>
        <v>596403149.59468806</v>
      </c>
      <c r="L124" s="30">
        <f t="shared" si="55"/>
        <v>3.1006346659010283E-4</v>
      </c>
      <c r="M124" s="29">
        <f>1599.9384</f>
        <v>1599.9384</v>
      </c>
      <c r="N124" s="29">
        <f>1599.9384</f>
        <v>1599.9384</v>
      </c>
      <c r="O124" s="32">
        <v>5</v>
      </c>
      <c r="P124" s="50">
        <v>9.3200000000000005E-2</v>
      </c>
      <c r="Q124" s="50">
        <v>8.6599999999999996E-2</v>
      </c>
      <c r="R124" s="57">
        <f t="shared" ref="R124" si="67">((K124-D124)/D124)</f>
        <v>6.3095278682793691E-3</v>
      </c>
      <c r="S124" s="57">
        <f t="shared" ref="S124" si="68">((N124-G124)/G124)</f>
        <v>5.0813845730149328E-3</v>
      </c>
      <c r="T124" s="57">
        <f t="shared" si="58"/>
        <v>0</v>
      </c>
      <c r="U124" s="57">
        <f t="shared" si="59"/>
        <v>-5.0000000000000044E-4</v>
      </c>
      <c r="V124" s="58">
        <f t="shared" si="60"/>
        <v>3.9999999999999758E-4</v>
      </c>
    </row>
    <row r="125" spans="1:27">
      <c r="A125" s="141">
        <v>110</v>
      </c>
      <c r="B125" s="133" t="s">
        <v>169</v>
      </c>
      <c r="C125" s="134" t="s">
        <v>35</v>
      </c>
      <c r="D125" s="29">
        <f>151683.72*1591.8496</f>
        <v>241457669.00851199</v>
      </c>
      <c r="E125" s="30">
        <f t="shared" si="66"/>
        <v>1.2502422499554452E-4</v>
      </c>
      <c r="F125" s="29">
        <f>125.34*1591.8496</f>
        <v>199522.42886400002</v>
      </c>
      <c r="G125" s="29">
        <f>125.34*1591.8496</f>
        <v>199522.42886400002</v>
      </c>
      <c r="H125" s="32">
        <v>8</v>
      </c>
      <c r="I125" s="50">
        <v>2.0999999999999999E-3</v>
      </c>
      <c r="J125" s="50">
        <v>0.1055</v>
      </c>
      <c r="K125" s="29">
        <f>151966.19*1599.9384</f>
        <v>243136542.882696</v>
      </c>
      <c r="L125" s="30">
        <f t="shared" si="55"/>
        <v>1.2640402618962522E-4</v>
      </c>
      <c r="M125" s="29">
        <f>125.57*1599.9384</f>
        <v>200904.26488799998</v>
      </c>
      <c r="N125" s="29">
        <f>125.57*1599.9384</f>
        <v>200904.26488799998</v>
      </c>
      <c r="O125" s="32">
        <v>8</v>
      </c>
      <c r="P125" s="50">
        <v>1.9E-3</v>
      </c>
      <c r="Q125" s="50">
        <v>0.1075</v>
      </c>
      <c r="R125" s="57">
        <f t="shared" si="56"/>
        <v>6.9530774527804618E-3</v>
      </c>
      <c r="S125" s="57">
        <f t="shared" si="57"/>
        <v>6.9257177344300355E-3</v>
      </c>
      <c r="T125" s="57">
        <f t="shared" si="58"/>
        <v>0</v>
      </c>
      <c r="U125" s="57">
        <f t="shared" si="59"/>
        <v>-1.9999999999999987E-4</v>
      </c>
      <c r="V125" s="58">
        <f t="shared" si="60"/>
        <v>2.0000000000000018E-3</v>
      </c>
    </row>
    <row r="126" spans="1:27">
      <c r="A126" s="135">
        <v>111</v>
      </c>
      <c r="B126" s="133" t="s">
        <v>170</v>
      </c>
      <c r="C126" s="134" t="s">
        <v>41</v>
      </c>
      <c r="D126" s="29">
        <f>10690538.2*1591.8496</f>
        <v>17017728957.45472</v>
      </c>
      <c r="E126" s="30">
        <f t="shared" si="66"/>
        <v>8.8115999082845776E-3</v>
      </c>
      <c r="F126" s="29">
        <f>1.4*1591.8496</f>
        <v>2228.5894399999997</v>
      </c>
      <c r="G126" s="29">
        <f>1.4*1591.8496</f>
        <v>2228.5894399999997</v>
      </c>
      <c r="H126" s="46">
        <v>114</v>
      </c>
      <c r="I126" s="53">
        <v>8.9999999999999998E-4</v>
      </c>
      <c r="J126" s="53">
        <v>4.99E-2</v>
      </c>
      <c r="K126" s="29">
        <f>10735847.21*1599.9384</f>
        <v>17176694207.811865</v>
      </c>
      <c r="L126" s="30">
        <f t="shared" si="55"/>
        <v>8.9299752260726881E-3</v>
      </c>
      <c r="M126" s="29">
        <f>1.41*1599.9384</f>
        <v>2255.9131439999996</v>
      </c>
      <c r="N126" s="29">
        <f>1.41*1599.9384</f>
        <v>2255.9131439999996</v>
      </c>
      <c r="O126" s="46">
        <v>114</v>
      </c>
      <c r="P126" s="53">
        <v>8.9999999999999998E-4</v>
      </c>
      <c r="Q126" s="53">
        <v>4.9799999999999997E-2</v>
      </c>
      <c r="R126" s="57">
        <f t="shared" si="56"/>
        <v>9.3411553771109747E-3</v>
      </c>
      <c r="S126" s="57">
        <f t="shared" si="57"/>
        <v>1.2260537319965004E-2</v>
      </c>
      <c r="T126" s="57">
        <f t="shared" si="58"/>
        <v>0</v>
      </c>
      <c r="U126" s="57">
        <f t="shared" si="59"/>
        <v>0</v>
      </c>
      <c r="V126" s="58">
        <f t="shared" si="60"/>
        <v>-1.0000000000000286E-4</v>
      </c>
    </row>
    <row r="127" spans="1:27">
      <c r="A127" s="135">
        <v>112</v>
      </c>
      <c r="B127" s="133" t="s">
        <v>171</v>
      </c>
      <c r="C127" s="134" t="s">
        <v>89</v>
      </c>
      <c r="D127" s="29">
        <f>19001747*1591.8496</f>
        <v>30247923361.251202</v>
      </c>
      <c r="E127" s="30">
        <f t="shared" si="66"/>
        <v>1.5662054518681461E-2</v>
      </c>
      <c r="F127" s="29">
        <f>103.3*1591.8496</f>
        <v>164438.06367999999</v>
      </c>
      <c r="G127" s="29">
        <f>103.3*1591.8496</f>
        <v>164438.06367999999</v>
      </c>
      <c r="H127" s="32">
        <v>599</v>
      </c>
      <c r="I127" s="53">
        <v>-1.1999999999999999E-3</v>
      </c>
      <c r="J127" s="50">
        <v>9.0800000000000006E-2</v>
      </c>
      <c r="K127" s="29">
        <f>18741551.82*1599.9384</f>
        <v>29985328432.40789</v>
      </c>
      <c r="L127" s="30">
        <f t="shared" si="55"/>
        <v>1.5589043899103469E-2</v>
      </c>
      <c r="M127" s="29">
        <f>103.65*1599.9384</f>
        <v>165833.61516000002</v>
      </c>
      <c r="N127" s="29">
        <f>103.65*1599.9384</f>
        <v>165833.61516000002</v>
      </c>
      <c r="O127" s="32">
        <v>601</v>
      </c>
      <c r="P127" s="53">
        <v>3.3E-3</v>
      </c>
      <c r="Q127" s="50">
        <v>9.6199999999999994E-2</v>
      </c>
      <c r="R127" s="57">
        <f t="shared" si="56"/>
        <v>-8.6814200666650038E-3</v>
      </c>
      <c r="S127" s="57">
        <f t="shared" si="57"/>
        <v>8.4867910067087434E-3</v>
      </c>
      <c r="T127" s="57">
        <f t="shared" si="58"/>
        <v>3.3388981636060101E-3</v>
      </c>
      <c r="U127" s="57">
        <f t="shared" si="59"/>
        <v>4.4999999999999997E-3</v>
      </c>
      <c r="V127" s="58">
        <f t="shared" si="60"/>
        <v>5.3999999999999881E-3</v>
      </c>
    </row>
    <row r="128" spans="1:27">
      <c r="A128" s="135">
        <v>113</v>
      </c>
      <c r="B128" s="133" t="s">
        <v>172</v>
      </c>
      <c r="C128" s="134" t="s">
        <v>45</v>
      </c>
      <c r="D128" s="29">
        <f>1675934.95*1591.8496</f>
        <v>2667836379.7835197</v>
      </c>
      <c r="E128" s="30">
        <f t="shared" si="66"/>
        <v>1.3813774363306533E-3</v>
      </c>
      <c r="F128" s="29">
        <f>133.281081*1591.8496</f>
        <v>212163.4354774176</v>
      </c>
      <c r="G128" s="29">
        <f>137.61833*1591.8496</f>
        <v>219067.68356316799</v>
      </c>
      <c r="H128" s="32">
        <v>51</v>
      </c>
      <c r="I128" s="50">
        <v>2.0999999999999999E-3</v>
      </c>
      <c r="J128" s="50">
        <v>-2.8799999999999999E-2</v>
      </c>
      <c r="K128" s="29">
        <f>2287650.31*1599.9384</f>
        <v>3660099576.7409039</v>
      </c>
      <c r="L128" s="30">
        <f t="shared" si="55"/>
        <v>1.902845690202171E-3</v>
      </c>
      <c r="M128" s="29">
        <f>181.93*1599.9384</f>
        <v>291076.79311199998</v>
      </c>
      <c r="N128" s="29">
        <f>186.31*1599.9384</f>
        <v>298084.52330400003</v>
      </c>
      <c r="O128" s="32">
        <v>51</v>
      </c>
      <c r="P128" s="50">
        <v>0.34820000000000001</v>
      </c>
      <c r="Q128" s="50">
        <v>0.3201</v>
      </c>
      <c r="R128" s="57">
        <f t="shared" ref="R128:R129" si="69">((K128-D128)/D128)</f>
        <v>0.37193555214877938</v>
      </c>
      <c r="S128" s="57">
        <f t="shared" ref="S128:S129" si="70">((N128-G128)/G128)</f>
        <v>0.3606960116417518</v>
      </c>
      <c r="T128" s="57">
        <f t="shared" ref="T128:T129" si="71">((O128-H128)/H128)</f>
        <v>0</v>
      </c>
      <c r="U128" s="57">
        <f t="shared" ref="U128:U129" si="72">P128-I128</f>
        <v>0.34610000000000002</v>
      </c>
      <c r="V128" s="58">
        <f t="shared" ref="V128:V129" si="73">Q128-J128</f>
        <v>0.34889999999999999</v>
      </c>
    </row>
    <row r="129" spans="1:24">
      <c r="A129" s="135">
        <v>114</v>
      </c>
      <c r="B129" s="133" t="s">
        <v>173</v>
      </c>
      <c r="C129" s="134" t="s">
        <v>52</v>
      </c>
      <c r="D129" s="33">
        <f>111933403.58*1591.8496</f>
        <v>178181143715.46158</v>
      </c>
      <c r="E129" s="30">
        <f t="shared" si="66"/>
        <v>9.2260310029995379E-2</v>
      </c>
      <c r="F129" s="29">
        <f>126.839*1591.8496</f>
        <v>201908.61141439999</v>
      </c>
      <c r="G129" s="29">
        <f>126.839*1591.8496</f>
        <v>201908.61141439999</v>
      </c>
      <c r="H129" s="32">
        <v>3609</v>
      </c>
      <c r="I129" s="50">
        <v>6.1899999999999997E-2</v>
      </c>
      <c r="J129" s="50">
        <v>6.8199999999999997E-2</v>
      </c>
      <c r="K129" s="33">
        <f>112109335.43*1599.9384</f>
        <v>179368030752.93753</v>
      </c>
      <c r="L129" s="30">
        <f t="shared" si="55"/>
        <v>9.3251475027407091E-2</v>
      </c>
      <c r="M129" s="29">
        <f>127.0183*1599.9384</f>
        <v>203221.45567271998</v>
      </c>
      <c r="N129" s="29">
        <f>127.0183*1599.9384</f>
        <v>203221.45567271998</v>
      </c>
      <c r="O129" s="32">
        <v>3622</v>
      </c>
      <c r="P129" s="50">
        <v>7.6399999999999996E-2</v>
      </c>
      <c r="Q129" s="50">
        <v>6.8699999999999997E-2</v>
      </c>
      <c r="R129" s="57">
        <f t="shared" si="69"/>
        <v>6.6611259346909257E-3</v>
      </c>
      <c r="S129" s="57">
        <f t="shared" si="70"/>
        <v>6.5021707054658236E-3</v>
      </c>
      <c r="T129" s="57">
        <f t="shared" si="71"/>
        <v>3.6021058464948737E-3</v>
      </c>
      <c r="U129" s="57">
        <f t="shared" si="72"/>
        <v>1.4499999999999999E-2</v>
      </c>
      <c r="V129" s="58">
        <f t="shared" si="73"/>
        <v>5.0000000000000044E-4</v>
      </c>
    </row>
    <row r="130" spans="1:24" ht="6" customHeight="1">
      <c r="A130" s="36"/>
      <c r="B130" s="177"/>
      <c r="C130" s="177"/>
      <c r="D130" s="177"/>
      <c r="E130" s="177"/>
      <c r="F130" s="177"/>
      <c r="G130" s="177"/>
      <c r="H130" s="177"/>
      <c r="I130" s="177"/>
      <c r="J130" s="177"/>
      <c r="K130" s="177"/>
      <c r="L130" s="177"/>
      <c r="M130" s="177"/>
      <c r="N130" s="177"/>
      <c r="O130" s="177"/>
      <c r="P130" s="177"/>
      <c r="Q130" s="177"/>
      <c r="R130" s="177"/>
      <c r="S130" s="177"/>
      <c r="T130" s="177"/>
      <c r="U130" s="177"/>
      <c r="V130" s="177"/>
    </row>
    <row r="131" spans="1:24">
      <c r="A131" s="178" t="s">
        <v>174</v>
      </c>
      <c r="B131" s="178"/>
      <c r="C131" s="178"/>
      <c r="D131" s="178"/>
      <c r="E131" s="178"/>
      <c r="F131" s="178"/>
      <c r="G131" s="178"/>
      <c r="H131" s="178"/>
      <c r="I131" s="178"/>
      <c r="J131" s="178"/>
      <c r="K131" s="178"/>
      <c r="L131" s="178"/>
      <c r="M131" s="178"/>
      <c r="N131" s="178"/>
      <c r="O131" s="178"/>
      <c r="P131" s="178"/>
      <c r="Q131" s="178"/>
      <c r="R131" s="178"/>
      <c r="S131" s="178"/>
      <c r="T131" s="178"/>
      <c r="U131" s="178"/>
      <c r="V131" s="178"/>
    </row>
    <row r="132" spans="1:24">
      <c r="A132" s="135">
        <v>115</v>
      </c>
      <c r="B132" s="133" t="s">
        <v>175</v>
      </c>
      <c r="C132" s="134" t="s">
        <v>118</v>
      </c>
      <c r="D132" s="33">
        <f>1163091.89*1591.8496</f>
        <v>1851467359.8597438</v>
      </c>
      <c r="E132" s="30">
        <f t="shared" ref="E132:E145" si="74">(D132/$D$149)</f>
        <v>9.5867019971459762E-4</v>
      </c>
      <c r="F132" s="29">
        <f>105.45*1591.8496</f>
        <v>167860.54032</v>
      </c>
      <c r="G132" s="29">
        <f>105.45*1591.8496</f>
        <v>167860.54032</v>
      </c>
      <c r="H132" s="32">
        <v>20</v>
      </c>
      <c r="I132" s="50">
        <v>-5.5529999999999998E-3</v>
      </c>
      <c r="J132" s="50">
        <v>-2.7300000000000001E-2</v>
      </c>
      <c r="K132" s="33">
        <f>1194872.24*1599.9384</f>
        <v>1911721979.8700161</v>
      </c>
      <c r="L132" s="30">
        <f t="shared" ref="L132:L148" si="75">(K132/$K$149)</f>
        <v>9.9388332311428065E-4</v>
      </c>
      <c r="M132" s="29">
        <f>108.33*1599.9384</f>
        <v>173321.32687200001</v>
      </c>
      <c r="N132" s="29">
        <f>108.33*1599.9384</f>
        <v>173321.32687200001</v>
      </c>
      <c r="O132" s="32">
        <v>20</v>
      </c>
      <c r="P132" s="50">
        <v>2.6922000000000001E-2</v>
      </c>
      <c r="Q132" s="50">
        <v>-2.8E-3</v>
      </c>
      <c r="R132" s="57">
        <f>((K132-D132)/D132)</f>
        <v>3.2544251827824174E-2</v>
      </c>
      <c r="S132" s="57">
        <f>((N132-G132)/G132)</f>
        <v>3.2531686968181234E-2</v>
      </c>
      <c r="T132" s="57">
        <f>((O132-H132)/H132)</f>
        <v>0</v>
      </c>
      <c r="U132" s="57">
        <f>P132-I132</f>
        <v>3.2475000000000004E-2</v>
      </c>
      <c r="V132" s="58">
        <f>Q132-J132</f>
        <v>2.4500000000000001E-2</v>
      </c>
    </row>
    <row r="133" spans="1:24">
      <c r="A133" s="135">
        <v>116</v>
      </c>
      <c r="B133" s="134" t="s">
        <v>176</v>
      </c>
      <c r="C133" s="134" t="s">
        <v>25</v>
      </c>
      <c r="D133" s="29">
        <f>11888489.66*1591.8496</f>
        <v>18924687509.875137</v>
      </c>
      <c r="E133" s="30">
        <f t="shared" si="74"/>
        <v>9.7990028600896967E-3</v>
      </c>
      <c r="F133" s="33">
        <f>135.84*1591.8496</f>
        <v>216236.84966400001</v>
      </c>
      <c r="G133" s="33">
        <f>135.84*1591.8496</f>
        <v>216236.84966400001</v>
      </c>
      <c r="H133" s="32">
        <v>553</v>
      </c>
      <c r="I133" s="50">
        <v>5.0000000000000001E-4</v>
      </c>
      <c r="J133" s="50">
        <v>1.5599999999999999E-2</v>
      </c>
      <c r="K133" s="29">
        <f>11926668.46*1599.9384</f>
        <v>19081934853.222866</v>
      </c>
      <c r="L133" s="30">
        <f t="shared" si="75"/>
        <v>9.9204889743752696E-3</v>
      </c>
      <c r="M133" s="33">
        <f>135.98*1599.9384</f>
        <v>217559.62363199997</v>
      </c>
      <c r="N133" s="33">
        <f>135.98*1599.9384</f>
        <v>217559.62363199997</v>
      </c>
      <c r="O133" s="32">
        <v>556</v>
      </c>
      <c r="P133" s="50">
        <v>5.0000000000000001E-4</v>
      </c>
      <c r="Q133" s="50">
        <v>1.67E-2</v>
      </c>
      <c r="R133" s="57">
        <f t="shared" ref="R133:R149" si="76">((K133-D133)/D133)</f>
        <v>8.3091117497012881E-3</v>
      </c>
      <c r="S133" s="57">
        <f t="shared" ref="S133:S149" si="77">((N133-G133)/G133)</f>
        <v>6.117245835089438E-3</v>
      </c>
      <c r="T133" s="57">
        <f t="shared" ref="T133:T149" si="78">((O133-H133)/H133)</f>
        <v>5.4249547920433997E-3</v>
      </c>
      <c r="U133" s="57">
        <f t="shared" ref="U133:U149" si="79">P133-I133</f>
        <v>0</v>
      </c>
      <c r="V133" s="58">
        <f t="shared" ref="V133:V149" si="80">Q133-J133</f>
        <v>1.1000000000000003E-3</v>
      </c>
    </row>
    <row r="134" spans="1:24">
      <c r="A134" s="135">
        <v>117</v>
      </c>
      <c r="B134" s="133" t="s">
        <v>177</v>
      </c>
      <c r="C134" s="134" t="s">
        <v>67</v>
      </c>
      <c r="D134" s="33">
        <v>16650758279.34</v>
      </c>
      <c r="E134" s="30">
        <f t="shared" si="74"/>
        <v>8.621586375826577E-3</v>
      </c>
      <c r="F134" s="33">
        <v>178427.84</v>
      </c>
      <c r="G134" s="33">
        <v>178427.84</v>
      </c>
      <c r="H134" s="32">
        <v>688</v>
      </c>
      <c r="I134" s="50">
        <v>1.1999999999999999E-3</v>
      </c>
      <c r="J134" s="50">
        <v>6.0900000000000003E-2</v>
      </c>
      <c r="K134" s="33">
        <v>16614071000.98</v>
      </c>
      <c r="L134" s="30">
        <f t="shared" si="75"/>
        <v>8.6374735818193285E-3</v>
      </c>
      <c r="M134" s="33">
        <v>178607.86</v>
      </c>
      <c r="N134" s="33">
        <v>178607.86</v>
      </c>
      <c r="O134" s="32">
        <v>692</v>
      </c>
      <c r="P134" s="50">
        <v>1E-3</v>
      </c>
      <c r="Q134" s="50">
        <v>6.0900000000000003E-2</v>
      </c>
      <c r="R134" s="57">
        <f t="shared" si="76"/>
        <v>-2.203339796573806E-3</v>
      </c>
      <c r="S134" s="57">
        <f t="shared" si="77"/>
        <v>1.0089232711665934E-3</v>
      </c>
      <c r="T134" s="57">
        <f t="shared" si="78"/>
        <v>5.8139534883720929E-3</v>
      </c>
      <c r="U134" s="57">
        <f t="shared" si="79"/>
        <v>-1.9999999999999987E-4</v>
      </c>
      <c r="V134" s="58">
        <f t="shared" si="80"/>
        <v>0</v>
      </c>
    </row>
    <row r="135" spans="1:24">
      <c r="A135" s="135">
        <v>118</v>
      </c>
      <c r="B135" s="133" t="s">
        <v>300</v>
      </c>
      <c r="C135" s="134" t="s">
        <v>301</v>
      </c>
      <c r="D135" s="29">
        <f>59176.47*1591.8496</f>
        <v>94200040.098912001</v>
      </c>
      <c r="E135" s="30">
        <f t="shared" ref="E135" si="81">(D135/$D$109)</f>
        <v>4.513718254751804E-4</v>
      </c>
      <c r="F135" s="35">
        <f>0.9657*1591.8496</f>
        <v>1537.24915872</v>
      </c>
      <c r="G135" s="35">
        <f>0.9657*1591.8496</f>
        <v>1537.24915872</v>
      </c>
      <c r="H135" s="32">
        <v>2</v>
      </c>
      <c r="I135" s="50">
        <v>1.1403690648974507E-3</v>
      </c>
      <c r="J135" s="50">
        <v>2.4280835793905386E-2</v>
      </c>
      <c r="K135" s="29">
        <f>59271.26*1599.9384</f>
        <v>94830364.890384004</v>
      </c>
      <c r="L135" s="30">
        <f t="shared" ref="L135" si="82">(K135/$K$109)</f>
        <v>4.5503774148574936E-4</v>
      </c>
      <c r="M135" s="35">
        <f>0.9657*1599.9384</f>
        <v>1545.06051288</v>
      </c>
      <c r="N135" s="35">
        <f>0.9657*1599.9384</f>
        <v>1545.06051288</v>
      </c>
      <c r="O135" s="32">
        <v>2</v>
      </c>
      <c r="P135" s="50">
        <v>1.1390701045872476E-3</v>
      </c>
      <c r="Q135" s="50">
        <v>2.5384699316233328E-2</v>
      </c>
      <c r="R135" s="56">
        <f t="shared" si="76"/>
        <v>6.691343133295365E-3</v>
      </c>
      <c r="S135" s="56">
        <f t="shared" si="77"/>
        <v>5.0813845730149805E-3</v>
      </c>
      <c r="T135" s="56">
        <f t="shared" si="78"/>
        <v>0</v>
      </c>
      <c r="U135" s="57">
        <f t="shared" si="79"/>
        <v>-1.2989603102031566E-6</v>
      </c>
      <c r="V135" s="58">
        <f t="shared" si="80"/>
        <v>1.1038635223279414E-3</v>
      </c>
    </row>
    <row r="136" spans="1:24">
      <c r="A136" s="135">
        <v>119</v>
      </c>
      <c r="B136" s="133" t="s">
        <v>178</v>
      </c>
      <c r="C136" s="134" t="s">
        <v>65</v>
      </c>
      <c r="D136" s="33">
        <v>8267892027.5737019</v>
      </c>
      <c r="E136" s="30">
        <f t="shared" si="74"/>
        <v>4.2810269698155797E-3</v>
      </c>
      <c r="F136" s="33">
        <v>2080.8065514522709</v>
      </c>
      <c r="G136" s="33">
        <v>2080.8065514522709</v>
      </c>
      <c r="H136" s="32">
        <v>251</v>
      </c>
      <c r="I136" s="50">
        <v>5.3330015394948901E-2</v>
      </c>
      <c r="J136" s="50">
        <v>6.5997458075626833E-2</v>
      </c>
      <c r="K136" s="33">
        <v>9499330267.9134026</v>
      </c>
      <c r="L136" s="30">
        <f t="shared" si="75"/>
        <v>4.938597784326244E-3</v>
      </c>
      <c r="M136" s="33">
        <v>2060.9672729372501</v>
      </c>
      <c r="N136" s="33">
        <v>2060.9672729372501</v>
      </c>
      <c r="O136" s="32">
        <v>250</v>
      </c>
      <c r="P136" s="50">
        <v>5.385433047270656E-2</v>
      </c>
      <c r="Q136" s="50">
        <v>6.5274149170483381E-2</v>
      </c>
      <c r="R136" s="57">
        <f t="shared" si="76"/>
        <v>0.14894222568858087</v>
      </c>
      <c r="S136" s="57">
        <f t="shared" si="77"/>
        <v>-9.5344175561030853E-3</v>
      </c>
      <c r="T136" s="56">
        <f t="shared" si="78"/>
        <v>-3.9840637450199202E-3</v>
      </c>
      <c r="U136" s="57">
        <f t="shared" si="79"/>
        <v>5.2431507775765884E-4</v>
      </c>
      <c r="V136" s="58">
        <f t="shared" si="80"/>
        <v>-7.2330890514345214E-4</v>
      </c>
    </row>
    <row r="137" spans="1:24">
      <c r="A137" s="135">
        <v>120</v>
      </c>
      <c r="B137" s="133" t="s">
        <v>307</v>
      </c>
      <c r="C137" s="134" t="s">
        <v>37</v>
      </c>
      <c r="D137" s="33">
        <v>89495496508.75</v>
      </c>
      <c r="E137" s="30">
        <f t="shared" si="74"/>
        <v>4.6339820712853336E-2</v>
      </c>
      <c r="F137" s="33">
        <f>100*1591.8496</f>
        <v>159184.95999999999</v>
      </c>
      <c r="G137" s="33">
        <f>100*1591.8496</f>
        <v>159184.95999999999</v>
      </c>
      <c r="H137" s="32">
        <v>1931</v>
      </c>
      <c r="I137" s="50">
        <v>4.7E-2</v>
      </c>
      <c r="J137" s="50">
        <v>4.8969800000000001E-2</v>
      </c>
      <c r="K137" s="33">
        <v>89554497696.630005</v>
      </c>
      <c r="L137" s="30">
        <f t="shared" si="75"/>
        <v>4.6558402690232537E-2</v>
      </c>
      <c r="M137" s="33">
        <f>100*1599.9384</f>
        <v>159993.84</v>
      </c>
      <c r="N137" s="33">
        <f>100*1599.9384</f>
        <v>159993.84</v>
      </c>
      <c r="O137" s="32">
        <v>1808</v>
      </c>
      <c r="P137" s="50">
        <v>4.2700000000000002E-2</v>
      </c>
      <c r="Q137" s="50">
        <v>4.8599999999999997E-2</v>
      </c>
      <c r="R137" s="57">
        <f t="shared" si="76"/>
        <v>6.5926432258226896E-4</v>
      </c>
      <c r="S137" s="57">
        <f t="shared" si="77"/>
        <v>5.0813845730149675E-3</v>
      </c>
      <c r="T137" s="57">
        <f t="shared" si="78"/>
        <v>-6.369756602796478E-2</v>
      </c>
      <c r="U137" s="57">
        <f t="shared" si="79"/>
        <v>-4.2999999999999983E-3</v>
      </c>
      <c r="V137" s="58">
        <f t="shared" si="80"/>
        <v>-3.6980000000000346E-4</v>
      </c>
    </row>
    <row r="138" spans="1:24" ht="15.6">
      <c r="A138" s="135">
        <v>121</v>
      </c>
      <c r="B138" s="133" t="s">
        <v>179</v>
      </c>
      <c r="C138" s="134" t="s">
        <v>135</v>
      </c>
      <c r="D138" s="33">
        <f>1051453.17*1591.8496</f>
        <v>1673755308.0832319</v>
      </c>
      <c r="E138" s="30">
        <f t="shared" si="74"/>
        <v>8.6665278052488776E-4</v>
      </c>
      <c r="F138" s="33">
        <f>1.05*1591.8496</f>
        <v>1671.44208</v>
      </c>
      <c r="G138" s="33">
        <f>1.08*1591.8496</f>
        <v>1719.197568</v>
      </c>
      <c r="H138" s="32">
        <v>49</v>
      </c>
      <c r="I138" s="50">
        <v>1.9E-3</v>
      </c>
      <c r="J138" s="50">
        <v>9.9599999999999994E-2</v>
      </c>
      <c r="K138" s="33">
        <f>1081953.3*1599.9384</f>
        <v>1731058631.6767201</v>
      </c>
      <c r="L138" s="30">
        <f t="shared" si="75"/>
        <v>8.9995842673394296E-4</v>
      </c>
      <c r="M138" s="33">
        <f>1.07*1599.9384</f>
        <v>1711.9340880000002</v>
      </c>
      <c r="N138" s="33">
        <f>1.07*1599.9384</f>
        <v>1711.9340880000002</v>
      </c>
      <c r="O138" s="32">
        <v>51</v>
      </c>
      <c r="P138" s="50">
        <v>1.9E-3</v>
      </c>
      <c r="Q138" s="50">
        <v>9.3299999999999994E-2</v>
      </c>
      <c r="R138" s="57">
        <f t="shared" si="76"/>
        <v>3.4236380501228354E-2</v>
      </c>
      <c r="S138" s="57">
        <f t="shared" si="77"/>
        <v>-4.2249245434017764E-3</v>
      </c>
      <c r="T138" s="57">
        <f t="shared" si="78"/>
        <v>4.0816326530612242E-2</v>
      </c>
      <c r="U138" s="57">
        <f t="shared" si="79"/>
        <v>0</v>
      </c>
      <c r="V138" s="58">
        <f t="shared" si="80"/>
        <v>-6.3E-3</v>
      </c>
      <c r="X138" s="67"/>
    </row>
    <row r="139" spans="1:24" ht="15.6">
      <c r="A139" s="135">
        <v>122</v>
      </c>
      <c r="B139" s="133" t="s">
        <v>180</v>
      </c>
      <c r="C139" s="134" t="s">
        <v>43</v>
      </c>
      <c r="D139" s="29">
        <f>3224872.03*1591.8496</f>
        <v>5133511251.0066881</v>
      </c>
      <c r="E139" s="30">
        <f t="shared" si="74"/>
        <v>2.6580777835654244E-3</v>
      </c>
      <c r="F139" s="33">
        <f>10.55981*1591.8496</f>
        <v>16809.629324576003</v>
      </c>
      <c r="G139" s="33">
        <f>10.55981*1591.8496</f>
        <v>16809.629324576003</v>
      </c>
      <c r="H139" s="32">
        <v>68</v>
      </c>
      <c r="I139" s="50">
        <v>7.6899999999999996E-2</v>
      </c>
      <c r="J139" s="50">
        <v>9.69E-2</v>
      </c>
      <c r="K139" s="29">
        <f>3187584.35*1599.9384</f>
        <v>5099938604.80404</v>
      </c>
      <c r="L139" s="30">
        <f t="shared" si="75"/>
        <v>2.6514022340037575E-3</v>
      </c>
      <c r="M139" s="33">
        <f>10.5725*1599.9384</f>
        <v>16915.348733999999</v>
      </c>
      <c r="N139" s="33">
        <f>10.5725*1599.9384</f>
        <v>16915.348733999999</v>
      </c>
      <c r="O139" s="32">
        <v>68</v>
      </c>
      <c r="P139" s="50">
        <v>7.6600000000000001E-2</v>
      </c>
      <c r="Q139" s="50">
        <v>9.5799999999999996E-2</v>
      </c>
      <c r="R139" s="57">
        <f t="shared" si="76"/>
        <v>-6.5398992153887893E-3</v>
      </c>
      <c r="S139" s="57">
        <f t="shared" si="77"/>
        <v>6.2892171732444376E-3</v>
      </c>
      <c r="T139" s="57">
        <f t="shared" si="78"/>
        <v>0</v>
      </c>
      <c r="U139" s="57">
        <f t="shared" si="79"/>
        <v>-2.9999999999999472E-4</v>
      </c>
      <c r="V139" s="58">
        <f t="shared" si="80"/>
        <v>-1.1000000000000038E-3</v>
      </c>
      <c r="X139" s="67"/>
    </row>
    <row r="140" spans="1:24" ht="15.6">
      <c r="A140" s="135">
        <v>123</v>
      </c>
      <c r="B140" s="134" t="s">
        <v>181</v>
      </c>
      <c r="C140" s="184" t="s">
        <v>47</v>
      </c>
      <c r="D140" s="33">
        <v>24426120692.950001</v>
      </c>
      <c r="E140" s="30">
        <f t="shared" si="74"/>
        <v>1.264758672534046E-2</v>
      </c>
      <c r="F140" s="33">
        <f>0.99*1591.8496</f>
        <v>1575.931104</v>
      </c>
      <c r="G140" s="33">
        <f>0.99*1591.8496</f>
        <v>1575.931104</v>
      </c>
      <c r="H140" s="32">
        <v>460</v>
      </c>
      <c r="I140" s="50">
        <v>-6.7100000000000007E-2</v>
      </c>
      <c r="J140" s="50">
        <v>-2.29E-2</v>
      </c>
      <c r="K140" s="33">
        <v>24969429491.66</v>
      </c>
      <c r="L140" s="30">
        <f t="shared" si="75"/>
        <v>1.298133296617018E-2</v>
      </c>
      <c r="M140" s="33">
        <f>1.01*1599.9384</f>
        <v>1615.937784</v>
      </c>
      <c r="N140" s="33">
        <f>1.01*1599.9384</f>
        <v>1615.937784</v>
      </c>
      <c r="O140" s="32">
        <v>460</v>
      </c>
      <c r="P140" s="50">
        <v>7.7000000000000002E-3</v>
      </c>
      <c r="Q140" s="50">
        <v>-1.2699999999999999E-2</v>
      </c>
      <c r="R140" s="57">
        <f t="shared" si="76"/>
        <v>2.2242942526146274E-2</v>
      </c>
      <c r="S140" s="57">
        <f t="shared" si="77"/>
        <v>2.5386059008833395E-2</v>
      </c>
      <c r="T140" s="57">
        <f t="shared" si="78"/>
        <v>0</v>
      </c>
      <c r="U140" s="57">
        <f t="shared" si="79"/>
        <v>7.4800000000000005E-2</v>
      </c>
      <c r="V140" s="58">
        <f t="shared" si="80"/>
        <v>1.0200000000000001E-2</v>
      </c>
      <c r="X140" s="67"/>
    </row>
    <row r="141" spans="1:24">
      <c r="A141" s="135">
        <v>124</v>
      </c>
      <c r="B141" s="133" t="s">
        <v>182</v>
      </c>
      <c r="C141" s="134" t="s">
        <v>91</v>
      </c>
      <c r="D141" s="29">
        <f>246140.7*1619.88</f>
        <v>398718397.11600006</v>
      </c>
      <c r="E141" s="30">
        <f t="shared" si="74"/>
        <v>2.0645216528258765E-4</v>
      </c>
      <c r="F141" s="33">
        <f>1.03*1619.88</f>
        <v>1668.4764000000002</v>
      </c>
      <c r="G141" s="33">
        <f>1.03*1619.88</f>
        <v>1668.4764000000002</v>
      </c>
      <c r="H141" s="32">
        <v>2</v>
      </c>
      <c r="I141" s="50">
        <v>-4.0398999999999997E-2</v>
      </c>
      <c r="J141" s="50">
        <v>-5.5268999999999999E-2</v>
      </c>
      <c r="K141" s="29">
        <f>254090.69*1602.78</f>
        <v>407251476.1182</v>
      </c>
      <c r="L141" s="30">
        <f t="shared" si="75"/>
        <v>2.1172558284603373E-4</v>
      </c>
      <c r="M141" s="33">
        <f>1.06*1602.78</f>
        <v>1698.9468000000002</v>
      </c>
      <c r="N141" s="33">
        <f>1.06*1602.78</f>
        <v>1698.9468000000002</v>
      </c>
      <c r="O141" s="32">
        <v>2</v>
      </c>
      <c r="P141" s="50">
        <v>3.2299000000000001E-2</v>
      </c>
      <c r="Q141" s="50">
        <v>-4.6433000000000002E-2</v>
      </c>
      <c r="R141" s="57">
        <f t="shared" si="76"/>
        <v>2.1401267320297235E-2</v>
      </c>
      <c r="S141" s="57">
        <f t="shared" si="77"/>
        <v>1.8262409944785507E-2</v>
      </c>
      <c r="T141" s="57">
        <f t="shared" si="78"/>
        <v>0</v>
      </c>
      <c r="U141" s="57">
        <f t="shared" si="79"/>
        <v>7.2697999999999999E-2</v>
      </c>
      <c r="V141" s="58">
        <f t="shared" si="80"/>
        <v>8.8359999999999966E-3</v>
      </c>
    </row>
    <row r="142" spans="1:24">
      <c r="A142" s="135">
        <v>125</v>
      </c>
      <c r="B142" s="133" t="s">
        <v>311</v>
      </c>
      <c r="C142" s="134" t="s">
        <v>309</v>
      </c>
      <c r="D142" s="29">
        <f>414420.46*1591.8496</f>
        <v>659695043.48281598</v>
      </c>
      <c r="E142" s="30">
        <f t="shared" si="74"/>
        <v>3.4158311013071841E-4</v>
      </c>
      <c r="F142" s="33">
        <f>1.00114278729631*1591.8496</f>
        <v>1593.668745500516</v>
      </c>
      <c r="G142" s="33">
        <f>1.00114278729631*1591.8496</f>
        <v>1593.668745500516</v>
      </c>
      <c r="H142" s="32">
        <v>5</v>
      </c>
      <c r="I142" s="50">
        <v>1.1000000000000001E-3</v>
      </c>
      <c r="J142" s="50">
        <v>1.1000000000000001E-3</v>
      </c>
      <c r="K142" s="29">
        <f>414923.559463615*1599.9384</f>
        <v>663852135.85052109</v>
      </c>
      <c r="L142" s="30">
        <f t="shared" si="75"/>
        <v>3.4512945594761122E-4</v>
      </c>
      <c r="M142" s="33">
        <f>1.00236406271416*1599.9384</f>
        <v>1603.7207547163925</v>
      </c>
      <c r="N142" s="33">
        <f>1.00236406271416*1599.9384</f>
        <v>1603.7207547163925</v>
      </c>
      <c r="O142" s="32">
        <v>5</v>
      </c>
      <c r="P142" s="50">
        <v>6.3500000000000001E-2</v>
      </c>
      <c r="Q142" s="50">
        <v>2.3599999999999999E-2</v>
      </c>
      <c r="R142" s="57">
        <f t="shared" ref="R142" si="83">((K142-D142)/D142)</f>
        <v>6.3015364580549446E-3</v>
      </c>
      <c r="S142" s="57">
        <f t="shared" ref="S142" si="84">((N142-G142)/G142)</f>
        <v>6.3074646122394376E-3</v>
      </c>
      <c r="T142" s="57">
        <f t="shared" si="78"/>
        <v>0</v>
      </c>
      <c r="U142" s="57">
        <f t="shared" si="79"/>
        <v>6.2400000000000004E-2</v>
      </c>
      <c r="V142" s="58">
        <f t="shared" si="80"/>
        <v>2.2499999999999999E-2</v>
      </c>
    </row>
    <row r="143" spans="1:24">
      <c r="A143" s="135">
        <v>126</v>
      </c>
      <c r="B143" s="133" t="s">
        <v>183</v>
      </c>
      <c r="C143" s="134" t="s">
        <v>49</v>
      </c>
      <c r="D143" s="29">
        <v>1076749740859.61</v>
      </c>
      <c r="E143" s="30">
        <f t="shared" si="74"/>
        <v>0.55752961758435782</v>
      </c>
      <c r="F143" s="33">
        <v>2598.61</v>
      </c>
      <c r="G143" s="33">
        <v>2598.61</v>
      </c>
      <c r="H143" s="32">
        <v>10460</v>
      </c>
      <c r="I143" s="50">
        <v>1.2999999999999999E-3</v>
      </c>
      <c r="J143" s="50">
        <v>1.8800000000000001E-2</v>
      </c>
      <c r="K143" s="29">
        <v>1069190302043.0601</v>
      </c>
      <c r="L143" s="30">
        <f t="shared" si="75"/>
        <v>0.55586032991490264</v>
      </c>
      <c r="M143" s="33">
        <v>2574.06</v>
      </c>
      <c r="N143" s="33">
        <v>2574.06</v>
      </c>
      <c r="O143" s="32">
        <v>10535</v>
      </c>
      <c r="P143" s="50">
        <v>1.1000000000000001E-3</v>
      </c>
      <c r="Q143" s="50">
        <v>1.9900000000000001E-2</v>
      </c>
      <c r="R143" s="57">
        <f t="shared" si="76"/>
        <v>-7.020608902598798E-3</v>
      </c>
      <c r="S143" s="57">
        <f t="shared" si="77"/>
        <v>-9.4473583954499448E-3</v>
      </c>
      <c r="T143" s="57">
        <f t="shared" si="78"/>
        <v>7.1701720841300188E-3</v>
      </c>
      <c r="U143" s="57">
        <f t="shared" si="79"/>
        <v>-1.9999999999999987E-4</v>
      </c>
      <c r="V143" s="58">
        <f t="shared" si="80"/>
        <v>1.1000000000000003E-3</v>
      </c>
    </row>
    <row r="144" spans="1:24">
      <c r="A144" s="135">
        <v>127</v>
      </c>
      <c r="B144" s="133" t="s">
        <v>292</v>
      </c>
      <c r="C144" s="133" t="s">
        <v>101</v>
      </c>
      <c r="D144" s="29">
        <f>289012.43*1591.8496</f>
        <v>460064321.09052801</v>
      </c>
      <c r="E144" s="30">
        <f t="shared" si="74"/>
        <v>2.382164353223211E-4</v>
      </c>
      <c r="F144" s="33">
        <f>101.697*1591.8496</f>
        <v>161886.3287712</v>
      </c>
      <c r="G144" s="33">
        <f>101.697*1591.8496</f>
        <v>161886.3287712</v>
      </c>
      <c r="H144" s="32">
        <v>20</v>
      </c>
      <c r="I144" s="50">
        <v>0</v>
      </c>
      <c r="J144" s="50">
        <v>6.8400000000000002E-2</v>
      </c>
      <c r="K144" s="29">
        <f>289622.37*1599.9384</f>
        <v>463377951.26200801</v>
      </c>
      <c r="L144" s="30">
        <f t="shared" si="75"/>
        <v>2.4090512266301687E-4</v>
      </c>
      <c r="M144" s="33">
        <f>101.911*1599.9384</f>
        <v>163051.32228240001</v>
      </c>
      <c r="N144" s="33">
        <f>101.911*1599.9384</f>
        <v>163051.32228240001</v>
      </c>
      <c r="O144" s="32">
        <v>20</v>
      </c>
      <c r="P144" s="50">
        <v>0</v>
      </c>
      <c r="Q144" s="50">
        <v>7.22E-2</v>
      </c>
      <c r="R144" s="57">
        <f t="shared" ref="R144" si="85">((K144-D144)/D144)</f>
        <v>7.2025367314410126E-3</v>
      </c>
      <c r="S144" s="57">
        <f t="shared" ref="S144" si="86">((N144-G144)/G144)</f>
        <v>7.1963674761352965E-3</v>
      </c>
      <c r="T144" s="57">
        <f t="shared" ref="T144" si="87">((O144-H144)/H144)</f>
        <v>0</v>
      </c>
      <c r="U144" s="57">
        <f t="shared" ref="U144" si="88">P144-I144</f>
        <v>0</v>
      </c>
      <c r="V144" s="58">
        <f t="shared" ref="V144" si="89">Q144-J144</f>
        <v>3.7999999999999978E-3</v>
      </c>
    </row>
    <row r="145" spans="1:22" ht="16.5" customHeight="1">
      <c r="A145" s="135">
        <v>128</v>
      </c>
      <c r="B145" s="133" t="s">
        <v>184</v>
      </c>
      <c r="C145" s="134" t="s">
        <v>52</v>
      </c>
      <c r="D145" s="29">
        <f>133559253.81*1591.8496</f>
        <v>212606244753.74698</v>
      </c>
      <c r="E145" s="30">
        <f t="shared" si="74"/>
        <v>0.11008526293117335</v>
      </c>
      <c r="F145" s="33">
        <f>1.1933*1591.8496</f>
        <v>1899.55412768</v>
      </c>
      <c r="G145" s="33">
        <f>1.1933*1591.8496</f>
        <v>1899.55412768</v>
      </c>
      <c r="H145" s="32">
        <v>633</v>
      </c>
      <c r="I145" s="50">
        <v>6.7799999999999999E-2</v>
      </c>
      <c r="J145" s="50">
        <v>7.8200000000000006E-2</v>
      </c>
      <c r="K145" s="29">
        <f>130868542.79*1599.9384</f>
        <v>209381606961.76416</v>
      </c>
      <c r="L145" s="30">
        <f t="shared" si="75"/>
        <v>0.10885520463614473</v>
      </c>
      <c r="M145" s="33">
        <f>1.1948*1599.9384</f>
        <v>1911.6064003200001</v>
      </c>
      <c r="N145" s="33">
        <f>1.1948*1599.9384</f>
        <v>1911.6064003200001</v>
      </c>
      <c r="O145" s="32">
        <v>640</v>
      </c>
      <c r="P145" s="50">
        <v>7.3899999999999993E-2</v>
      </c>
      <c r="Q145" s="50">
        <v>7.7399999999999997E-2</v>
      </c>
      <c r="R145" s="57">
        <f t="shared" si="76"/>
        <v>-1.5167182862938873E-2</v>
      </c>
      <c r="S145" s="57">
        <f t="shared" si="77"/>
        <v>6.3447903191472081E-3</v>
      </c>
      <c r="T145" s="57">
        <f t="shared" si="78"/>
        <v>1.1058451816745656E-2</v>
      </c>
      <c r="U145" s="57">
        <f t="shared" si="79"/>
        <v>6.0999999999999943E-3</v>
      </c>
      <c r="V145" s="58">
        <f t="shared" si="80"/>
        <v>-8.0000000000000904E-4</v>
      </c>
    </row>
    <row r="146" spans="1:22" ht="16.5" customHeight="1">
      <c r="A146" s="135">
        <v>129</v>
      </c>
      <c r="B146" s="133" t="s">
        <v>185</v>
      </c>
      <c r="C146" s="134" t="s">
        <v>96</v>
      </c>
      <c r="D146" s="33">
        <v>1089244582.1498544</v>
      </c>
      <c r="E146" s="30">
        <v>0</v>
      </c>
      <c r="F146" s="33">
        <v>169714.82760000002</v>
      </c>
      <c r="G146" s="33">
        <v>169714.82760000002</v>
      </c>
      <c r="H146" s="32">
        <v>24</v>
      </c>
      <c r="I146" s="50">
        <v>1.1000000000000001E-3</v>
      </c>
      <c r="J146" s="50">
        <v>4.9099999999999998E-2</v>
      </c>
      <c r="K146" s="33">
        <v>1078627642.3038712</v>
      </c>
      <c r="L146" s="30">
        <f t="shared" si="75"/>
        <v>5.6076669977335502E-4</v>
      </c>
      <c r="M146" s="33">
        <v>168067.51079999999</v>
      </c>
      <c r="N146" s="33">
        <v>168067.51079999999</v>
      </c>
      <c r="O146" s="32">
        <v>24</v>
      </c>
      <c r="P146" s="50">
        <v>8.9999999999999998E-4</v>
      </c>
      <c r="Q146" s="50">
        <v>6.2300000000000001E-2</v>
      </c>
      <c r="R146" s="57">
        <f t="shared" si="76"/>
        <v>-9.7470669305772372E-3</v>
      </c>
      <c r="S146" s="57">
        <f t="shared" si="77"/>
        <v>-9.7063811294236576E-3</v>
      </c>
      <c r="T146" s="57">
        <f t="shared" si="78"/>
        <v>0</v>
      </c>
      <c r="U146" s="57">
        <f t="shared" si="79"/>
        <v>-2.0000000000000009E-4</v>
      </c>
      <c r="V146" s="58">
        <f t="shared" si="80"/>
        <v>1.3200000000000003E-2</v>
      </c>
    </row>
    <row r="147" spans="1:22" ht="16.5" customHeight="1">
      <c r="A147" s="135">
        <v>130</v>
      </c>
      <c r="B147" s="133" t="s">
        <v>318</v>
      </c>
      <c r="C147" s="134" t="s">
        <v>108</v>
      </c>
      <c r="D147" s="33">
        <v>0</v>
      </c>
      <c r="E147" s="30"/>
      <c r="F147" s="33">
        <v>0</v>
      </c>
      <c r="G147" s="33">
        <v>0</v>
      </c>
      <c r="H147" s="32">
        <v>0</v>
      </c>
      <c r="I147" s="50">
        <v>0</v>
      </c>
      <c r="J147" s="50">
        <v>0</v>
      </c>
      <c r="K147" s="33">
        <f>253019.23*1599.9384</f>
        <v>404815182.015432</v>
      </c>
      <c r="L147" s="30"/>
      <c r="M147" s="33">
        <f>0.9444*1599.9384</f>
        <v>1510.98182496</v>
      </c>
      <c r="N147" s="33">
        <f>0.9444*1599.9384</f>
        <v>1510.98182496</v>
      </c>
      <c r="O147" s="32">
        <v>7</v>
      </c>
      <c r="P147" s="50">
        <v>0</v>
      </c>
      <c r="Q147" s="50">
        <v>0.1095</v>
      </c>
      <c r="R147" s="57" t="e">
        <f t="shared" ref="R147" si="90">((K147-D147)/D147)</f>
        <v>#DIV/0!</v>
      </c>
      <c r="S147" s="57" t="e">
        <f t="shared" ref="S147" si="91">((N147-G147)/G147)</f>
        <v>#DIV/0!</v>
      </c>
      <c r="T147" s="57" t="e">
        <f t="shared" si="78"/>
        <v>#DIV/0!</v>
      </c>
      <c r="U147" s="57">
        <f t="shared" si="79"/>
        <v>0</v>
      </c>
      <c r="V147" s="58">
        <f t="shared" si="80"/>
        <v>0.1095</v>
      </c>
    </row>
    <row r="148" spans="1:22">
      <c r="A148" s="135">
        <v>131</v>
      </c>
      <c r="B148" s="133" t="s">
        <v>186</v>
      </c>
      <c r="C148" s="134" t="s">
        <v>110</v>
      </c>
      <c r="D148" s="33">
        <f>1236890.22*1591.8496</f>
        <v>1968943201.950912</v>
      </c>
      <c r="E148" s="30">
        <f>(D148/$D$149)</f>
        <v>1.0194979471763257E-3</v>
      </c>
      <c r="F148" s="33">
        <f>1.215*1591.8496</f>
        <v>1934.0972640000002</v>
      </c>
      <c r="G148" s="33">
        <f>1.215*1591.8496</f>
        <v>1934.0972640000002</v>
      </c>
      <c r="H148" s="32">
        <v>95</v>
      </c>
      <c r="I148" s="50">
        <v>-9.2999999999999992E-3</v>
      </c>
      <c r="J148" s="50">
        <v>-2.3E-2</v>
      </c>
      <c r="K148" s="33">
        <f>1229733.27*1599.9384</f>
        <v>1967497480.430568</v>
      </c>
      <c r="L148" s="30">
        <f t="shared" si="75"/>
        <v>1.0228803950887593E-3</v>
      </c>
      <c r="M148" s="33">
        <f>1.2367*1599.9384</f>
        <v>1978.6438192799999</v>
      </c>
      <c r="N148" s="33">
        <f>1.2367*1599.9384</f>
        <v>1978.6438192799999</v>
      </c>
      <c r="O148" s="32">
        <v>95</v>
      </c>
      <c r="P148" s="50">
        <v>1.7451999999999999E-2</v>
      </c>
      <c r="Q148" s="50">
        <v>-5.5529999999999998E-3</v>
      </c>
      <c r="R148" s="57">
        <f t="shared" si="76"/>
        <v>-7.3426268411985534E-4</v>
      </c>
      <c r="S148" s="57">
        <f t="shared" si="77"/>
        <v>2.3032220824236511E-2</v>
      </c>
      <c r="T148" s="57">
        <f t="shared" si="78"/>
        <v>0</v>
      </c>
      <c r="U148" s="57">
        <f t="shared" si="79"/>
        <v>2.6751999999999998E-2</v>
      </c>
      <c r="V148" s="58">
        <f t="shared" si="80"/>
        <v>1.7447000000000001E-2</v>
      </c>
    </row>
    <row r="149" spans="1:22">
      <c r="A149" s="36"/>
      <c r="B149" s="37"/>
      <c r="C149" s="71" t="s">
        <v>53</v>
      </c>
      <c r="D149" s="48">
        <f>SUM(D113:D148)</f>
        <v>1931287068703.0198</v>
      </c>
      <c r="E149" s="40">
        <f>(D149/$D$221)</f>
        <v>0.38415944719507306</v>
      </c>
      <c r="F149" s="41"/>
      <c r="G149" s="45"/>
      <c r="H149" s="43">
        <f>SUM(H113:H148)</f>
        <v>24091</v>
      </c>
      <c r="I149" s="80"/>
      <c r="J149" s="80"/>
      <c r="K149" s="48">
        <f>SUM(K113:K148)</f>
        <v>1923487330363.6252</v>
      </c>
      <c r="L149" s="40">
        <f>(K149/$K$221)</f>
        <v>0.37952556987417024</v>
      </c>
      <c r="M149" s="41"/>
      <c r="N149" s="45"/>
      <c r="O149" s="43">
        <f>SUM(O113:O148)</f>
        <v>24111</v>
      </c>
      <c r="P149" s="80"/>
      <c r="Q149" s="80"/>
      <c r="R149" s="57">
        <f t="shared" si="76"/>
        <v>-4.0386219458469963E-3</v>
      </c>
      <c r="S149" s="57" t="e">
        <f t="shared" si="77"/>
        <v>#DIV/0!</v>
      </c>
      <c r="T149" s="57">
        <f t="shared" si="78"/>
        <v>8.3018554646963592E-4</v>
      </c>
      <c r="U149" s="57">
        <f t="shared" si="79"/>
        <v>0</v>
      </c>
      <c r="V149" s="58">
        <f t="shared" si="80"/>
        <v>0</v>
      </c>
    </row>
    <row r="150" spans="1:22" ht="6" customHeight="1">
      <c r="A150" s="36"/>
      <c r="B150" s="177"/>
      <c r="C150" s="177"/>
      <c r="D150" s="177"/>
      <c r="E150" s="177"/>
      <c r="F150" s="177"/>
      <c r="G150" s="177"/>
      <c r="H150" s="177"/>
      <c r="I150" s="177"/>
      <c r="J150" s="177"/>
      <c r="K150" s="177"/>
      <c r="L150" s="177"/>
      <c r="M150" s="177"/>
      <c r="N150" s="177"/>
      <c r="O150" s="177"/>
      <c r="P150" s="177"/>
      <c r="Q150" s="177"/>
      <c r="R150" s="177"/>
      <c r="S150" s="177"/>
      <c r="T150" s="177"/>
      <c r="U150" s="177"/>
      <c r="V150" s="177"/>
    </row>
    <row r="151" spans="1:22">
      <c r="A151" s="179" t="s">
        <v>187</v>
      </c>
      <c r="B151" s="179"/>
      <c r="C151" s="179"/>
      <c r="D151" s="179"/>
      <c r="E151" s="179"/>
      <c r="F151" s="179"/>
      <c r="G151" s="179"/>
      <c r="H151" s="179"/>
      <c r="I151" s="179"/>
      <c r="J151" s="179"/>
      <c r="K151" s="179"/>
      <c r="L151" s="179"/>
      <c r="M151" s="179"/>
      <c r="N151" s="179"/>
      <c r="O151" s="179"/>
      <c r="P151" s="179"/>
      <c r="Q151" s="179"/>
      <c r="R151" s="179"/>
      <c r="S151" s="179"/>
      <c r="T151" s="179"/>
      <c r="U151" s="179"/>
      <c r="V151" s="179"/>
    </row>
    <row r="152" spans="1:22">
      <c r="A152" s="135">
        <v>132</v>
      </c>
      <c r="B152" s="133" t="s">
        <v>188</v>
      </c>
      <c r="C152" s="134" t="s">
        <v>189</v>
      </c>
      <c r="D152" s="72">
        <v>2356201909.2719512</v>
      </c>
      <c r="E152" s="30">
        <f>(D152/$D$157)</f>
        <v>2.3225504701448081E-2</v>
      </c>
      <c r="F152" s="60">
        <v>111.03684775079883</v>
      </c>
      <c r="G152" s="60">
        <v>111.03684775079883</v>
      </c>
      <c r="H152" s="32">
        <v>8</v>
      </c>
      <c r="I152" s="50">
        <v>4.7999999999999154E-3</v>
      </c>
      <c r="J152" s="50">
        <v>5.3101540504094435E-2</v>
      </c>
      <c r="K152" s="72">
        <v>2367511678.4364562</v>
      </c>
      <c r="L152" s="30">
        <f>(K152/$K$157)</f>
        <v>2.3327743616918327E-2</v>
      </c>
      <c r="M152" s="60">
        <v>111.56982462000265</v>
      </c>
      <c r="N152" s="60">
        <v>111.56982462000265</v>
      </c>
      <c r="O152" s="32">
        <v>8</v>
      </c>
      <c r="P152" s="50">
        <v>4.7999999999999154E-3</v>
      </c>
      <c r="Q152" s="50">
        <v>5.8156427898513829E-2</v>
      </c>
      <c r="R152" s="57">
        <f t="shared" ref="R152:R157" si="92">((K152-D152)/D152)</f>
        <v>4.7999999999998469E-3</v>
      </c>
      <c r="S152" s="57">
        <f t="shared" ref="S152:T157" si="93">((N152-G152)/G152)</f>
        <v>4.7999999999998842E-3</v>
      </c>
      <c r="T152" s="57">
        <f t="shared" si="93"/>
        <v>0</v>
      </c>
      <c r="U152" s="57">
        <f t="shared" ref="U152:V157" si="94">P152-I152</f>
        <v>0</v>
      </c>
      <c r="V152" s="58">
        <f t="shared" si="94"/>
        <v>5.0548873944193939E-3</v>
      </c>
    </row>
    <row r="153" spans="1:22">
      <c r="A153" s="135">
        <v>133</v>
      </c>
      <c r="B153" s="133" t="s">
        <v>190</v>
      </c>
      <c r="C153" s="134" t="s">
        <v>47</v>
      </c>
      <c r="D153" s="29">
        <v>54160728474</v>
      </c>
      <c r="E153" s="30">
        <f>(D153/$D$157)</f>
        <v>0.53387201192593248</v>
      </c>
      <c r="F153" s="60">
        <v>102.07</v>
      </c>
      <c r="G153" s="60">
        <v>102.07</v>
      </c>
      <c r="H153" s="32">
        <v>645</v>
      </c>
      <c r="I153" s="50">
        <v>8.3900000000000002E-2</v>
      </c>
      <c r="J153" s="50">
        <v>8.3900000000000002E-2</v>
      </c>
      <c r="K153" s="29">
        <v>54160728474</v>
      </c>
      <c r="L153" s="30">
        <f>(K153/$K$157)</f>
        <v>0.53366055147884284</v>
      </c>
      <c r="M153" s="60">
        <v>102.07</v>
      </c>
      <c r="N153" s="60">
        <v>102.07</v>
      </c>
      <c r="O153" s="32">
        <v>645</v>
      </c>
      <c r="P153" s="50">
        <v>8.3900000000000002E-2</v>
      </c>
      <c r="Q153" s="50">
        <v>8.3900000000000002E-2</v>
      </c>
      <c r="R153" s="57">
        <f t="shared" si="92"/>
        <v>0</v>
      </c>
      <c r="S153" s="57">
        <f t="shared" si="93"/>
        <v>0</v>
      </c>
      <c r="T153" s="57">
        <f t="shared" si="93"/>
        <v>0</v>
      </c>
      <c r="U153" s="57">
        <f t="shared" si="94"/>
        <v>0</v>
      </c>
      <c r="V153" s="58">
        <f t="shared" si="94"/>
        <v>0</v>
      </c>
    </row>
    <row r="154" spans="1:22" ht="15.75" customHeight="1">
      <c r="A154" s="135">
        <v>134</v>
      </c>
      <c r="B154" s="133" t="s">
        <v>191</v>
      </c>
      <c r="C154" s="134" t="s">
        <v>145</v>
      </c>
      <c r="D154" s="29">
        <v>2863863818.3733487</v>
      </c>
      <c r="E154" s="30">
        <f>(D154/$D$157)</f>
        <v>2.8229619166419317E-2</v>
      </c>
      <c r="F154" s="60">
        <v>206</v>
      </c>
      <c r="G154" s="60">
        <v>206</v>
      </c>
      <c r="H154" s="32">
        <v>3250</v>
      </c>
      <c r="I154" s="50">
        <v>4.5647944890037838E-2</v>
      </c>
      <c r="J154" s="50">
        <v>7.7263262212070444E-2</v>
      </c>
      <c r="K154" s="29">
        <v>2869448747.708168</v>
      </c>
      <c r="L154" s="30">
        <f>(K154/$K$157)</f>
        <v>2.8273467589663721E-2</v>
      </c>
      <c r="M154" s="60">
        <v>206</v>
      </c>
      <c r="N154" s="60">
        <v>206</v>
      </c>
      <c r="O154" s="32">
        <v>3250</v>
      </c>
      <c r="P154" s="50">
        <v>0.12926995739832386</v>
      </c>
      <c r="Q154" s="50">
        <v>4.6096904076973658E-2</v>
      </c>
      <c r="R154" s="57">
        <f t="shared" si="92"/>
        <v>1.9501378867908289E-3</v>
      </c>
      <c r="S154" s="57">
        <f t="shared" si="93"/>
        <v>0</v>
      </c>
      <c r="T154" s="57">
        <f t="shared" si="93"/>
        <v>0</v>
      </c>
      <c r="U154" s="57">
        <f t="shared" si="94"/>
        <v>8.362201250828602E-2</v>
      </c>
      <c r="V154" s="58">
        <f t="shared" si="94"/>
        <v>-3.1166358135096786E-2</v>
      </c>
    </row>
    <row r="155" spans="1:22">
      <c r="A155" s="135">
        <v>135</v>
      </c>
      <c r="B155" s="133" t="s">
        <v>192</v>
      </c>
      <c r="C155" s="134" t="s">
        <v>145</v>
      </c>
      <c r="D155" s="29">
        <v>10917612232.18</v>
      </c>
      <c r="E155" s="30">
        <f>(D155/$D$157)</f>
        <v>0.10761686136882641</v>
      </c>
      <c r="F155" s="60">
        <v>46.15</v>
      </c>
      <c r="G155" s="60">
        <v>46.15</v>
      </c>
      <c r="H155" s="32">
        <v>5344</v>
      </c>
      <c r="I155" s="50">
        <v>0.14337140673224652</v>
      </c>
      <c r="J155" s="50">
        <v>2.5581123700503246E-2</v>
      </c>
      <c r="K155" s="29">
        <v>10935579052.82</v>
      </c>
      <c r="L155" s="30">
        <f>(K155/$K$157)</f>
        <v>0.10775126761579538</v>
      </c>
      <c r="M155" s="60">
        <v>46.15</v>
      </c>
      <c r="N155" s="60">
        <v>46.15</v>
      </c>
      <c r="O155" s="32">
        <v>5344</v>
      </c>
      <c r="P155" s="50">
        <v>1.99733688415447E-2</v>
      </c>
      <c r="Q155" s="50">
        <v>0.14763478756115875</v>
      </c>
      <c r="R155" s="57">
        <f t="shared" si="92"/>
        <v>1.6456730883921329E-3</v>
      </c>
      <c r="S155" s="57">
        <f t="shared" si="93"/>
        <v>0</v>
      </c>
      <c r="T155" s="57">
        <f t="shared" si="93"/>
        <v>0</v>
      </c>
      <c r="U155" s="57">
        <f t="shared" si="94"/>
        <v>-0.12339803789070182</v>
      </c>
      <c r="V155" s="58">
        <f t="shared" si="94"/>
        <v>0.1220536638606555</v>
      </c>
    </row>
    <row r="156" spans="1:22">
      <c r="A156" s="135">
        <v>136</v>
      </c>
      <c r="B156" s="133" t="s">
        <v>193</v>
      </c>
      <c r="C156" s="134" t="s">
        <v>49</v>
      </c>
      <c r="D156" s="29">
        <v>31150493797.18</v>
      </c>
      <c r="E156" s="30">
        <f>(D156/$D$157)</f>
        <v>0.30705600283737361</v>
      </c>
      <c r="F156" s="60">
        <v>5.9</v>
      </c>
      <c r="G156" s="60">
        <v>5.9</v>
      </c>
      <c r="H156" s="32">
        <v>208195</v>
      </c>
      <c r="I156" s="50">
        <v>-3.2800000000000003E-2</v>
      </c>
      <c r="J156" s="50">
        <v>0.18</v>
      </c>
      <c r="K156" s="29">
        <v>31155830920.68</v>
      </c>
      <c r="L156" s="30">
        <f>(K156/$K$157)</f>
        <v>0.3069869696987797</v>
      </c>
      <c r="M156" s="60">
        <v>5.9</v>
      </c>
      <c r="N156" s="60">
        <v>5.9</v>
      </c>
      <c r="O156" s="32">
        <v>208195</v>
      </c>
      <c r="P156" s="50">
        <v>0</v>
      </c>
      <c r="Q156" s="50">
        <v>0.18</v>
      </c>
      <c r="R156" s="57">
        <f t="shared" si="92"/>
        <v>1.7133351190995119E-4</v>
      </c>
      <c r="S156" s="57">
        <f t="shared" si="93"/>
        <v>0</v>
      </c>
      <c r="T156" s="57">
        <f t="shared" si="93"/>
        <v>0</v>
      </c>
      <c r="U156" s="57">
        <f t="shared" si="94"/>
        <v>3.2800000000000003E-2</v>
      </c>
      <c r="V156" s="58">
        <f t="shared" si="94"/>
        <v>0</v>
      </c>
    </row>
    <row r="157" spans="1:22">
      <c r="A157" s="36"/>
      <c r="B157" s="73"/>
      <c r="C157" s="38" t="s">
        <v>53</v>
      </c>
      <c r="D157" s="39">
        <f>SUM(D152:D156)</f>
        <v>101448900231.00531</v>
      </c>
      <c r="E157" s="40">
        <f>(D157/$D$221)</f>
        <v>2.0179575611958937E-2</v>
      </c>
      <c r="F157" s="41"/>
      <c r="G157" s="74"/>
      <c r="H157" s="43">
        <f>SUM(H152:H156)</f>
        <v>217442</v>
      </c>
      <c r="I157" s="81"/>
      <c r="J157" s="81"/>
      <c r="K157" s="39">
        <f>SUM(K152:K156)</f>
        <v>101489098873.64462</v>
      </c>
      <c r="L157" s="40">
        <f>(K157/$K$221)</f>
        <v>2.0024934647609252E-2</v>
      </c>
      <c r="M157" s="41"/>
      <c r="N157" s="74"/>
      <c r="O157" s="43">
        <f>SUM(O152:O156)</f>
        <v>217442</v>
      </c>
      <c r="P157" s="81"/>
      <c r="Q157" s="81"/>
      <c r="R157" s="57">
        <f t="shared" si="92"/>
        <v>3.9624522836401372E-4</v>
      </c>
      <c r="S157" s="57" t="e">
        <f t="shared" si="93"/>
        <v>#DIV/0!</v>
      </c>
      <c r="T157" s="57">
        <f t="shared" si="93"/>
        <v>0</v>
      </c>
      <c r="U157" s="57">
        <f t="shared" si="94"/>
        <v>0</v>
      </c>
      <c r="V157" s="58">
        <f t="shared" si="94"/>
        <v>0</v>
      </c>
    </row>
    <row r="158" spans="1:22" ht="5.25" customHeight="1">
      <c r="A158" s="36"/>
      <c r="B158" s="177"/>
      <c r="C158" s="177"/>
      <c r="D158" s="177"/>
      <c r="E158" s="177"/>
      <c r="F158" s="177"/>
      <c r="G158" s="177"/>
      <c r="H158" s="177"/>
      <c r="I158" s="177"/>
      <c r="J158" s="177"/>
      <c r="K158" s="177"/>
      <c r="L158" s="177"/>
      <c r="M158" s="177"/>
      <c r="N158" s="177"/>
      <c r="O158" s="177"/>
      <c r="P158" s="177"/>
      <c r="Q158" s="177"/>
      <c r="R158" s="177"/>
      <c r="S158" s="177"/>
      <c r="T158" s="177"/>
      <c r="U158" s="177"/>
      <c r="V158" s="177"/>
    </row>
    <row r="159" spans="1:22" ht="15" customHeight="1">
      <c r="A159" s="179" t="s">
        <v>194</v>
      </c>
      <c r="B159" s="179"/>
      <c r="C159" s="179"/>
      <c r="D159" s="179"/>
      <c r="E159" s="179"/>
      <c r="F159" s="179"/>
      <c r="G159" s="179"/>
      <c r="H159" s="179"/>
      <c r="I159" s="179"/>
      <c r="J159" s="179"/>
      <c r="K159" s="179"/>
      <c r="L159" s="179"/>
      <c r="M159" s="179"/>
      <c r="N159" s="179"/>
      <c r="O159" s="179"/>
      <c r="P159" s="179"/>
      <c r="Q159" s="179"/>
      <c r="R159" s="179"/>
      <c r="S159" s="179"/>
      <c r="T159" s="179"/>
      <c r="U159" s="179"/>
      <c r="V159" s="179"/>
    </row>
    <row r="160" spans="1:22">
      <c r="A160" s="141">
        <v>137</v>
      </c>
      <c r="B160" s="133" t="s">
        <v>195</v>
      </c>
      <c r="C160" s="134" t="s">
        <v>57</v>
      </c>
      <c r="D160" s="33">
        <v>284450197.75999999</v>
      </c>
      <c r="E160" s="30">
        <f t="shared" ref="E160:E188" si="95">(D160/$D$189)</f>
        <v>4.9794108128229488E-3</v>
      </c>
      <c r="F160" s="33">
        <v>6.0198999999999998</v>
      </c>
      <c r="G160" s="33">
        <v>6.1021000000000001</v>
      </c>
      <c r="H160" s="34">
        <v>11842</v>
      </c>
      <c r="I160" s="51">
        <v>-1.75E-3</v>
      </c>
      <c r="J160" s="51">
        <v>5.3477999999999998E-2</v>
      </c>
      <c r="K160" s="33">
        <v>284918422.32999998</v>
      </c>
      <c r="L160" s="54">
        <f t="shared" ref="L160:L187" si="96">(K160/$K$189)</f>
        <v>4.9479298599772676E-3</v>
      </c>
      <c r="M160" s="33">
        <v>6.03</v>
      </c>
      <c r="N160" s="33">
        <v>6.1120000000000001</v>
      </c>
      <c r="O160" s="34">
        <v>11842</v>
      </c>
      <c r="P160" s="51">
        <v>1.768E-3</v>
      </c>
      <c r="Q160" s="51">
        <v>5.5246000000000003E-2</v>
      </c>
      <c r="R160" s="57">
        <f>((K160-D160)/D160)</f>
        <v>1.6460687096974682E-3</v>
      </c>
      <c r="S160" s="57">
        <f>((N160-G160)/G160)</f>
        <v>1.6223922911784499E-3</v>
      </c>
      <c r="T160" s="57">
        <f>((O160-H160)/H160)</f>
        <v>0</v>
      </c>
      <c r="U160" s="57">
        <f>P160-I160</f>
        <v>3.5180000000000003E-3</v>
      </c>
      <c r="V160" s="58">
        <f>Q160-J160</f>
        <v>1.7680000000000057E-3</v>
      </c>
    </row>
    <row r="161" spans="1:22">
      <c r="A161" s="141">
        <v>138</v>
      </c>
      <c r="B161" s="133" t="s">
        <v>196</v>
      </c>
      <c r="C161" s="133" t="s">
        <v>197</v>
      </c>
      <c r="D161" s="33">
        <v>695939026.45629203</v>
      </c>
      <c r="E161" s="30">
        <f t="shared" si="95"/>
        <v>1.2182682032535553E-2</v>
      </c>
      <c r="F161" s="33">
        <v>1596.8812786536478</v>
      </c>
      <c r="G161" s="33">
        <v>1615.9436099332813</v>
      </c>
      <c r="H161" s="34">
        <v>161</v>
      </c>
      <c r="I161" s="51">
        <v>-7.829378925711063E-3</v>
      </c>
      <c r="J161" s="51">
        <v>0.42755703740750317</v>
      </c>
      <c r="K161" s="33">
        <v>682140209.8588711</v>
      </c>
      <c r="L161" s="54">
        <f t="shared" si="96"/>
        <v>1.1846134361724929E-2</v>
      </c>
      <c r="M161" s="33">
        <v>1565.105536460577</v>
      </c>
      <c r="N161" s="33">
        <v>1583.6340883944815</v>
      </c>
      <c r="O161" s="34">
        <v>161</v>
      </c>
      <c r="P161" s="51">
        <v>-1.9956729061375349E-2</v>
      </c>
      <c r="Q161" s="51">
        <v>0.3990676683923029</v>
      </c>
      <c r="R161" s="57">
        <f>((K161-D161)/D161)</f>
        <v>-1.9827622927951368E-2</v>
      </c>
      <c r="S161" s="57">
        <f>((N161-G161)/G161)</f>
        <v>-1.9994213498659021E-2</v>
      </c>
      <c r="T161" s="57">
        <f>((O161-H161)/H161)</f>
        <v>0</v>
      </c>
      <c r="U161" s="57">
        <f>P161-I161</f>
        <v>-1.2127350135664286E-2</v>
      </c>
      <c r="V161" s="58">
        <f>Q161-J161</f>
        <v>-2.8489369015200272E-2</v>
      </c>
    </row>
    <row r="162" spans="1:22">
      <c r="A162" s="141">
        <v>139</v>
      </c>
      <c r="B162" s="133" t="s">
        <v>198</v>
      </c>
      <c r="C162" s="134" t="s">
        <v>23</v>
      </c>
      <c r="D162" s="33">
        <v>6937698294.5600004</v>
      </c>
      <c r="E162" s="30">
        <f t="shared" si="95"/>
        <v>0.12144709399422778</v>
      </c>
      <c r="F162" s="33">
        <v>811.73540000000003</v>
      </c>
      <c r="G162" s="33">
        <v>836.20989999999995</v>
      </c>
      <c r="H162" s="34">
        <v>21424</v>
      </c>
      <c r="I162" s="51">
        <v>-0.14030000000000001</v>
      </c>
      <c r="J162" s="51">
        <v>7.6600000000000001E-2</v>
      </c>
      <c r="K162" s="33">
        <v>7038551836.2299995</v>
      </c>
      <c r="L162" s="54">
        <f t="shared" si="96"/>
        <v>0.12223239380830052</v>
      </c>
      <c r="M162" s="33">
        <v>823.5394</v>
      </c>
      <c r="N162" s="33">
        <v>848.36969999999997</v>
      </c>
      <c r="O162" s="34">
        <v>21432</v>
      </c>
      <c r="P162" s="51">
        <v>0.75819999999999999</v>
      </c>
      <c r="Q162" s="51">
        <v>0.12180000000000001</v>
      </c>
      <c r="R162" s="57">
        <f t="shared" ref="R162:R188" si="97">((K162-D162)/D162)</f>
        <v>1.4537031935949215E-2</v>
      </c>
      <c r="S162" s="57">
        <f t="shared" ref="S162:T188" si="98">((N162-G162)/G162)</f>
        <v>1.4541564265144457E-2</v>
      </c>
      <c r="T162" s="57">
        <f t="shared" si="98"/>
        <v>3.734129947722181E-4</v>
      </c>
      <c r="U162" s="57">
        <f t="shared" ref="U162:V188" si="99">P162-I162</f>
        <v>0.89849999999999997</v>
      </c>
      <c r="V162" s="58">
        <f t="shared" si="99"/>
        <v>4.5200000000000004E-2</v>
      </c>
    </row>
    <row r="163" spans="1:22">
      <c r="A163" s="141">
        <v>140</v>
      </c>
      <c r="B163" s="133" t="s">
        <v>199</v>
      </c>
      <c r="C163" s="134" t="s">
        <v>112</v>
      </c>
      <c r="D163" s="33">
        <v>4003951799.6599998</v>
      </c>
      <c r="E163" s="30">
        <f t="shared" si="95"/>
        <v>7.0090726047132804E-2</v>
      </c>
      <c r="F163" s="33">
        <v>23.600100000000001</v>
      </c>
      <c r="G163" s="33">
        <v>23.8916</v>
      </c>
      <c r="H163" s="32">
        <v>6153</v>
      </c>
      <c r="I163" s="50">
        <v>8.5000000000000006E-3</v>
      </c>
      <c r="J163" s="50">
        <v>0.1099</v>
      </c>
      <c r="K163" s="33">
        <v>3908098833.4699998</v>
      </c>
      <c r="L163" s="54">
        <f t="shared" si="96"/>
        <v>6.7868545514659359E-2</v>
      </c>
      <c r="M163" s="33">
        <v>23.801600000000001</v>
      </c>
      <c r="N163" s="33">
        <v>24.0976</v>
      </c>
      <c r="O163" s="32">
        <v>6151</v>
      </c>
      <c r="P163" s="50">
        <v>-1.6500000000000001E-2</v>
      </c>
      <c r="Q163" s="50">
        <v>0.11940000000000001</v>
      </c>
      <c r="R163" s="57">
        <f t="shared" si="97"/>
        <v>-2.3939590431168407E-2</v>
      </c>
      <c r="S163" s="57">
        <f t="shared" si="98"/>
        <v>8.6222772857405747E-3</v>
      </c>
      <c r="T163" s="57">
        <f t="shared" si="98"/>
        <v>-3.2504469364537625E-4</v>
      </c>
      <c r="U163" s="57">
        <f t="shared" si="99"/>
        <v>-2.5000000000000001E-2</v>
      </c>
      <c r="V163" s="58">
        <f t="shared" si="99"/>
        <v>9.5000000000000084E-3</v>
      </c>
    </row>
    <row r="164" spans="1:22">
      <c r="A164" s="141">
        <v>141</v>
      </c>
      <c r="B164" s="133" t="s">
        <v>200</v>
      </c>
      <c r="C164" s="134" t="s">
        <v>121</v>
      </c>
      <c r="D164" s="29">
        <v>1986267736.8685088</v>
      </c>
      <c r="E164" s="30">
        <f t="shared" si="95"/>
        <v>3.4770385550827822E-2</v>
      </c>
      <c r="F164" s="33">
        <v>4.7412999999999998</v>
      </c>
      <c r="G164" s="33">
        <v>4.8461999999999996</v>
      </c>
      <c r="H164" s="32">
        <v>2740</v>
      </c>
      <c r="I164" s="50">
        <v>-0.39190000000000003</v>
      </c>
      <c r="J164" s="50">
        <v>0.14050000000000001</v>
      </c>
      <c r="K164" s="29">
        <v>2000148416.5876465</v>
      </c>
      <c r="L164" s="54">
        <f t="shared" si="96"/>
        <v>3.4734833900483181E-2</v>
      </c>
      <c r="M164" s="33">
        <v>4.7742154409798756</v>
      </c>
      <c r="N164" s="33">
        <v>4.8803123296176771</v>
      </c>
      <c r="O164" s="32">
        <v>2740</v>
      </c>
      <c r="P164" s="50">
        <v>0.36699999999999999</v>
      </c>
      <c r="Q164" s="50">
        <v>0.15759999999999999</v>
      </c>
      <c r="R164" s="57">
        <f t="shared" si="97"/>
        <v>6.9883226019778885E-3</v>
      </c>
      <c r="S164" s="57">
        <f t="shared" si="98"/>
        <v>7.0389851053768975E-3</v>
      </c>
      <c r="T164" s="57">
        <f t="shared" si="98"/>
        <v>0</v>
      </c>
      <c r="U164" s="57">
        <f t="shared" si="99"/>
        <v>0.75890000000000002</v>
      </c>
      <c r="V164" s="58">
        <f t="shared" si="99"/>
        <v>1.7099999999999976E-2</v>
      </c>
    </row>
    <row r="165" spans="1:22">
      <c r="A165" s="141">
        <v>142</v>
      </c>
      <c r="B165" s="133" t="s">
        <v>316</v>
      </c>
      <c r="C165" s="134" t="s">
        <v>27</v>
      </c>
      <c r="D165" s="29">
        <v>0</v>
      </c>
      <c r="E165" s="30">
        <f t="shared" si="95"/>
        <v>0</v>
      </c>
      <c r="F165" s="33">
        <v>0</v>
      </c>
      <c r="G165" s="33">
        <v>0</v>
      </c>
      <c r="H165" s="32">
        <v>0</v>
      </c>
      <c r="I165" s="50">
        <v>0</v>
      </c>
      <c r="J165" s="50">
        <v>0</v>
      </c>
      <c r="K165" s="29">
        <v>751660030.58000004</v>
      </c>
      <c r="L165" s="54">
        <f t="shared" si="96"/>
        <v>1.305342448355473E-2</v>
      </c>
      <c r="M165" s="33">
        <v>1.0092000000000001</v>
      </c>
      <c r="N165" s="33">
        <v>1.0092000000000001</v>
      </c>
      <c r="O165" s="32">
        <v>192</v>
      </c>
      <c r="P165" s="50">
        <v>4.7999999999999996E-3</v>
      </c>
      <c r="Q165" s="50">
        <v>9.1999999999999998E-3</v>
      </c>
      <c r="R165" s="57" t="e">
        <f t="shared" ref="R165" si="100">((K165-D165)/D165)</f>
        <v>#DIV/0!</v>
      </c>
      <c r="S165" s="57" t="e">
        <f t="shared" ref="S165" si="101">((N165-G165)/G165)</f>
        <v>#DIV/0!</v>
      </c>
      <c r="T165" s="57" t="e">
        <f t="shared" ref="T165" si="102">((O165-H165)/H165)</f>
        <v>#DIV/0!</v>
      </c>
      <c r="U165" s="57">
        <f t="shared" ref="U165" si="103">P165-I165</f>
        <v>4.7999999999999996E-3</v>
      </c>
      <c r="V165" s="58">
        <f t="shared" ref="V165" si="104">Q165-J165</f>
        <v>9.1999999999999998E-3</v>
      </c>
    </row>
    <row r="166" spans="1:22">
      <c r="A166" s="141">
        <v>143</v>
      </c>
      <c r="B166" s="133" t="s">
        <v>201</v>
      </c>
      <c r="C166" s="134" t="s">
        <v>65</v>
      </c>
      <c r="D166" s="33">
        <v>3737092809.8091998</v>
      </c>
      <c r="E166" s="30">
        <f t="shared" si="95"/>
        <v>6.5419256137720982E-2</v>
      </c>
      <c r="F166" s="33">
        <v>8579.7726967664094</v>
      </c>
      <c r="G166" s="33">
        <v>8657.6333771619502</v>
      </c>
      <c r="H166" s="32">
        <v>1001</v>
      </c>
      <c r="I166" s="50">
        <v>-0.23688216610860971</v>
      </c>
      <c r="J166" s="50">
        <v>0.44374947340549914</v>
      </c>
      <c r="K166" s="33">
        <v>3782074746.5605302</v>
      </c>
      <c r="L166" s="54">
        <f t="shared" si="96"/>
        <v>6.5679995060124285E-2</v>
      </c>
      <c r="M166" s="33">
        <v>8455.3351037958</v>
      </c>
      <c r="N166" s="33">
        <v>8528.4242242526198</v>
      </c>
      <c r="O166" s="32">
        <v>1003</v>
      </c>
      <c r="P166" s="50">
        <v>-0.75625917246923313</v>
      </c>
      <c r="Q166" s="50">
        <v>0.35995231742890477</v>
      </c>
      <c r="R166" s="57">
        <f t="shared" si="97"/>
        <v>1.2036612158322866E-2</v>
      </c>
      <c r="S166" s="57">
        <f t="shared" si="98"/>
        <v>-1.4924304054058519E-2</v>
      </c>
      <c r="T166" s="57">
        <f t="shared" si="98"/>
        <v>1.998001998001998E-3</v>
      </c>
      <c r="U166" s="57">
        <f t="shared" si="99"/>
        <v>-0.51937700636062345</v>
      </c>
      <c r="V166" s="58">
        <f t="shared" si="99"/>
        <v>-8.3797155976594373E-2</v>
      </c>
    </row>
    <row r="167" spans="1:22">
      <c r="A167" s="141">
        <v>144</v>
      </c>
      <c r="B167" s="133" t="s">
        <v>202</v>
      </c>
      <c r="C167" s="134" t="s">
        <v>67</v>
      </c>
      <c r="D167" s="33">
        <v>891345783.44000006</v>
      </c>
      <c r="E167" s="30">
        <f t="shared" si="95"/>
        <v>1.5603352948870452E-2</v>
      </c>
      <c r="F167" s="33">
        <v>216.45</v>
      </c>
      <c r="G167" s="33">
        <v>218.27</v>
      </c>
      <c r="H167" s="32">
        <v>692</v>
      </c>
      <c r="I167" s="50">
        <v>-1.4E-3</v>
      </c>
      <c r="J167" s="50">
        <v>5.9700000000000003E-2</v>
      </c>
      <c r="K167" s="33">
        <v>868863079.75999999</v>
      </c>
      <c r="L167" s="54">
        <f t="shared" si="96"/>
        <v>1.5088787665674404E-2</v>
      </c>
      <c r="M167" s="33">
        <v>210.56</v>
      </c>
      <c r="N167" s="33">
        <v>212.27</v>
      </c>
      <c r="O167" s="32">
        <v>695</v>
      </c>
      <c r="P167" s="50">
        <v>-2.7400000000000001E-2</v>
      </c>
      <c r="Q167" s="50">
        <v>3.0800000000000001E-2</v>
      </c>
      <c r="R167" s="57">
        <f t="shared" si="97"/>
        <v>-2.522332421120772E-2</v>
      </c>
      <c r="S167" s="57">
        <f t="shared" si="98"/>
        <v>-2.7488889906995922E-2</v>
      </c>
      <c r="T167" s="57">
        <f t="shared" si="98"/>
        <v>4.335260115606936E-3</v>
      </c>
      <c r="U167" s="57">
        <f t="shared" si="99"/>
        <v>-2.6000000000000002E-2</v>
      </c>
      <c r="V167" s="58">
        <f t="shared" si="99"/>
        <v>-2.8900000000000002E-2</v>
      </c>
    </row>
    <row r="168" spans="1:22">
      <c r="A168" s="141">
        <v>145</v>
      </c>
      <c r="B168" s="133" t="s">
        <v>203</v>
      </c>
      <c r="C168" s="134" t="s">
        <v>69</v>
      </c>
      <c r="D168" s="33">
        <v>3734808.11</v>
      </c>
      <c r="E168" s="30">
        <f t="shared" si="95"/>
        <v>6.537926158323104E-5</v>
      </c>
      <c r="F168" s="33">
        <v>102.747</v>
      </c>
      <c r="G168" s="33">
        <v>102.99</v>
      </c>
      <c r="H168" s="32">
        <v>0</v>
      </c>
      <c r="I168" s="50">
        <v>0</v>
      </c>
      <c r="J168" s="50">
        <v>0</v>
      </c>
      <c r="K168" s="33">
        <v>3734808.11</v>
      </c>
      <c r="L168" s="54">
        <f t="shared" si="96"/>
        <v>6.4859156588164537E-5</v>
      </c>
      <c r="M168" s="33">
        <v>102.747</v>
      </c>
      <c r="N168" s="33">
        <v>102.99</v>
      </c>
      <c r="O168" s="32">
        <v>0</v>
      </c>
      <c r="P168" s="50">
        <v>0</v>
      </c>
      <c r="Q168" s="50">
        <v>0</v>
      </c>
      <c r="R168" s="57">
        <f t="shared" si="97"/>
        <v>0</v>
      </c>
      <c r="S168" s="57">
        <f t="shared" si="98"/>
        <v>0</v>
      </c>
      <c r="T168" s="57" t="e">
        <f t="shared" si="98"/>
        <v>#DIV/0!</v>
      </c>
      <c r="U168" s="57">
        <f t="shared" si="99"/>
        <v>0</v>
      </c>
      <c r="V168" s="58">
        <f t="shared" si="99"/>
        <v>0</v>
      </c>
    </row>
    <row r="169" spans="1:22">
      <c r="A169" s="141">
        <v>146</v>
      </c>
      <c r="B169" s="133" t="s">
        <v>204</v>
      </c>
      <c r="C169" s="134" t="s">
        <v>126</v>
      </c>
      <c r="D169" s="33">
        <v>229940329.41999999</v>
      </c>
      <c r="E169" s="30">
        <f t="shared" si="95"/>
        <v>4.0251944686080527E-3</v>
      </c>
      <c r="F169" s="33">
        <v>1.5822000000000001</v>
      </c>
      <c r="G169" s="33">
        <v>1.5984</v>
      </c>
      <c r="H169" s="32">
        <v>400</v>
      </c>
      <c r="I169" s="50">
        <v>-5.7810732688198252E-3</v>
      </c>
      <c r="J169" s="50">
        <v>8.0811530842270773E-2</v>
      </c>
      <c r="K169" s="33">
        <v>237341286.19999999</v>
      </c>
      <c r="L169" s="54">
        <f t="shared" si="96"/>
        <v>4.1216992126757949E-3</v>
      </c>
      <c r="M169" s="33">
        <v>1.5650999999999999</v>
      </c>
      <c r="N169" s="33">
        <v>1.5803</v>
      </c>
      <c r="O169" s="32">
        <v>400</v>
      </c>
      <c r="P169" s="50">
        <v>-1.0807736063708884E-2</v>
      </c>
      <c r="Q169" s="50">
        <v>6.9130405082314272E-2</v>
      </c>
      <c r="R169" s="57">
        <f t="shared" si="97"/>
        <v>3.2186423315423297E-2</v>
      </c>
      <c r="S169" s="57">
        <f t="shared" si="98"/>
        <v>-1.1323823823823827E-2</v>
      </c>
      <c r="T169" s="57">
        <f t="shared" si="98"/>
        <v>0</v>
      </c>
      <c r="U169" s="57">
        <f t="shared" si="99"/>
        <v>-5.0266627948890585E-3</v>
      </c>
      <c r="V169" s="58">
        <f t="shared" si="99"/>
        <v>-1.1681125759956501E-2</v>
      </c>
    </row>
    <row r="170" spans="1:22">
      <c r="A170" s="141">
        <v>147</v>
      </c>
      <c r="B170" s="133" t="s">
        <v>205</v>
      </c>
      <c r="C170" s="134" t="s">
        <v>29</v>
      </c>
      <c r="D170" s="44">
        <v>129665691.48999999</v>
      </c>
      <c r="E170" s="30">
        <f t="shared" si="95"/>
        <v>2.2698481187284469E-3</v>
      </c>
      <c r="F170" s="33">
        <v>163.89930000000001</v>
      </c>
      <c r="G170" s="33">
        <v>164.78739999999999</v>
      </c>
      <c r="H170" s="32">
        <v>110</v>
      </c>
      <c r="I170" s="50">
        <v>-2.7209999999999999E-3</v>
      </c>
      <c r="J170" s="50">
        <v>2.5399999999999999E-2</v>
      </c>
      <c r="K170" s="44">
        <v>128654873.52</v>
      </c>
      <c r="L170" s="54">
        <f t="shared" si="96"/>
        <v>2.2342370321842809E-3</v>
      </c>
      <c r="M170" s="33">
        <v>154.6823</v>
      </c>
      <c r="N170" s="33">
        <v>155.5172</v>
      </c>
      <c r="O170" s="32">
        <v>110</v>
      </c>
      <c r="P170" s="50">
        <v>-5.6300000000000002E-4</v>
      </c>
      <c r="Q170" s="50">
        <v>2.5499999999999998E-2</v>
      </c>
      <c r="R170" s="57">
        <f t="shared" si="97"/>
        <v>-7.7955699644570555E-3</v>
      </c>
      <c r="S170" s="57">
        <f t="shared" si="98"/>
        <v>-5.6255514681340858E-2</v>
      </c>
      <c r="T170" s="57">
        <f t="shared" si="98"/>
        <v>0</v>
      </c>
      <c r="U170" s="57">
        <f t="shared" si="99"/>
        <v>2.1579999999999998E-3</v>
      </c>
      <c r="V170" s="58">
        <f t="shared" si="99"/>
        <v>9.9999999999999395E-5</v>
      </c>
    </row>
    <row r="171" spans="1:22">
      <c r="A171" s="141">
        <v>148</v>
      </c>
      <c r="B171" s="133" t="s">
        <v>206</v>
      </c>
      <c r="C171" s="134" t="s">
        <v>72</v>
      </c>
      <c r="D171" s="44">
        <v>254695120.47</v>
      </c>
      <c r="E171" s="30">
        <f t="shared" si="95"/>
        <v>4.4585366676792061E-3</v>
      </c>
      <c r="F171" s="33">
        <v>128.6</v>
      </c>
      <c r="G171" s="33">
        <v>129.68</v>
      </c>
      <c r="H171" s="32">
        <v>34</v>
      </c>
      <c r="I171" s="50">
        <v>-1.1999999999999999E-3</v>
      </c>
      <c r="J171" s="50">
        <v>8.6400000000000005E-2</v>
      </c>
      <c r="K171" s="44">
        <v>252147211.27000001</v>
      </c>
      <c r="L171" s="54">
        <f t="shared" si="96"/>
        <v>4.3788208061457641E-3</v>
      </c>
      <c r="M171" s="33">
        <v>127.53</v>
      </c>
      <c r="N171" s="33">
        <v>128.07</v>
      </c>
      <c r="O171" s="32">
        <v>34</v>
      </c>
      <c r="P171" s="50">
        <v>-1.1299999999999999E-2</v>
      </c>
      <c r="Q171" s="50">
        <v>7.51E-2</v>
      </c>
      <c r="R171" s="57">
        <f t="shared" si="97"/>
        <v>-1.0003761341396021E-2</v>
      </c>
      <c r="S171" s="57">
        <f t="shared" si="98"/>
        <v>-1.2415175817396774E-2</v>
      </c>
      <c r="T171" s="57">
        <f t="shared" si="98"/>
        <v>0</v>
      </c>
      <c r="U171" s="57">
        <f t="shared" si="99"/>
        <v>-1.01E-2</v>
      </c>
      <c r="V171" s="58">
        <f t="shared" si="99"/>
        <v>-1.1300000000000004E-2</v>
      </c>
    </row>
    <row r="172" spans="1:22" ht="15.75" customHeight="1">
      <c r="A172" s="141">
        <v>149</v>
      </c>
      <c r="B172" s="133" t="s">
        <v>207</v>
      </c>
      <c r="C172" s="134" t="s">
        <v>75</v>
      </c>
      <c r="D172" s="29">
        <v>337559726.87</v>
      </c>
      <c r="E172" s="30">
        <f t="shared" si="95"/>
        <v>5.9091136767928237E-3</v>
      </c>
      <c r="F172" s="33">
        <v>1.3349</v>
      </c>
      <c r="G172" s="33">
        <v>1.3488</v>
      </c>
      <c r="H172" s="32">
        <v>99</v>
      </c>
      <c r="I172" s="50">
        <v>-6.3E-3</v>
      </c>
      <c r="J172" s="50">
        <v>4.7399999999999998E-2</v>
      </c>
      <c r="K172" s="29">
        <v>333638240.35000002</v>
      </c>
      <c r="L172" s="54">
        <f t="shared" si="96"/>
        <v>5.7940044675174295E-3</v>
      </c>
      <c r="M172" s="33">
        <v>1.3391999999999999</v>
      </c>
      <c r="N172" s="33">
        <v>1.3533999999999999</v>
      </c>
      <c r="O172" s="32">
        <v>99</v>
      </c>
      <c r="P172" s="50">
        <v>2.8E-3</v>
      </c>
      <c r="Q172" s="50">
        <v>5.0799999999999998E-2</v>
      </c>
      <c r="R172" s="57">
        <f t="shared" si="97"/>
        <v>-1.1617163446486056E-2</v>
      </c>
      <c r="S172" s="57">
        <f t="shared" si="98"/>
        <v>3.4104389086595027E-3</v>
      </c>
      <c r="T172" s="57">
        <f t="shared" si="98"/>
        <v>0</v>
      </c>
      <c r="U172" s="57">
        <f t="shared" si="99"/>
        <v>9.1000000000000004E-3</v>
      </c>
      <c r="V172" s="58">
        <f t="shared" si="99"/>
        <v>3.4000000000000002E-3</v>
      </c>
    </row>
    <row r="173" spans="1:22">
      <c r="A173" s="141">
        <v>150</v>
      </c>
      <c r="B173" s="133" t="s">
        <v>208</v>
      </c>
      <c r="C173" s="134" t="s">
        <v>31</v>
      </c>
      <c r="D173" s="33">
        <v>9978190437.3899994</v>
      </c>
      <c r="E173" s="30">
        <f t="shared" si="95"/>
        <v>0.17467208582596105</v>
      </c>
      <c r="F173" s="33">
        <v>344.56</v>
      </c>
      <c r="G173" s="33">
        <v>347.28</v>
      </c>
      <c r="H173" s="32">
        <v>5483</v>
      </c>
      <c r="I173" s="50">
        <v>1E-3</v>
      </c>
      <c r="J173" s="50">
        <v>6.3100000000000003E-2</v>
      </c>
      <c r="K173" s="33">
        <v>9990105949.9300003</v>
      </c>
      <c r="L173" s="54">
        <f t="shared" si="96"/>
        <v>0.17348946105262264</v>
      </c>
      <c r="M173" s="33">
        <v>344.65</v>
      </c>
      <c r="N173" s="33">
        <v>347.43</v>
      </c>
      <c r="O173" s="32">
        <v>5483</v>
      </c>
      <c r="P173" s="50">
        <v>2.9999999999999997E-4</v>
      </c>
      <c r="Q173" s="50">
        <v>6.3299999999999995E-2</v>
      </c>
      <c r="R173" s="57">
        <f t="shared" si="97"/>
        <v>1.1941556552530243E-3</v>
      </c>
      <c r="S173" s="57">
        <f t="shared" si="98"/>
        <v>4.3192812715973889E-4</v>
      </c>
      <c r="T173" s="57">
        <f t="shared" si="98"/>
        <v>0</v>
      </c>
      <c r="U173" s="57">
        <f t="shared" si="99"/>
        <v>-7.000000000000001E-4</v>
      </c>
      <c r="V173" s="58">
        <f t="shared" si="99"/>
        <v>1.9999999999999185E-4</v>
      </c>
    </row>
    <row r="174" spans="1:22">
      <c r="A174" s="141">
        <v>151</v>
      </c>
      <c r="B174" s="133" t="s">
        <v>209</v>
      </c>
      <c r="C174" s="134" t="s">
        <v>80</v>
      </c>
      <c r="D174" s="33">
        <v>3588562778.5300002</v>
      </c>
      <c r="E174" s="30">
        <f t="shared" si="95"/>
        <v>6.2819180449235804E-2</v>
      </c>
      <c r="F174" s="33">
        <v>2.5114999999999998</v>
      </c>
      <c r="G174" s="33">
        <v>2.5552999999999999</v>
      </c>
      <c r="H174" s="32">
        <v>10305</v>
      </c>
      <c r="I174" s="50">
        <v>-1.8E-3</v>
      </c>
      <c r="J174" s="50">
        <v>8.3099999999999993E-2</v>
      </c>
      <c r="K174" s="33">
        <v>3523066588.3099999</v>
      </c>
      <c r="L174" s="54">
        <f t="shared" si="96"/>
        <v>6.1182026168870265E-2</v>
      </c>
      <c r="M174" s="33">
        <v>2.4659</v>
      </c>
      <c r="N174" s="33">
        <v>2.5085000000000002</v>
      </c>
      <c r="O174" s="32">
        <v>10305</v>
      </c>
      <c r="P174" s="50">
        <v>-1.83E-2</v>
      </c>
      <c r="Q174" s="50">
        <v>6.3399999999999998E-2</v>
      </c>
      <c r="R174" s="57">
        <f t="shared" si="97"/>
        <v>-1.8251370886377464E-2</v>
      </c>
      <c r="S174" s="57">
        <f t="shared" si="98"/>
        <v>-1.8314874965757341E-2</v>
      </c>
      <c r="T174" s="57">
        <f t="shared" si="98"/>
        <v>0</v>
      </c>
      <c r="U174" s="57">
        <f t="shared" si="99"/>
        <v>-1.6500000000000001E-2</v>
      </c>
      <c r="V174" s="58">
        <f t="shared" si="99"/>
        <v>-1.9699999999999995E-2</v>
      </c>
    </row>
    <row r="175" spans="1:22">
      <c r="A175" s="141">
        <v>152</v>
      </c>
      <c r="B175" s="133" t="s">
        <v>210</v>
      </c>
      <c r="C175" s="134" t="s">
        <v>82</v>
      </c>
      <c r="D175" s="33">
        <v>257930917.49000001</v>
      </c>
      <c r="E175" s="30">
        <f t="shared" si="95"/>
        <v>4.5151805469817018E-3</v>
      </c>
      <c r="F175" s="33">
        <v>335.46</v>
      </c>
      <c r="G175" s="33">
        <v>337.62</v>
      </c>
      <c r="H175" s="32">
        <v>32</v>
      </c>
      <c r="I175" s="50">
        <v>-2.0040518268316099E-2</v>
      </c>
      <c r="J175" s="50">
        <v>2.420439264903651E-3</v>
      </c>
      <c r="K175" s="33">
        <v>252791752.56</v>
      </c>
      <c r="L175" s="54">
        <f t="shared" si="96"/>
        <v>4.3900139928435529E-3</v>
      </c>
      <c r="M175" s="33">
        <v>328.77409999999998</v>
      </c>
      <c r="N175" s="33">
        <v>330.82709999999997</v>
      </c>
      <c r="O175" s="32">
        <v>32</v>
      </c>
      <c r="P175" s="50">
        <v>-1.9930543134800027E-2</v>
      </c>
      <c r="Q175" s="50">
        <v>-1.755834453907068E-2</v>
      </c>
      <c r="R175" s="57">
        <f t="shared" si="97"/>
        <v>-1.992457895319685E-2</v>
      </c>
      <c r="S175" s="57">
        <f t="shared" si="98"/>
        <v>-2.0119957348498405E-2</v>
      </c>
      <c r="T175" s="57">
        <f t="shared" si="98"/>
        <v>0</v>
      </c>
      <c r="U175" s="57">
        <f t="shared" si="99"/>
        <v>1.0997513351607147E-4</v>
      </c>
      <c r="V175" s="58">
        <f t="shared" si="99"/>
        <v>-1.9978783803974332E-2</v>
      </c>
    </row>
    <row r="176" spans="1:22">
      <c r="A176" s="141">
        <v>153</v>
      </c>
      <c r="B176" s="133" t="s">
        <v>211</v>
      </c>
      <c r="C176" s="133" t="s">
        <v>84</v>
      </c>
      <c r="D176" s="136">
        <v>58543184.732772775</v>
      </c>
      <c r="E176" s="30">
        <f t="shared" si="95"/>
        <v>1.0248211088305069E-3</v>
      </c>
      <c r="F176" s="33">
        <v>1.1386668391782095</v>
      </c>
      <c r="G176" s="33">
        <v>1.1513143765417762</v>
      </c>
      <c r="H176" s="32">
        <v>32</v>
      </c>
      <c r="I176" s="50">
        <v>-5.5529635272859958E-2</v>
      </c>
      <c r="J176" s="50">
        <v>-4.185401777939915E-2</v>
      </c>
      <c r="K176" s="136">
        <v>58523725.220696792</v>
      </c>
      <c r="L176" s="54">
        <f t="shared" si="96"/>
        <v>1.0163305172355662E-3</v>
      </c>
      <c r="M176" s="33">
        <v>1.1396994585251783</v>
      </c>
      <c r="N176" s="33">
        <v>1.1509316844126096</v>
      </c>
      <c r="O176" s="32">
        <v>32</v>
      </c>
      <c r="P176" s="50">
        <v>-3.3239585726004163E-4</v>
      </c>
      <c r="Q176" s="50">
        <v>-4.2172501534539629E-2</v>
      </c>
      <c r="R176" s="57">
        <f t="shared" si="97"/>
        <v>-3.3239585726004163E-4</v>
      </c>
      <c r="S176" s="57">
        <f t="shared" si="98"/>
        <v>-3.3239585726014116E-4</v>
      </c>
      <c r="T176" s="57">
        <f t="shared" si="98"/>
        <v>0</v>
      </c>
      <c r="U176" s="57">
        <f t="shared" si="99"/>
        <v>5.5197239415599918E-2</v>
      </c>
      <c r="V176" s="58">
        <f t="shared" si="99"/>
        <v>-3.1848375514047927E-4</v>
      </c>
    </row>
    <row r="177" spans="1:22" ht="13.5" customHeight="1">
      <c r="A177" s="141">
        <v>154</v>
      </c>
      <c r="B177" s="133" t="s">
        <v>212</v>
      </c>
      <c r="C177" s="134" t="s">
        <v>37</v>
      </c>
      <c r="D177" s="29">
        <v>3314086430.9200001</v>
      </c>
      <c r="E177" s="30">
        <f t="shared" si="95"/>
        <v>5.8014365743828067E-2</v>
      </c>
      <c r="F177" s="33">
        <v>4.6711869999999998</v>
      </c>
      <c r="G177" s="33">
        <v>4.6711869999999998</v>
      </c>
      <c r="H177" s="32">
        <v>2376</v>
      </c>
      <c r="I177" s="50">
        <v>3.0664129646564842E-3</v>
      </c>
      <c r="J177" s="50">
        <v>0.1018805997047616</v>
      </c>
      <c r="K177" s="29">
        <v>3180874893.1999998</v>
      </c>
      <c r="L177" s="54">
        <f t="shared" si="96"/>
        <v>5.5239481309099954E-2</v>
      </c>
      <c r="M177" s="33">
        <v>4.484451</v>
      </c>
      <c r="N177" s="33">
        <v>4.484451</v>
      </c>
      <c r="O177" s="32">
        <v>2376</v>
      </c>
      <c r="P177" s="50">
        <v>-3.9976134545673281E-2</v>
      </c>
      <c r="Q177" s="50">
        <v>5.7831672597696837E-2</v>
      </c>
      <c r="R177" s="57">
        <f t="shared" si="97"/>
        <v>-4.0195553283449023E-2</v>
      </c>
      <c r="S177" s="57">
        <f t="shared" si="98"/>
        <v>-3.9976134545673253E-2</v>
      </c>
      <c r="T177" s="57">
        <f t="shared" si="98"/>
        <v>0</v>
      </c>
      <c r="U177" s="57">
        <f t="shared" si="99"/>
        <v>-4.3042547510329765E-2</v>
      </c>
      <c r="V177" s="58">
        <f t="shared" si="99"/>
        <v>-4.4048927107064761E-2</v>
      </c>
    </row>
    <row r="178" spans="1:22" ht="13.5" customHeight="1">
      <c r="A178" s="141">
        <v>155</v>
      </c>
      <c r="B178" s="133" t="s">
        <v>213</v>
      </c>
      <c r="C178" s="134" t="s">
        <v>214</v>
      </c>
      <c r="D178" s="29">
        <v>80344706.689999998</v>
      </c>
      <c r="E178" s="30">
        <f t="shared" si="95"/>
        <v>1.4064651893222657E-3</v>
      </c>
      <c r="F178" s="33">
        <v>2.27</v>
      </c>
      <c r="G178" s="33">
        <v>2.2799999999999998</v>
      </c>
      <c r="H178" s="32">
        <v>86</v>
      </c>
      <c r="I178" s="50">
        <v>-2E-3</v>
      </c>
      <c r="J178" s="50">
        <v>7.0999999999999994E-2</v>
      </c>
      <c r="K178" s="29">
        <v>80475966.219999999</v>
      </c>
      <c r="L178" s="54">
        <f t="shared" si="96"/>
        <v>1.3975559495737573E-3</v>
      </c>
      <c r="M178" s="33">
        <v>2.2599999999999998</v>
      </c>
      <c r="N178" s="33">
        <v>2.27</v>
      </c>
      <c r="O178" s="32">
        <v>86</v>
      </c>
      <c r="P178" s="50">
        <v>-4.0000000000000001E-3</v>
      </c>
      <c r="Q178" s="50">
        <v>6.9000000000000006E-2</v>
      </c>
      <c r="R178" s="57">
        <f t="shared" si="97"/>
        <v>1.633704762983947E-3</v>
      </c>
      <c r="S178" s="57">
        <f t="shared" si="98"/>
        <v>-4.3859649122806087E-3</v>
      </c>
      <c r="T178" s="57">
        <f t="shared" si="98"/>
        <v>0</v>
      </c>
      <c r="U178" s="57">
        <f t="shared" si="99"/>
        <v>-2E-3</v>
      </c>
      <c r="V178" s="58">
        <f t="shared" si="99"/>
        <v>-1.9999999999999879E-3</v>
      </c>
    </row>
    <row r="179" spans="1:22">
      <c r="A179" s="141">
        <v>156</v>
      </c>
      <c r="B179" s="133" t="s">
        <v>215</v>
      </c>
      <c r="C179" s="134" t="s">
        <v>135</v>
      </c>
      <c r="D179" s="29">
        <v>570027444.63999999</v>
      </c>
      <c r="E179" s="30">
        <f t="shared" si="95"/>
        <v>9.9785510567340259E-3</v>
      </c>
      <c r="F179" s="33">
        <v>243.44</v>
      </c>
      <c r="G179" s="33">
        <v>244.46</v>
      </c>
      <c r="H179" s="32">
        <v>145</v>
      </c>
      <c r="I179" s="50">
        <v>1.37E-2</v>
      </c>
      <c r="J179" s="50">
        <v>0.25030000000000002</v>
      </c>
      <c r="K179" s="29">
        <v>592391432.01999998</v>
      </c>
      <c r="L179" s="54">
        <f t="shared" si="96"/>
        <v>1.028754557643718E-2</v>
      </c>
      <c r="M179" s="33">
        <v>252.32</v>
      </c>
      <c r="N179" s="33">
        <v>253.4</v>
      </c>
      <c r="O179" s="32">
        <v>145</v>
      </c>
      <c r="P179" s="50">
        <v>1.37E-2</v>
      </c>
      <c r="Q179" s="50">
        <v>0.2303</v>
      </c>
      <c r="R179" s="57">
        <f t="shared" si="97"/>
        <v>3.9233176560689878E-2</v>
      </c>
      <c r="S179" s="57">
        <f t="shared" si="98"/>
        <v>3.657040006545037E-2</v>
      </c>
      <c r="T179" s="57">
        <f t="shared" si="98"/>
        <v>0</v>
      </c>
      <c r="U179" s="57">
        <f t="shared" si="99"/>
        <v>0</v>
      </c>
      <c r="V179" s="58">
        <f t="shared" si="99"/>
        <v>-2.0000000000000018E-2</v>
      </c>
    </row>
    <row r="180" spans="1:22">
      <c r="A180" s="141">
        <v>157</v>
      </c>
      <c r="B180" s="133" t="s">
        <v>216</v>
      </c>
      <c r="C180" s="134" t="s">
        <v>33</v>
      </c>
      <c r="D180" s="29">
        <v>2140977950.55</v>
      </c>
      <c r="E180" s="30">
        <f t="shared" si="95"/>
        <v>3.7478647724404332E-2</v>
      </c>
      <c r="F180" s="33">
        <v>552.22</v>
      </c>
      <c r="G180" s="33">
        <v>552.22</v>
      </c>
      <c r="H180" s="32">
        <v>823</v>
      </c>
      <c r="I180" s="50">
        <v>-3.6700000000000001E-3</v>
      </c>
      <c r="J180" s="50">
        <v>-2.4649999999999998E-2</v>
      </c>
      <c r="K180" s="29">
        <v>2150659150.3200002</v>
      </c>
      <c r="L180" s="54">
        <f t="shared" si="96"/>
        <v>3.7348622603899664E-2</v>
      </c>
      <c r="M180" s="33">
        <v>552.22</v>
      </c>
      <c r="N180" s="33">
        <v>552.22</v>
      </c>
      <c r="O180" s="32">
        <v>823</v>
      </c>
      <c r="P180" s="50">
        <v>-2.4649999999999998E-2</v>
      </c>
      <c r="Q180" s="50">
        <v>-3.6700000000000001E-3</v>
      </c>
      <c r="R180" s="57">
        <f t="shared" si="97"/>
        <v>4.5218586989712794E-3</v>
      </c>
      <c r="S180" s="57">
        <f t="shared" si="98"/>
        <v>0</v>
      </c>
      <c r="T180" s="57">
        <f t="shared" si="98"/>
        <v>0</v>
      </c>
      <c r="U180" s="57">
        <f t="shared" si="99"/>
        <v>-2.0979999999999999E-2</v>
      </c>
      <c r="V180" s="58">
        <f t="shared" si="99"/>
        <v>2.0979999999999999E-2</v>
      </c>
    </row>
    <row r="181" spans="1:22">
      <c r="A181" s="141">
        <v>158</v>
      </c>
      <c r="B181" s="133" t="s">
        <v>217</v>
      </c>
      <c r="C181" s="134" t="s">
        <v>91</v>
      </c>
      <c r="D181" s="33">
        <v>35657209.409999996</v>
      </c>
      <c r="E181" s="30">
        <f t="shared" si="95"/>
        <v>6.2419325241971728E-4</v>
      </c>
      <c r="F181" s="33">
        <v>1.91</v>
      </c>
      <c r="G181" s="33">
        <v>1.91</v>
      </c>
      <c r="H181" s="32">
        <v>9</v>
      </c>
      <c r="I181" s="50">
        <v>-6.7869999999999996E-3</v>
      </c>
      <c r="J181" s="50">
        <v>1.7323999999999999E-2</v>
      </c>
      <c r="K181" s="33">
        <v>35093697.100000001</v>
      </c>
      <c r="L181" s="54">
        <f t="shared" si="96"/>
        <v>6.0944164423658059E-4</v>
      </c>
      <c r="M181" s="33">
        <v>1.88</v>
      </c>
      <c r="N181" s="33">
        <v>1.88</v>
      </c>
      <c r="O181" s="32">
        <v>9</v>
      </c>
      <c r="P181" s="50">
        <v>-1.6546000000000002E-2</v>
      </c>
      <c r="Q181" s="50">
        <v>4.9100000000000001E-4</v>
      </c>
      <c r="R181" s="57">
        <f t="shared" si="97"/>
        <v>-1.580360099189251E-2</v>
      </c>
      <c r="S181" s="57">
        <f t="shared" si="98"/>
        <v>-1.5706806282722526E-2</v>
      </c>
      <c r="T181" s="57">
        <f t="shared" si="98"/>
        <v>0</v>
      </c>
      <c r="U181" s="57">
        <f t="shared" si="99"/>
        <v>-9.759000000000002E-3</v>
      </c>
      <c r="V181" s="58">
        <f t="shared" si="99"/>
        <v>-1.6833000000000001E-2</v>
      </c>
    </row>
    <row r="182" spans="1:22">
      <c r="A182" s="141">
        <v>159</v>
      </c>
      <c r="B182" s="133" t="s">
        <v>218</v>
      </c>
      <c r="C182" s="134" t="s">
        <v>45</v>
      </c>
      <c r="D182" s="33">
        <v>271423091.64999998</v>
      </c>
      <c r="E182" s="30">
        <f t="shared" si="95"/>
        <v>4.7513662780159921E-3</v>
      </c>
      <c r="F182" s="33">
        <v>2.725447</v>
      </c>
      <c r="G182" s="33">
        <v>2.788306</v>
      </c>
      <c r="H182" s="32">
        <v>121</v>
      </c>
      <c r="I182" s="50">
        <v>1.0500000000000001E-2</v>
      </c>
      <c r="J182" s="50">
        <v>4.3400000000000001E-2</v>
      </c>
      <c r="K182" s="33">
        <v>267373672.05000001</v>
      </c>
      <c r="L182" s="54">
        <f t="shared" si="96"/>
        <v>4.6432454766848789E-3</v>
      </c>
      <c r="M182" s="33">
        <v>2.68</v>
      </c>
      <c r="N182" s="33">
        <v>2.75</v>
      </c>
      <c r="O182" s="32">
        <v>121</v>
      </c>
      <c r="P182" s="50">
        <v>-1.23E-2</v>
      </c>
      <c r="Q182" s="50">
        <v>2.81E-2</v>
      </c>
      <c r="R182" s="57">
        <f t="shared" si="97"/>
        <v>-1.4919215514727429E-2</v>
      </c>
      <c r="S182" s="57">
        <f t="shared" si="98"/>
        <v>-1.3738090439141168E-2</v>
      </c>
      <c r="T182" s="57">
        <f t="shared" si="98"/>
        <v>0</v>
      </c>
      <c r="U182" s="57">
        <f t="shared" si="99"/>
        <v>-2.2800000000000001E-2</v>
      </c>
      <c r="V182" s="58">
        <f t="shared" si="99"/>
        <v>-1.5300000000000001E-2</v>
      </c>
    </row>
    <row r="183" spans="1:22">
      <c r="A183" s="141">
        <v>160</v>
      </c>
      <c r="B183" s="133" t="s">
        <v>219</v>
      </c>
      <c r="C183" s="134" t="s">
        <v>49</v>
      </c>
      <c r="D183" s="29">
        <v>2938849185.8299999</v>
      </c>
      <c r="E183" s="30">
        <f t="shared" si="95"/>
        <v>5.1445692526903383E-2</v>
      </c>
      <c r="F183" s="33">
        <v>6891.67</v>
      </c>
      <c r="G183" s="33">
        <v>6953.99</v>
      </c>
      <c r="H183" s="32">
        <v>2317</v>
      </c>
      <c r="I183" s="50">
        <v>-1E-4</v>
      </c>
      <c r="J183" s="50">
        <v>8.0399999999999999E-2</v>
      </c>
      <c r="K183" s="29">
        <v>2880752397.23</v>
      </c>
      <c r="L183" s="30">
        <f t="shared" si="96"/>
        <v>5.0027515556527735E-2</v>
      </c>
      <c r="M183" s="33">
        <v>6745.19</v>
      </c>
      <c r="N183" s="33">
        <v>6804.84</v>
      </c>
      <c r="O183" s="32">
        <v>2322</v>
      </c>
      <c r="P183" s="50">
        <v>-2.1399999999999999E-2</v>
      </c>
      <c r="Q183" s="50">
        <v>5.7200000000000001E-2</v>
      </c>
      <c r="R183" s="57">
        <f t="shared" si="97"/>
        <v>-1.9768550519747751E-2</v>
      </c>
      <c r="S183" s="57">
        <f t="shared" si="98"/>
        <v>-2.144811827454449E-2</v>
      </c>
      <c r="T183" s="57">
        <f t="shared" si="98"/>
        <v>2.1579628830384117E-3</v>
      </c>
      <c r="U183" s="57">
        <f t="shared" si="99"/>
        <v>-2.1299999999999999E-2</v>
      </c>
      <c r="V183" s="58">
        <f t="shared" si="99"/>
        <v>-2.3199999999999998E-2</v>
      </c>
    </row>
    <row r="184" spans="1:22">
      <c r="A184" s="141">
        <v>161</v>
      </c>
      <c r="B184" s="133" t="s">
        <v>220</v>
      </c>
      <c r="C184" s="133" t="s">
        <v>101</v>
      </c>
      <c r="D184" s="29">
        <v>109178120.31999999</v>
      </c>
      <c r="E184" s="30">
        <f t="shared" si="95"/>
        <v>1.9112052553529324E-3</v>
      </c>
      <c r="F184" s="33">
        <v>1151.0899999999999</v>
      </c>
      <c r="G184" s="33">
        <v>1165.8599999999999</v>
      </c>
      <c r="H184" s="32">
        <v>11</v>
      </c>
      <c r="I184" s="50">
        <v>1.45488601931087E-3</v>
      </c>
      <c r="J184" s="50">
        <v>3.7999999999999999E-2</v>
      </c>
      <c r="K184" s="29">
        <v>109146469.77</v>
      </c>
      <c r="L184" s="30">
        <f t="shared" si="96"/>
        <v>1.895451590913943E-3</v>
      </c>
      <c r="M184" s="33">
        <v>1150.3800000000001</v>
      </c>
      <c r="N184" s="33">
        <v>1165.77</v>
      </c>
      <c r="O184" s="32">
        <v>11</v>
      </c>
      <c r="P184" s="50">
        <v>-5.9982752009168916E-4</v>
      </c>
      <c r="Q184" s="50">
        <v>3.8300000000000001E-2</v>
      </c>
      <c r="R184" s="57">
        <f t="shared" si="97"/>
        <v>-2.8989828646279649E-4</v>
      </c>
      <c r="S184" s="57">
        <f t="shared" si="98"/>
        <v>-7.7196232823767994E-5</v>
      </c>
      <c r="T184" s="57">
        <f t="shared" si="98"/>
        <v>0</v>
      </c>
      <c r="U184" s="57">
        <f t="shared" si="99"/>
        <v>-2.0547135394025592E-3</v>
      </c>
      <c r="V184" s="58">
        <f t="shared" si="99"/>
        <v>3.0000000000000165E-4</v>
      </c>
    </row>
    <row r="185" spans="1:22">
      <c r="A185" s="141">
        <v>162</v>
      </c>
      <c r="B185" s="133" t="s">
        <v>221</v>
      </c>
      <c r="C185" s="133" t="s">
        <v>84</v>
      </c>
      <c r="D185" s="29">
        <v>748492022.61328256</v>
      </c>
      <c r="E185" s="30">
        <f t="shared" si="95"/>
        <v>1.3102642571747947E-2</v>
      </c>
      <c r="F185" s="33">
        <v>1.4287102158507186</v>
      </c>
      <c r="G185" s="33">
        <v>1.4287102158507186</v>
      </c>
      <c r="H185" s="32">
        <v>44</v>
      </c>
      <c r="I185" s="50">
        <v>2.8602334324785194E-3</v>
      </c>
      <c r="J185" s="50">
        <v>6.1703553262446184E-2</v>
      </c>
      <c r="K185" s="29">
        <v>750351773.32015681</v>
      </c>
      <c r="L185" s="30">
        <f t="shared" si="96"/>
        <v>1.3030705120210043E-2</v>
      </c>
      <c r="M185" s="33">
        <v>1.4322600797818932</v>
      </c>
      <c r="N185" s="33">
        <v>1.4322600797818932</v>
      </c>
      <c r="O185" s="32">
        <v>44</v>
      </c>
      <c r="P185" s="50">
        <v>2.4846633640544678E-3</v>
      </c>
      <c r="Q185" s="50">
        <v>6.4341529184723828E-2</v>
      </c>
      <c r="R185" s="57">
        <f t="shared" si="97"/>
        <v>2.4846633640544678E-3</v>
      </c>
      <c r="S185" s="57">
        <f t="shared" si="98"/>
        <v>2.4846633640544626E-3</v>
      </c>
      <c r="T185" s="57">
        <f t="shared" si="98"/>
        <v>0</v>
      </c>
      <c r="U185" s="57">
        <f t="shared" si="99"/>
        <v>-3.7557006842405156E-4</v>
      </c>
      <c r="V185" s="58">
        <f t="shared" si="99"/>
        <v>2.6379759222776439E-3</v>
      </c>
    </row>
    <row r="186" spans="1:22">
      <c r="A186" s="141">
        <v>163</v>
      </c>
      <c r="B186" s="133" t="s">
        <v>222</v>
      </c>
      <c r="C186" s="134" t="s">
        <v>52</v>
      </c>
      <c r="D186" s="33">
        <v>2336353958.0799999</v>
      </c>
      <c r="E186" s="30">
        <f t="shared" si="95"/>
        <v>4.089878035965E-2</v>
      </c>
      <c r="F186" s="33">
        <v>2.1000999999999999</v>
      </c>
      <c r="G186" s="33">
        <v>2.1141000000000001</v>
      </c>
      <c r="H186" s="32">
        <v>2297</v>
      </c>
      <c r="I186" s="50">
        <v>-8.0000000000000004E-4</v>
      </c>
      <c r="J186" s="50">
        <v>6.2100000000000002E-2</v>
      </c>
      <c r="K186" s="33">
        <v>2335934749.8699999</v>
      </c>
      <c r="L186" s="54">
        <f t="shared" si="96"/>
        <v>4.0566142425334212E-2</v>
      </c>
      <c r="M186" s="33">
        <v>2.1004999999999998</v>
      </c>
      <c r="N186" s="33">
        <v>2.1145</v>
      </c>
      <c r="O186" s="32">
        <v>2306</v>
      </c>
      <c r="P186" s="50">
        <v>2.0000000000000001E-4</v>
      </c>
      <c r="Q186" s="50">
        <v>6.2300000000000001E-2</v>
      </c>
      <c r="R186" s="57">
        <f t="shared" si="97"/>
        <v>-1.7942838179559943E-4</v>
      </c>
      <c r="S186" s="57">
        <f t="shared" si="98"/>
        <v>1.8920580861830373E-4</v>
      </c>
      <c r="T186" s="57">
        <f t="shared" si="98"/>
        <v>3.91815411406182E-3</v>
      </c>
      <c r="U186" s="57">
        <f t="shared" si="99"/>
        <v>1E-3</v>
      </c>
      <c r="V186" s="58">
        <f t="shared" si="99"/>
        <v>1.9999999999999879E-4</v>
      </c>
    </row>
    <row r="187" spans="1:22">
      <c r="A187" s="141">
        <v>164</v>
      </c>
      <c r="B187" s="133" t="s">
        <v>223</v>
      </c>
      <c r="C187" s="134" t="s">
        <v>52</v>
      </c>
      <c r="D187" s="33">
        <v>1336516316.03</v>
      </c>
      <c r="E187" s="30">
        <f t="shared" si="95"/>
        <v>2.3396235432288824E-2</v>
      </c>
      <c r="F187" s="33">
        <v>1.6206</v>
      </c>
      <c r="G187" s="33">
        <v>1.6298999999999999</v>
      </c>
      <c r="H187" s="32">
        <v>923</v>
      </c>
      <c r="I187" s="50">
        <v>4.0000000000000002E-4</v>
      </c>
      <c r="J187" s="50">
        <v>6.6699999999999995E-2</v>
      </c>
      <c r="K187" s="33">
        <v>1338394332.22</v>
      </c>
      <c r="L187" s="54">
        <f t="shared" si="96"/>
        <v>2.3242727608345289E-2</v>
      </c>
      <c r="M187" s="33">
        <v>1.6245000000000001</v>
      </c>
      <c r="N187" s="33">
        <v>1.6338999999999999</v>
      </c>
      <c r="O187" s="32">
        <v>925</v>
      </c>
      <c r="P187" s="50">
        <v>2.3999999999999998E-3</v>
      </c>
      <c r="Q187" s="50">
        <v>6.9199999999999998E-2</v>
      </c>
      <c r="R187" s="57">
        <f t="shared" si="97"/>
        <v>1.4051576980208765E-3</v>
      </c>
      <c r="S187" s="57">
        <f t="shared" si="98"/>
        <v>2.4541382906926828E-3</v>
      </c>
      <c r="T187" s="57">
        <f t="shared" si="98"/>
        <v>2.1668472372697724E-3</v>
      </c>
      <c r="U187" s="57">
        <f t="shared" si="99"/>
        <v>1.9999999999999996E-3</v>
      </c>
      <c r="V187" s="58">
        <f t="shared" si="99"/>
        <v>2.5000000000000022E-3</v>
      </c>
    </row>
    <row r="188" spans="1:22">
      <c r="A188" s="141">
        <v>165</v>
      </c>
      <c r="B188" s="133" t="s">
        <v>224</v>
      </c>
      <c r="C188" s="134" t="s">
        <v>106</v>
      </c>
      <c r="D188" s="29">
        <v>9867797056.3199997</v>
      </c>
      <c r="E188" s="30">
        <f t="shared" si="95"/>
        <v>0.1727396069607931</v>
      </c>
      <c r="F188" s="33">
        <v>572.98</v>
      </c>
      <c r="G188" s="33">
        <v>579.91</v>
      </c>
      <c r="H188" s="32">
        <v>35</v>
      </c>
      <c r="I188" s="50">
        <v>4.5854045955973088E-3</v>
      </c>
      <c r="J188" s="50">
        <v>0.10785691075375281</v>
      </c>
      <c r="K188" s="29">
        <v>9765450636.9400005</v>
      </c>
      <c r="L188" s="54">
        <v>5.2058</v>
      </c>
      <c r="M188" s="33">
        <v>567.1</v>
      </c>
      <c r="N188" s="33">
        <v>573.87</v>
      </c>
      <c r="O188" s="32">
        <v>35</v>
      </c>
      <c r="P188" s="50">
        <v>-1.04E-2</v>
      </c>
      <c r="Q188" s="50">
        <v>9.64E-2</v>
      </c>
      <c r="R188" s="57">
        <f t="shared" si="97"/>
        <v>-1.0371759653736459E-2</v>
      </c>
      <c r="S188" s="57">
        <f t="shared" si="98"/>
        <v>-1.041540928764802E-2</v>
      </c>
      <c r="T188" s="57">
        <f t="shared" si="98"/>
        <v>0</v>
      </c>
      <c r="U188" s="57">
        <f t="shared" si="99"/>
        <v>-1.4985404595597308E-2</v>
      </c>
      <c r="V188" s="58">
        <f t="shared" si="99"/>
        <v>-1.1456910753752811E-2</v>
      </c>
    </row>
    <row r="189" spans="1:22">
      <c r="A189" s="36"/>
      <c r="B189" s="37"/>
      <c r="C189" s="38" t="s">
        <v>53</v>
      </c>
      <c r="D189" s="75">
        <f>SUM(D160:D188)</f>
        <v>57125272136.110069</v>
      </c>
      <c r="E189" s="40">
        <f>(D189/$D$221)</f>
        <v>1.1362998965976477E-2</v>
      </c>
      <c r="F189" s="41"/>
      <c r="G189" s="76"/>
      <c r="H189" s="43">
        <f>SUM(H160:H188)</f>
        <v>69695</v>
      </c>
      <c r="I189" s="82"/>
      <c r="J189" s="82"/>
      <c r="K189" s="75">
        <f>SUM(K160:K188)</f>
        <v>57583359181.10791</v>
      </c>
      <c r="L189" s="40">
        <f>(K189/$K$221)</f>
        <v>1.1361840997594489E-2</v>
      </c>
      <c r="M189" s="41"/>
      <c r="N189" s="76"/>
      <c r="O189" s="43">
        <f>SUM(O160:O188)</f>
        <v>69914</v>
      </c>
      <c r="P189" s="82"/>
      <c r="Q189" s="82"/>
      <c r="R189" s="57">
        <f t="shared" ref="R189" si="105">((K189-D189)/D189)</f>
        <v>8.0189910326619613E-3</v>
      </c>
      <c r="S189" s="57" t="e">
        <f t="shared" ref="S189" si="106">((N189-G189)/G189)</f>
        <v>#DIV/0!</v>
      </c>
      <c r="T189" s="57">
        <f t="shared" ref="T189" si="107">((O189-H189)/H189)</f>
        <v>3.142262716120238E-3</v>
      </c>
      <c r="U189" s="57">
        <f t="shared" ref="U189" si="108">P189-I189</f>
        <v>0</v>
      </c>
      <c r="V189" s="58">
        <f t="shared" ref="V189" si="109">Q189-J189</f>
        <v>0</v>
      </c>
    </row>
    <row r="190" spans="1:22" ht="5.25" customHeight="1">
      <c r="A190" s="36"/>
      <c r="B190" s="177"/>
      <c r="C190" s="177"/>
      <c r="D190" s="177"/>
      <c r="E190" s="177"/>
      <c r="F190" s="177"/>
      <c r="G190" s="177"/>
      <c r="H190" s="177"/>
      <c r="I190" s="177"/>
      <c r="J190" s="177"/>
      <c r="K190" s="177"/>
      <c r="L190" s="177"/>
      <c r="M190" s="177"/>
      <c r="N190" s="177"/>
      <c r="O190" s="177"/>
      <c r="P190" s="177"/>
      <c r="Q190" s="177"/>
      <c r="R190" s="177"/>
      <c r="S190" s="177"/>
      <c r="T190" s="177"/>
      <c r="U190" s="177"/>
      <c r="V190" s="177"/>
    </row>
    <row r="191" spans="1:22" ht="15" customHeight="1">
      <c r="A191" s="179" t="s">
        <v>225</v>
      </c>
      <c r="B191" s="179"/>
      <c r="C191" s="179"/>
      <c r="D191" s="179"/>
      <c r="E191" s="179"/>
      <c r="F191" s="179"/>
      <c r="G191" s="179"/>
      <c r="H191" s="179"/>
      <c r="I191" s="179"/>
      <c r="J191" s="179"/>
      <c r="K191" s="179"/>
      <c r="L191" s="179"/>
      <c r="M191" s="179"/>
      <c r="N191" s="179"/>
      <c r="O191" s="179"/>
      <c r="P191" s="179"/>
      <c r="Q191" s="179"/>
      <c r="R191" s="179"/>
      <c r="S191" s="179"/>
      <c r="T191" s="179"/>
      <c r="U191" s="179"/>
      <c r="V191" s="179"/>
    </row>
    <row r="192" spans="1:22" ht="16.2" customHeight="1">
      <c r="A192" s="135">
        <v>166</v>
      </c>
      <c r="B192" s="133" t="s">
        <v>226</v>
      </c>
      <c r="C192" s="134" t="s">
        <v>23</v>
      </c>
      <c r="D192" s="78">
        <v>1071068969.13</v>
      </c>
      <c r="E192" s="30">
        <f>(D192/$D$195)</f>
        <v>0.15775853797828143</v>
      </c>
      <c r="F192" s="77">
        <v>71.441699999999997</v>
      </c>
      <c r="G192" s="77">
        <v>73.595699999999994</v>
      </c>
      <c r="H192" s="34">
        <v>1740</v>
      </c>
      <c r="I192" s="51">
        <v>0.15140000000000001</v>
      </c>
      <c r="J192" s="51">
        <v>0.18590000000000001</v>
      </c>
      <c r="K192" s="78">
        <v>1095992442.8099999</v>
      </c>
      <c r="L192" s="54">
        <f>(K192/$K$195)</f>
        <v>0.16477994493986903</v>
      </c>
      <c r="M192" s="77">
        <v>71.601100000000002</v>
      </c>
      <c r="N192" s="77">
        <v>73.759900000000002</v>
      </c>
      <c r="O192" s="34">
        <v>1742</v>
      </c>
      <c r="P192" s="51">
        <v>0.1163</v>
      </c>
      <c r="Q192" s="51">
        <v>0.14949999999999999</v>
      </c>
      <c r="R192" s="57">
        <f>((K192-D192)/D192)</f>
        <v>2.3269718756061621E-2</v>
      </c>
      <c r="S192" s="57">
        <f t="shared" ref="S192:T195" si="110">((N192-G192)/G192)</f>
        <v>2.2311086109651533E-3</v>
      </c>
      <c r="T192" s="57">
        <f t="shared" si="110"/>
        <v>1.1494252873563218E-3</v>
      </c>
      <c r="U192" s="57">
        <f t="shared" ref="U192:V195" si="111">P192-I192</f>
        <v>-3.5100000000000006E-2</v>
      </c>
      <c r="V192" s="58">
        <f t="shared" si="111"/>
        <v>-3.6400000000000016E-2</v>
      </c>
    </row>
    <row r="193" spans="1:24">
      <c r="A193" s="135">
        <v>167</v>
      </c>
      <c r="B193" s="133" t="s">
        <v>227</v>
      </c>
      <c r="C193" s="134" t="s">
        <v>228</v>
      </c>
      <c r="D193" s="78">
        <v>1070195505.35</v>
      </c>
      <c r="E193" s="30">
        <f>(D193/$D$195)</f>
        <v>0.15762988485427046</v>
      </c>
      <c r="F193" s="77">
        <v>29.946000000000002</v>
      </c>
      <c r="G193" s="77">
        <v>30.2349</v>
      </c>
      <c r="H193" s="32">
        <v>1489</v>
      </c>
      <c r="I193" s="50">
        <v>7.3000000000000001E-3</v>
      </c>
      <c r="J193" s="50">
        <v>0.12479999999999999</v>
      </c>
      <c r="K193" s="78">
        <v>1046230909.3200001</v>
      </c>
      <c r="L193" s="54">
        <f>(K193/$K$195)</f>
        <v>0.1572984127428198</v>
      </c>
      <c r="M193" s="77">
        <v>30.163599999999999</v>
      </c>
      <c r="N193" s="77">
        <v>30.455200000000001</v>
      </c>
      <c r="O193" s="32">
        <v>1490</v>
      </c>
      <c r="P193" s="50">
        <v>-2.2100000000000002E-2</v>
      </c>
      <c r="Q193" s="50">
        <v>0.13300000000000001</v>
      </c>
      <c r="R193" s="57">
        <f>((K193-D193)/D193)</f>
        <v>-2.2392727226192673E-2</v>
      </c>
      <c r="S193" s="57">
        <f t="shared" si="110"/>
        <v>7.2862817472524044E-3</v>
      </c>
      <c r="T193" s="57">
        <f t="shared" si="110"/>
        <v>6.7159167226326397E-4</v>
      </c>
      <c r="U193" s="57">
        <f t="shared" si="111"/>
        <v>-2.9400000000000003E-2</v>
      </c>
      <c r="V193" s="58">
        <f t="shared" si="111"/>
        <v>8.2000000000000128E-3</v>
      </c>
    </row>
    <row r="194" spans="1:24">
      <c r="A194" s="135">
        <v>168</v>
      </c>
      <c r="B194" s="133" t="s">
        <v>229</v>
      </c>
      <c r="C194" s="134" t="s">
        <v>49</v>
      </c>
      <c r="D194" s="44">
        <v>4648028725.4700003</v>
      </c>
      <c r="E194" s="30">
        <f>(D194/$D$195)</f>
        <v>0.68461157716744803</v>
      </c>
      <c r="F194" s="77">
        <v>3.15</v>
      </c>
      <c r="G194" s="77">
        <v>3.19</v>
      </c>
      <c r="H194" s="32">
        <v>10341</v>
      </c>
      <c r="I194" s="50">
        <v>0</v>
      </c>
      <c r="J194" s="50">
        <v>0.1</v>
      </c>
      <c r="K194" s="44">
        <v>4509025640.6400003</v>
      </c>
      <c r="L194" s="54">
        <f>(K194/$K$195)</f>
        <v>0.67792164231731111</v>
      </c>
      <c r="M194" s="77">
        <v>3.06</v>
      </c>
      <c r="N194" s="77">
        <v>3.1</v>
      </c>
      <c r="O194" s="32">
        <v>10345</v>
      </c>
      <c r="P194" s="50">
        <v>-2.8199999999999999E-2</v>
      </c>
      <c r="Q194" s="50">
        <v>6.9000000000000006E-2</v>
      </c>
      <c r="R194" s="57">
        <f>((K194-D194)/D194)</f>
        <v>-2.9905814494712312E-2</v>
      </c>
      <c r="S194" s="57">
        <f t="shared" si="110"/>
        <v>-2.8213166144200583E-2</v>
      </c>
      <c r="T194" s="57">
        <f t="shared" si="110"/>
        <v>3.8680978628759309E-4</v>
      </c>
      <c r="U194" s="57">
        <f t="shared" si="111"/>
        <v>-2.8199999999999999E-2</v>
      </c>
      <c r="V194" s="58">
        <f t="shared" si="111"/>
        <v>-3.1E-2</v>
      </c>
    </row>
    <row r="195" spans="1:24">
      <c r="A195" s="36"/>
      <c r="B195" s="37"/>
      <c r="C195" s="71" t="s">
        <v>53</v>
      </c>
      <c r="D195" s="75">
        <f>SUM(D192:D194)</f>
        <v>6789293199.9500008</v>
      </c>
      <c r="E195" s="40">
        <f>(D195/$D$221)</f>
        <v>1.3504833977320686E-3</v>
      </c>
      <c r="F195" s="41"/>
      <c r="G195" s="76"/>
      <c r="H195" s="43">
        <f>SUM(H192:H194)</f>
        <v>13570</v>
      </c>
      <c r="I195" s="82"/>
      <c r="J195" s="82"/>
      <c r="K195" s="75">
        <f>SUM(K192:K194)</f>
        <v>6651248992.7700005</v>
      </c>
      <c r="L195" s="40">
        <f>(K195/$K$221)</f>
        <v>1.3123658391234769E-3</v>
      </c>
      <c r="M195" s="41"/>
      <c r="N195" s="76"/>
      <c r="O195" s="43">
        <f>SUM(O192:O194)</f>
        <v>13577</v>
      </c>
      <c r="P195" s="82"/>
      <c r="Q195" s="82"/>
      <c r="R195" s="57">
        <f>((K195-D195)/D195)</f>
        <v>-2.033263303181794E-2</v>
      </c>
      <c r="S195" s="57" t="e">
        <f t="shared" si="110"/>
        <v>#DIV/0!</v>
      </c>
      <c r="T195" s="57">
        <f t="shared" si="110"/>
        <v>5.1584377302873986E-4</v>
      </c>
      <c r="U195" s="57">
        <f t="shared" si="111"/>
        <v>0</v>
      </c>
      <c r="V195" s="58">
        <f t="shared" si="111"/>
        <v>0</v>
      </c>
    </row>
    <row r="196" spans="1:24" ht="6" customHeight="1">
      <c r="A196" s="36"/>
      <c r="B196" s="177"/>
      <c r="C196" s="177"/>
      <c r="D196" s="177"/>
      <c r="E196" s="177"/>
      <c r="F196" s="177"/>
      <c r="G196" s="177"/>
      <c r="H196" s="177"/>
      <c r="I196" s="177"/>
      <c r="J196" s="177"/>
      <c r="K196" s="177"/>
      <c r="L196" s="177"/>
      <c r="M196" s="177"/>
      <c r="N196" s="177"/>
      <c r="O196" s="177"/>
      <c r="P196" s="177"/>
      <c r="Q196" s="177"/>
      <c r="R196" s="177"/>
      <c r="S196" s="177"/>
      <c r="T196" s="177"/>
      <c r="U196" s="177"/>
      <c r="V196" s="177"/>
    </row>
    <row r="197" spans="1:24" ht="15" customHeight="1">
      <c r="A197" s="180" t="s">
        <v>230</v>
      </c>
      <c r="B197" s="180"/>
      <c r="C197" s="180"/>
      <c r="D197" s="180"/>
      <c r="E197" s="180"/>
      <c r="F197" s="180"/>
      <c r="G197" s="180"/>
      <c r="H197" s="180"/>
      <c r="I197" s="180"/>
      <c r="J197" s="180"/>
      <c r="K197" s="180"/>
      <c r="L197" s="180"/>
      <c r="M197" s="180"/>
      <c r="N197" s="180"/>
      <c r="O197" s="180"/>
      <c r="P197" s="180"/>
      <c r="Q197" s="180"/>
      <c r="R197" s="180"/>
      <c r="S197" s="180"/>
      <c r="T197" s="180"/>
      <c r="U197" s="180"/>
      <c r="V197" s="180"/>
    </row>
    <row r="198" spans="1:24">
      <c r="A198" s="181" t="s">
        <v>231</v>
      </c>
      <c r="B198" s="181"/>
      <c r="C198" s="181"/>
      <c r="D198" s="181"/>
      <c r="E198" s="181"/>
      <c r="F198" s="181"/>
      <c r="G198" s="181"/>
      <c r="H198" s="181"/>
      <c r="I198" s="181"/>
      <c r="J198" s="181"/>
      <c r="K198" s="181"/>
      <c r="L198" s="181"/>
      <c r="M198" s="181"/>
      <c r="N198" s="181"/>
      <c r="O198" s="181"/>
      <c r="P198" s="181"/>
      <c r="Q198" s="181"/>
      <c r="R198" s="181"/>
      <c r="S198" s="181"/>
      <c r="T198" s="181"/>
      <c r="U198" s="181"/>
      <c r="V198" s="181"/>
    </row>
    <row r="199" spans="1:24">
      <c r="A199" s="135">
        <v>169</v>
      </c>
      <c r="B199" s="133" t="s">
        <v>232</v>
      </c>
      <c r="C199" s="134" t="s">
        <v>233</v>
      </c>
      <c r="D199" s="47">
        <v>5336185727.54</v>
      </c>
      <c r="E199" s="30">
        <f>(D199/$D$220)</f>
        <v>9.4639559658570932E-2</v>
      </c>
      <c r="F199" s="79">
        <v>2.33</v>
      </c>
      <c r="G199" s="79">
        <v>2.38</v>
      </c>
      <c r="H199" s="46">
        <v>15015</v>
      </c>
      <c r="I199" s="53">
        <v>-4.3E-3</v>
      </c>
      <c r="J199" s="53">
        <v>2.8199999999999999E-2</v>
      </c>
      <c r="K199" s="47">
        <v>5360083250.6199999</v>
      </c>
      <c r="L199" s="30">
        <f>(K199/$K$220)</f>
        <v>9.3885217604099264E-2</v>
      </c>
      <c r="M199" s="79">
        <v>2.38</v>
      </c>
      <c r="N199" s="79">
        <v>3.06</v>
      </c>
      <c r="O199" s="46">
        <v>15019</v>
      </c>
      <c r="P199" s="53">
        <v>3.3999999999999998E-3</v>
      </c>
      <c r="Q199" s="53">
        <v>3.0599999999999999E-2</v>
      </c>
      <c r="R199" s="57">
        <f>((K199-D199)/D199)</f>
        <v>4.4783904272044078E-3</v>
      </c>
      <c r="S199" s="57">
        <f>((N199-G199)/G199)</f>
        <v>0.28571428571428581</v>
      </c>
      <c r="T199" s="57">
        <f>((O199-H199)/H199)</f>
        <v>2.664002664002664E-4</v>
      </c>
      <c r="U199" s="57">
        <f>P199-I199</f>
        <v>7.7000000000000002E-3</v>
      </c>
      <c r="V199" s="58">
        <f>Q199-J199</f>
        <v>2.3999999999999994E-3</v>
      </c>
    </row>
    <row r="200" spans="1:24">
      <c r="A200" s="135">
        <v>170</v>
      </c>
      <c r="B200" s="133" t="s">
        <v>234</v>
      </c>
      <c r="C200" s="134" t="s">
        <v>49</v>
      </c>
      <c r="D200" s="47">
        <v>910599170.69000006</v>
      </c>
      <c r="E200" s="30">
        <f>(D200/$D$220)</f>
        <v>1.6149869764613713E-2</v>
      </c>
      <c r="F200" s="79">
        <v>551.82000000000005</v>
      </c>
      <c r="G200" s="79">
        <v>558.80999999999995</v>
      </c>
      <c r="H200" s="46">
        <v>934</v>
      </c>
      <c r="I200" s="53">
        <v>-1.2200000000000001E-2</v>
      </c>
      <c r="J200" s="53">
        <v>0.1072</v>
      </c>
      <c r="K200" s="47">
        <v>916271690</v>
      </c>
      <c r="L200" s="30">
        <f>(K200/$K$220)</f>
        <v>1.6049072930010063E-2</v>
      </c>
      <c r="M200" s="79">
        <v>553.5</v>
      </c>
      <c r="N200" s="79">
        <v>560.5</v>
      </c>
      <c r="O200" s="46">
        <v>939</v>
      </c>
      <c r="P200" s="53">
        <v>3.0000000000000001E-3</v>
      </c>
      <c r="Q200" s="53">
        <v>0.1106</v>
      </c>
      <c r="R200" s="57">
        <f>((K200-D200)/D200)</f>
        <v>6.2294360598875043E-3</v>
      </c>
      <c r="S200" s="57">
        <f>((N200-G200)/G200)</f>
        <v>3.0242837458171021E-3</v>
      </c>
      <c r="T200" s="57">
        <f>((O200-H200)/H200)</f>
        <v>5.3533190578158455E-3</v>
      </c>
      <c r="U200" s="57">
        <f>P200-I200</f>
        <v>1.5200000000000002E-2</v>
      </c>
      <c r="V200" s="58">
        <f>Q200-J200</f>
        <v>3.4000000000000002E-3</v>
      </c>
    </row>
    <row r="201" spans="1:24" ht="6" customHeight="1">
      <c r="A201" s="36"/>
      <c r="B201" s="177"/>
      <c r="C201" s="177"/>
      <c r="D201" s="177"/>
      <c r="E201" s="177"/>
      <c r="F201" s="177"/>
      <c r="G201" s="177"/>
      <c r="H201" s="177"/>
      <c r="I201" s="177"/>
      <c r="J201" s="177"/>
      <c r="K201" s="177"/>
      <c r="L201" s="177"/>
      <c r="M201" s="177"/>
      <c r="N201" s="177"/>
      <c r="O201" s="177"/>
      <c r="P201" s="177"/>
      <c r="Q201" s="177"/>
      <c r="R201" s="177"/>
      <c r="S201" s="177"/>
      <c r="T201" s="177"/>
      <c r="U201" s="177"/>
      <c r="V201" s="177"/>
    </row>
    <row r="202" spans="1:24" ht="15" customHeight="1">
      <c r="A202" s="181" t="s">
        <v>174</v>
      </c>
      <c r="B202" s="181"/>
      <c r="C202" s="181"/>
      <c r="D202" s="181"/>
      <c r="E202" s="181"/>
      <c r="F202" s="181"/>
      <c r="G202" s="181"/>
      <c r="H202" s="181"/>
      <c r="I202" s="181"/>
      <c r="J202" s="181"/>
      <c r="K202" s="181"/>
      <c r="L202" s="181"/>
      <c r="M202" s="181"/>
      <c r="N202" s="181"/>
      <c r="O202" s="181"/>
      <c r="P202" s="181"/>
      <c r="Q202" s="181"/>
      <c r="R202" s="181"/>
      <c r="S202" s="181"/>
      <c r="T202" s="181"/>
      <c r="U202" s="181"/>
      <c r="V202" s="181"/>
    </row>
    <row r="203" spans="1:24">
      <c r="A203" s="135">
        <v>171</v>
      </c>
      <c r="B203" s="133" t="s">
        <v>294</v>
      </c>
      <c r="C203" s="134" t="s">
        <v>23</v>
      </c>
      <c r="D203" s="29">
        <v>1213254601.5</v>
      </c>
      <c r="E203" s="30">
        <f>(D203/$D$220)</f>
        <v>2.1517594608279917E-2</v>
      </c>
      <c r="F203" s="77">
        <v>1.0586</v>
      </c>
      <c r="G203" s="77">
        <v>1.0586</v>
      </c>
      <c r="H203" s="32">
        <v>555</v>
      </c>
      <c r="I203" s="50">
        <v>0.1333</v>
      </c>
      <c r="J203" s="50">
        <v>0.1623</v>
      </c>
      <c r="K203" s="29">
        <v>1244683975.8399999</v>
      </c>
      <c r="L203" s="30">
        <f t="shared" ref="L203:L215" si="112">(K203/$K$220)</f>
        <v>2.1801419951183957E-2</v>
      </c>
      <c r="M203" s="77">
        <v>1.0613999999999999</v>
      </c>
      <c r="N203" s="77">
        <v>1.0613999999999999</v>
      </c>
      <c r="O203" s="32">
        <v>567</v>
      </c>
      <c r="P203" s="50">
        <v>0.13789999999999999</v>
      </c>
      <c r="Q203" s="50">
        <v>0.16109999999999999</v>
      </c>
      <c r="R203" s="57">
        <f>((K203-D203)/D203)</f>
        <v>2.5905011447014004E-2</v>
      </c>
      <c r="S203" s="57">
        <f>((N203-G203)/G203)</f>
        <v>2.6450028339315263E-3</v>
      </c>
      <c r="T203" s="57">
        <f>((O203-H203)/H203)</f>
        <v>2.1621621621621623E-2</v>
      </c>
      <c r="U203" s="57">
        <f>P203-I203</f>
        <v>4.599999999999993E-3</v>
      </c>
      <c r="V203" s="58">
        <f>Q203-J203</f>
        <v>-1.2000000000000066E-3</v>
      </c>
      <c r="X203" s="83"/>
    </row>
    <row r="204" spans="1:24">
      <c r="A204" s="135">
        <v>172</v>
      </c>
      <c r="B204" s="133" t="s">
        <v>235</v>
      </c>
      <c r="C204" s="134" t="s">
        <v>236</v>
      </c>
      <c r="D204" s="29">
        <v>349302531.08999997</v>
      </c>
      <c r="E204" s="30">
        <f>(D204/$D$220)</f>
        <v>6.1950313234733793E-3</v>
      </c>
      <c r="F204" s="77">
        <v>1067.5</v>
      </c>
      <c r="G204" s="77">
        <v>1067.5</v>
      </c>
      <c r="H204" s="32">
        <v>18</v>
      </c>
      <c r="I204" s="50">
        <v>1.4E-3</v>
      </c>
      <c r="J204" s="50">
        <v>2.8400000000000002E-2</v>
      </c>
      <c r="K204" s="29">
        <v>349601049.12</v>
      </c>
      <c r="L204" s="30">
        <f t="shared" si="112"/>
        <v>6.1234814902279807E-3</v>
      </c>
      <c r="M204" s="77">
        <v>1068.4100000000001</v>
      </c>
      <c r="N204" s="77">
        <v>1068.4100000000001</v>
      </c>
      <c r="O204" s="32">
        <v>18</v>
      </c>
      <c r="P204" s="50">
        <v>1.2999999999999999E-3</v>
      </c>
      <c r="Q204" s="50">
        <v>2.9700000000000001E-2</v>
      </c>
      <c r="R204" s="57">
        <f>((K204-D204)/D204)</f>
        <v>8.5461170026024217E-4</v>
      </c>
      <c r="S204" s="57">
        <f>((N204-G204)/G204)</f>
        <v>8.5245901639351932E-4</v>
      </c>
      <c r="T204" s="57">
        <f>((O204-H204)/H204)</f>
        <v>0</v>
      </c>
      <c r="U204" s="57">
        <f>P204-I204</f>
        <v>-1.0000000000000005E-4</v>
      </c>
      <c r="V204" s="58">
        <f>Q204-J204</f>
        <v>1.2999999999999991E-3</v>
      </c>
      <c r="X204" s="83"/>
    </row>
    <row r="205" spans="1:24">
      <c r="A205" s="135">
        <v>173</v>
      </c>
      <c r="B205" s="133" t="s">
        <v>237</v>
      </c>
      <c r="C205" s="134" t="s">
        <v>67</v>
      </c>
      <c r="D205" s="29">
        <v>210703643.97999999</v>
      </c>
      <c r="E205" s="30">
        <f>(D205/$D$220)</f>
        <v>3.7369201716141022E-3</v>
      </c>
      <c r="F205" s="77">
        <v>119.29</v>
      </c>
      <c r="G205" s="77">
        <v>119.29</v>
      </c>
      <c r="H205" s="32">
        <v>75</v>
      </c>
      <c r="I205" s="50">
        <v>1.8E-3</v>
      </c>
      <c r="J205" s="50">
        <v>0.11219999999999999</v>
      </c>
      <c r="K205" s="29">
        <v>246491585.93000001</v>
      </c>
      <c r="L205" s="30">
        <f t="shared" si="112"/>
        <v>4.3174546178813104E-3</v>
      </c>
      <c r="M205" s="77">
        <v>119.48</v>
      </c>
      <c r="N205" s="77">
        <v>119.48</v>
      </c>
      <c r="O205" s="32">
        <v>75</v>
      </c>
      <c r="P205" s="50">
        <v>1.6000000000000001E-3</v>
      </c>
      <c r="Q205" s="50">
        <v>0.11219999999999999</v>
      </c>
      <c r="R205" s="57">
        <f t="shared" ref="R205:R221" si="113">((K205-D205)/D205)</f>
        <v>0.16984965838273311</v>
      </c>
      <c r="S205" s="57">
        <f t="shared" ref="S205:S220" si="114">((N205-G205)/G205)</f>
        <v>1.5927571464498091E-3</v>
      </c>
      <c r="T205" s="57">
        <f t="shared" ref="T205:T220" si="115">((O205-H205)/H205)</f>
        <v>0</v>
      </c>
      <c r="U205" s="57">
        <f t="shared" ref="U205:U220" si="116">P205-I205</f>
        <v>-1.9999999999999987E-4</v>
      </c>
      <c r="V205" s="58">
        <f t="shared" ref="V205:V220" si="117">Q205-J205</f>
        <v>0</v>
      </c>
    </row>
    <row r="206" spans="1:24">
      <c r="A206" s="135">
        <v>174</v>
      </c>
      <c r="B206" s="171" t="s">
        <v>238</v>
      </c>
      <c r="C206" s="134" t="s">
        <v>72</v>
      </c>
      <c r="D206" s="44">
        <v>62149920.689999998</v>
      </c>
      <c r="E206" s="30">
        <f>(D206/$D$220)</f>
        <v>1.1022556985902092E-3</v>
      </c>
      <c r="F206" s="77">
        <v>101.46</v>
      </c>
      <c r="G206" s="77">
        <v>101.46</v>
      </c>
      <c r="H206" s="32">
        <v>15</v>
      </c>
      <c r="I206" s="50">
        <v>1E-3</v>
      </c>
      <c r="J206" s="50">
        <v>4.53E-2</v>
      </c>
      <c r="K206" s="44">
        <v>62244371.299999997</v>
      </c>
      <c r="L206" s="30">
        <f t="shared" si="112"/>
        <v>1.090249175412508E-3</v>
      </c>
      <c r="M206" s="77">
        <v>101.6</v>
      </c>
      <c r="N206" s="77">
        <v>101.6</v>
      </c>
      <c r="O206" s="32">
        <v>15</v>
      </c>
      <c r="P206" s="50">
        <v>1.4E-3</v>
      </c>
      <c r="Q206" s="50">
        <v>4.6600000000000003E-2</v>
      </c>
      <c r="R206" s="57">
        <f t="shared" si="113"/>
        <v>1.5197221324080728E-3</v>
      </c>
      <c r="S206" s="57">
        <f t="shared" si="114"/>
        <v>1.3798541297062939E-3</v>
      </c>
      <c r="T206" s="57">
        <f t="shared" si="115"/>
        <v>0</v>
      </c>
      <c r="U206" s="57">
        <f t="shared" si="116"/>
        <v>3.9999999999999996E-4</v>
      </c>
      <c r="V206" s="58">
        <f t="shared" si="117"/>
        <v>1.3000000000000025E-3</v>
      </c>
    </row>
    <row r="207" spans="1:24">
      <c r="A207" s="135">
        <v>175</v>
      </c>
      <c r="B207" s="133" t="s">
        <v>239</v>
      </c>
      <c r="C207" s="134" t="s">
        <v>75</v>
      </c>
      <c r="D207" s="44">
        <v>118387173.90000001</v>
      </c>
      <c r="E207" s="30">
        <v>0</v>
      </c>
      <c r="F207" s="77">
        <v>1.0758000000000001</v>
      </c>
      <c r="G207" s="77">
        <v>1.0758000000000001</v>
      </c>
      <c r="H207" s="32">
        <v>37</v>
      </c>
      <c r="I207" s="50">
        <v>1.5E-3</v>
      </c>
      <c r="J207" s="50">
        <v>0.1207</v>
      </c>
      <c r="K207" s="44">
        <v>122075972.72</v>
      </c>
      <c r="L207" s="30">
        <f t="shared" si="112"/>
        <v>2.1382371741564981E-3</v>
      </c>
      <c r="M207" s="77">
        <v>1.0773999999999999</v>
      </c>
      <c r="N207" s="77">
        <v>1.0773999999999999</v>
      </c>
      <c r="O207" s="32">
        <v>39</v>
      </c>
      <c r="P207" s="50">
        <v>1.1999999999999999E-3</v>
      </c>
      <c r="Q207" s="50">
        <v>0.1192</v>
      </c>
      <c r="R207" s="57">
        <f t="shared" ref="R207:R208" si="118">((K207-D207)/D207)</f>
        <v>3.1158770823568015E-2</v>
      </c>
      <c r="S207" s="57">
        <f t="shared" ref="S207:S208" si="119">((N207-G207)/G207)</f>
        <v>1.4872652909461086E-3</v>
      </c>
      <c r="T207" s="57">
        <f t="shared" ref="T207" si="120">((O207-H207)/H207)</f>
        <v>5.4054054054054057E-2</v>
      </c>
      <c r="U207" s="57">
        <f t="shared" ref="U207" si="121">P207-I207</f>
        <v>-3.0000000000000014E-4</v>
      </c>
      <c r="V207" s="58">
        <f t="shared" ref="V207" si="122">Q207-J207</f>
        <v>-1.5000000000000013E-3</v>
      </c>
    </row>
    <row r="208" spans="1:24">
      <c r="A208" s="135">
        <v>176</v>
      </c>
      <c r="B208" s="133" t="s">
        <v>240</v>
      </c>
      <c r="C208" s="134" t="s">
        <v>31</v>
      </c>
      <c r="D208" s="29">
        <v>5318467686.4399996</v>
      </c>
      <c r="E208" s="30">
        <f t="shared" ref="E208:E215" si="123">(D208/$D$220)</f>
        <v>9.4325322543647741E-2</v>
      </c>
      <c r="F208" s="77">
        <v>150.12</v>
      </c>
      <c r="G208" s="77">
        <v>150.12</v>
      </c>
      <c r="H208" s="32">
        <v>699</v>
      </c>
      <c r="I208" s="50">
        <v>2.7000000000000001E-3</v>
      </c>
      <c r="J208" s="50">
        <v>4.6399999999999997E-2</v>
      </c>
      <c r="K208" s="29">
        <v>5363644826.3599997</v>
      </c>
      <c r="L208" s="30">
        <f t="shared" si="112"/>
        <v>9.3947600835427747E-2</v>
      </c>
      <c r="M208" s="77">
        <v>150.46</v>
      </c>
      <c r="N208" s="77">
        <v>150.46</v>
      </c>
      <c r="O208" s="32">
        <v>699</v>
      </c>
      <c r="P208" s="50">
        <v>2.3E-3</v>
      </c>
      <c r="Q208" s="50">
        <v>4.87E-2</v>
      </c>
      <c r="R208" s="57">
        <f t="shared" si="118"/>
        <v>8.494390223557061E-3</v>
      </c>
      <c r="S208" s="57">
        <f t="shared" si="119"/>
        <v>2.2648547828404168E-3</v>
      </c>
      <c r="T208" s="57">
        <f t="shared" si="115"/>
        <v>0</v>
      </c>
      <c r="U208" s="57">
        <f t="shared" si="116"/>
        <v>-4.0000000000000018E-4</v>
      </c>
      <c r="V208" s="58">
        <f t="shared" si="117"/>
        <v>2.3000000000000034E-3</v>
      </c>
    </row>
    <row r="209" spans="1:22">
      <c r="A209" s="135">
        <v>177</v>
      </c>
      <c r="B209" s="133" t="s">
        <v>241</v>
      </c>
      <c r="C209" s="134" t="s">
        <v>65</v>
      </c>
      <c r="D209" s="29">
        <v>733079992.28998494</v>
      </c>
      <c r="E209" s="30">
        <f t="shared" si="123"/>
        <v>1.3001490429160234E-2</v>
      </c>
      <c r="F209" s="35">
        <v>1235.40794721255</v>
      </c>
      <c r="G209" s="35">
        <v>1235.40794721255</v>
      </c>
      <c r="H209" s="32">
        <v>172</v>
      </c>
      <c r="I209" s="50">
        <v>0.12428440228755538</v>
      </c>
      <c r="J209" s="50">
        <v>0.14739161961621028</v>
      </c>
      <c r="K209" s="29">
        <v>757716137.23889399</v>
      </c>
      <c r="L209" s="30">
        <f t="shared" si="112"/>
        <v>1.3271873047602861E-2</v>
      </c>
      <c r="M209" s="35">
        <v>1237.91010193584</v>
      </c>
      <c r="N209" s="35">
        <v>1237.91010193584</v>
      </c>
      <c r="O209" s="32">
        <v>172</v>
      </c>
      <c r="P209" s="50">
        <v>0.10560843208125233</v>
      </c>
      <c r="Q209" s="50">
        <v>0.14496262354639392</v>
      </c>
      <c r="R209" s="57">
        <f t="shared" si="113"/>
        <v>3.3606352932851163E-2</v>
      </c>
      <c r="S209" s="57">
        <f t="shared" si="114"/>
        <v>2.0253671905993598E-3</v>
      </c>
      <c r="T209" s="57">
        <f t="shared" si="115"/>
        <v>0</v>
      </c>
      <c r="U209" s="57">
        <f t="shared" si="116"/>
        <v>-1.8675970206303058E-2</v>
      </c>
      <c r="V209" s="58">
        <f t="shared" si="117"/>
        <v>-2.4289960698163637E-3</v>
      </c>
    </row>
    <row r="210" spans="1:22">
      <c r="A210" s="135">
        <v>178</v>
      </c>
      <c r="B210" s="133" t="s">
        <v>242</v>
      </c>
      <c r="C210" s="134" t="s">
        <v>233</v>
      </c>
      <c r="D210" s="29">
        <v>29695463751.880001</v>
      </c>
      <c r="E210" s="30">
        <f t="shared" si="123"/>
        <v>0.52666188113181855</v>
      </c>
      <c r="F210" s="35">
        <v>1234.6199999999999</v>
      </c>
      <c r="G210" s="35">
        <v>1234.6199999999999</v>
      </c>
      <c r="H210" s="32">
        <v>10002</v>
      </c>
      <c r="I210" s="50">
        <v>-2.3400000000000001E-2</v>
      </c>
      <c r="J210" s="50">
        <v>3.5900000000000001E-2</v>
      </c>
      <c r="K210" s="29">
        <v>30009147988.91</v>
      </c>
      <c r="L210" s="30">
        <f t="shared" si="112"/>
        <v>0.52562903546816053</v>
      </c>
      <c r="M210" s="35">
        <v>1237.5</v>
      </c>
      <c r="N210" s="35">
        <v>1237.5</v>
      </c>
      <c r="O210" s="32">
        <v>10022</v>
      </c>
      <c r="P210" s="50">
        <v>2.3E-3</v>
      </c>
      <c r="Q210" s="50">
        <v>3.8899999999999997E-2</v>
      </c>
      <c r="R210" s="57">
        <f t="shared" si="113"/>
        <v>1.0563372225838353E-2</v>
      </c>
      <c r="S210" s="57">
        <f t="shared" si="114"/>
        <v>2.3327015599942567E-3</v>
      </c>
      <c r="T210" s="57">
        <f t="shared" si="115"/>
        <v>1.9996000799840032E-3</v>
      </c>
      <c r="U210" s="57">
        <f t="shared" si="116"/>
        <v>2.5700000000000001E-2</v>
      </c>
      <c r="V210" s="58">
        <f t="shared" si="117"/>
        <v>2.9999999999999957E-3</v>
      </c>
    </row>
    <row r="211" spans="1:22">
      <c r="A211" s="135">
        <v>179</v>
      </c>
      <c r="B211" s="133" t="s">
        <v>243</v>
      </c>
      <c r="C211" s="134" t="s">
        <v>244</v>
      </c>
      <c r="D211" s="29">
        <v>500846219.75</v>
      </c>
      <c r="E211" s="30">
        <f t="shared" si="123"/>
        <v>8.8827241243065493E-3</v>
      </c>
      <c r="F211" s="79">
        <v>122.23</v>
      </c>
      <c r="G211" s="79">
        <v>123.23</v>
      </c>
      <c r="H211" s="46">
        <v>148</v>
      </c>
      <c r="I211" s="50">
        <v>1.7100000000000001E-2</v>
      </c>
      <c r="J211" s="50">
        <v>-1.4500000000000001E-2</v>
      </c>
      <c r="K211" s="29">
        <v>496474059.61000001</v>
      </c>
      <c r="L211" s="30">
        <f t="shared" si="112"/>
        <v>8.6960543226420692E-3</v>
      </c>
      <c r="M211" s="79">
        <v>121.06</v>
      </c>
      <c r="N211" s="79">
        <v>122.03</v>
      </c>
      <c r="O211" s="46">
        <v>149</v>
      </c>
      <c r="P211" s="50">
        <v>-9.5999999999999992E-3</v>
      </c>
      <c r="Q211" s="50">
        <v>-2.4E-2</v>
      </c>
      <c r="R211" s="57">
        <f t="shared" si="113"/>
        <v>-8.7295460514454359E-3</v>
      </c>
      <c r="S211" s="57">
        <f t="shared" si="114"/>
        <v>-9.7378885011766836E-3</v>
      </c>
      <c r="T211" s="57">
        <f t="shared" si="115"/>
        <v>6.7567567567567571E-3</v>
      </c>
      <c r="U211" s="57">
        <f t="shared" si="116"/>
        <v>-2.6700000000000002E-2</v>
      </c>
      <c r="V211" s="58">
        <f t="shared" si="117"/>
        <v>-9.4999999999999998E-3</v>
      </c>
    </row>
    <row r="212" spans="1:22">
      <c r="A212" s="135">
        <v>180</v>
      </c>
      <c r="B212" s="133" t="s">
        <v>245</v>
      </c>
      <c r="C212" s="134" t="s">
        <v>244</v>
      </c>
      <c r="D212" s="29">
        <v>163263202.93000001</v>
      </c>
      <c r="E212" s="30">
        <f t="shared" si="123"/>
        <v>2.895543450446232E-3</v>
      </c>
      <c r="F212" s="79">
        <v>118.83</v>
      </c>
      <c r="G212" s="79">
        <v>118.83</v>
      </c>
      <c r="H212" s="46">
        <v>73</v>
      </c>
      <c r="I212" s="50">
        <v>4.5999999999999999E-3</v>
      </c>
      <c r="J212" s="50">
        <v>6.3899999999999998E-2</v>
      </c>
      <c r="K212" s="29">
        <v>164007774.87</v>
      </c>
      <c r="L212" s="30">
        <f t="shared" si="112"/>
        <v>2.8726989698626419E-3</v>
      </c>
      <c r="M212" s="79">
        <v>119.28</v>
      </c>
      <c r="N212" s="79">
        <v>119.28</v>
      </c>
      <c r="O212" s="46">
        <v>73</v>
      </c>
      <c r="P212" s="50">
        <v>3.8E-3</v>
      </c>
      <c r="Q212" s="50">
        <v>6.7900000000000002E-2</v>
      </c>
      <c r="R212" s="57">
        <f t="shared" si="113"/>
        <v>4.5605618819032781E-3</v>
      </c>
      <c r="S212" s="57">
        <f t="shared" si="114"/>
        <v>3.7869224943196402E-3</v>
      </c>
      <c r="T212" s="57">
        <f t="shared" si="115"/>
        <v>0</v>
      </c>
      <c r="U212" s="57">
        <f t="shared" si="116"/>
        <v>-7.9999999999999993E-4</v>
      </c>
      <c r="V212" s="58">
        <f t="shared" si="117"/>
        <v>4.0000000000000036E-3</v>
      </c>
    </row>
    <row r="213" spans="1:22" ht="13.5" customHeight="1">
      <c r="A213" s="135">
        <v>181</v>
      </c>
      <c r="B213" s="133" t="s">
        <v>246</v>
      </c>
      <c r="C213" s="134" t="s">
        <v>89</v>
      </c>
      <c r="D213" s="29">
        <v>1408898382</v>
      </c>
      <c r="E213" s="30">
        <f t="shared" si="123"/>
        <v>2.4987421593667451E-2</v>
      </c>
      <c r="F213" s="60">
        <v>103.63</v>
      </c>
      <c r="G213" s="60">
        <v>103.63</v>
      </c>
      <c r="H213" s="32">
        <v>623</v>
      </c>
      <c r="I213" s="50">
        <v>2.5000000000000001E-3</v>
      </c>
      <c r="J213" s="50">
        <v>0.14180000000000001</v>
      </c>
      <c r="K213" s="29">
        <v>1430624835</v>
      </c>
      <c r="L213" s="30">
        <f t="shared" si="112"/>
        <v>2.5058290639099211E-2</v>
      </c>
      <c r="M213" s="60">
        <v>103.89</v>
      </c>
      <c r="N213" s="60">
        <v>103.89</v>
      </c>
      <c r="O213" s="32">
        <v>624</v>
      </c>
      <c r="P213" s="50">
        <v>2.5000000000000001E-3</v>
      </c>
      <c r="Q213" s="50">
        <v>0.14099999999999999</v>
      </c>
      <c r="R213" s="57">
        <f t="shared" si="113"/>
        <v>1.5420880084451683E-2</v>
      </c>
      <c r="S213" s="57">
        <f t="shared" si="114"/>
        <v>2.5089259866834424E-3</v>
      </c>
      <c r="T213" s="57">
        <f t="shared" si="115"/>
        <v>1.6051364365971107E-3</v>
      </c>
      <c r="U213" s="57">
        <f t="shared" si="116"/>
        <v>0</v>
      </c>
      <c r="V213" s="58">
        <f t="shared" si="117"/>
        <v>-8.0000000000002292E-4</v>
      </c>
    </row>
    <row r="214" spans="1:22" ht="15.75" customHeight="1">
      <c r="A214" s="135">
        <v>182</v>
      </c>
      <c r="B214" s="133" t="s">
        <v>247</v>
      </c>
      <c r="C214" s="134" t="s">
        <v>49</v>
      </c>
      <c r="D214" s="29">
        <v>6029773846.4700003</v>
      </c>
      <c r="E214" s="30">
        <f t="shared" si="123"/>
        <v>0.10694064464914387</v>
      </c>
      <c r="F214" s="60">
        <v>135.87</v>
      </c>
      <c r="G214" s="60">
        <v>135.87</v>
      </c>
      <c r="H214" s="32">
        <v>1302</v>
      </c>
      <c r="I214" s="50">
        <v>2.9999999999999997E-4</v>
      </c>
      <c r="J214" s="50">
        <v>1.17E-2</v>
      </c>
      <c r="K214" s="29">
        <v>6223920633.8000002</v>
      </c>
      <c r="L214" s="30">
        <f t="shared" si="112"/>
        <v>0.10901587078659024</v>
      </c>
      <c r="M214" s="60">
        <v>135.88</v>
      </c>
      <c r="N214" s="60">
        <v>135.88</v>
      </c>
      <c r="O214" s="32">
        <v>1307</v>
      </c>
      <c r="P214" s="50">
        <v>1E-4</v>
      </c>
      <c r="Q214" s="50">
        <v>1.18E-2</v>
      </c>
      <c r="R214" s="57">
        <f t="shared" si="113"/>
        <v>3.2198021397379428E-2</v>
      </c>
      <c r="S214" s="57">
        <f t="shared" si="114"/>
        <v>7.359976448068672E-5</v>
      </c>
      <c r="T214" s="57">
        <f t="shared" si="115"/>
        <v>3.8402457757296467E-3</v>
      </c>
      <c r="U214" s="57">
        <f t="shared" si="116"/>
        <v>-1.9999999999999998E-4</v>
      </c>
      <c r="V214" s="58">
        <f t="shared" si="117"/>
        <v>9.9999999999999395E-5</v>
      </c>
    </row>
    <row r="215" spans="1:22">
      <c r="A215" s="135">
        <v>183</v>
      </c>
      <c r="B215" s="133" t="s">
        <v>248</v>
      </c>
      <c r="C215" s="134" t="s">
        <v>52</v>
      </c>
      <c r="D215" s="29">
        <v>4074208881.9299998</v>
      </c>
      <c r="E215" s="30">
        <f t="shared" si="123"/>
        <v>7.2257854997983387E-2</v>
      </c>
      <c r="F215" s="60">
        <v>1.2506999999999999</v>
      </c>
      <c r="G215" s="60">
        <v>1.2506999999999999</v>
      </c>
      <c r="H215" s="32">
        <v>1536</v>
      </c>
      <c r="I215" s="50">
        <v>0.1193</v>
      </c>
      <c r="J215" s="50">
        <v>9.9199999999999997E-2</v>
      </c>
      <c r="K215" s="29">
        <v>4084187448.3000002</v>
      </c>
      <c r="L215" s="30">
        <f t="shared" si="112"/>
        <v>7.1537102949888604E-2</v>
      </c>
      <c r="M215" s="60">
        <v>1.2535000000000001</v>
      </c>
      <c r="N215" s="60">
        <v>1.2535000000000001</v>
      </c>
      <c r="O215" s="32">
        <v>1552</v>
      </c>
      <c r="P215" s="50">
        <v>0.1237</v>
      </c>
      <c r="Q215" s="50">
        <v>0.1007</v>
      </c>
      <c r="R215" s="57">
        <f t="shared" si="113"/>
        <v>2.4492034304518526E-3</v>
      </c>
      <c r="S215" s="57">
        <f t="shared" si="114"/>
        <v>2.2387463020709488E-3</v>
      </c>
      <c r="T215" s="57">
        <f t="shared" si="115"/>
        <v>1.0416666666666666E-2</v>
      </c>
      <c r="U215" s="57">
        <f t="shared" si="116"/>
        <v>4.4000000000000011E-3</v>
      </c>
      <c r="V215" s="58">
        <f t="shared" si="117"/>
        <v>1.5000000000000013E-3</v>
      </c>
    </row>
    <row r="216" spans="1:22" ht="6" customHeight="1">
      <c r="A216" s="36"/>
      <c r="B216" s="177"/>
      <c r="C216" s="177"/>
      <c r="D216" s="177"/>
      <c r="E216" s="177"/>
      <c r="F216" s="177"/>
      <c r="G216" s="177"/>
      <c r="H216" s="177"/>
      <c r="I216" s="177"/>
      <c r="J216" s="177"/>
      <c r="K216" s="177"/>
      <c r="L216" s="177"/>
      <c r="M216" s="177"/>
      <c r="N216" s="177"/>
      <c r="O216" s="177"/>
      <c r="P216" s="177"/>
      <c r="Q216" s="177"/>
      <c r="R216" s="177"/>
      <c r="S216" s="177"/>
      <c r="T216" s="177"/>
      <c r="U216" s="177"/>
      <c r="V216" s="177"/>
    </row>
    <row r="217" spans="1:22">
      <c r="A217" s="181" t="s">
        <v>249</v>
      </c>
      <c r="B217" s="181"/>
      <c r="C217" s="181"/>
      <c r="D217" s="181"/>
      <c r="E217" s="181"/>
      <c r="F217" s="181"/>
      <c r="G217" s="181"/>
      <c r="H217" s="181"/>
      <c r="I217" s="181"/>
      <c r="J217" s="181"/>
      <c r="K217" s="181"/>
      <c r="L217" s="181"/>
      <c r="M217" s="181"/>
      <c r="N217" s="181"/>
      <c r="O217" s="181"/>
      <c r="P217" s="181"/>
      <c r="Q217" s="181"/>
      <c r="R217" s="181"/>
      <c r="S217" s="181"/>
      <c r="T217" s="181"/>
      <c r="U217" s="181"/>
      <c r="V217" s="181"/>
    </row>
    <row r="218" spans="1:22">
      <c r="A218" s="170">
        <v>184</v>
      </c>
      <c r="B218" s="133" t="s">
        <v>250</v>
      </c>
      <c r="C218" s="134" t="s">
        <v>233</v>
      </c>
      <c r="D218" s="29">
        <v>210818057.93000001</v>
      </c>
      <c r="E218" s="30">
        <f t="shared" ref="E218" si="124">(D218/$D$220)</f>
        <v>3.7389493524559378E-3</v>
      </c>
      <c r="F218" s="35">
        <v>1079.51</v>
      </c>
      <c r="G218" s="35">
        <v>1079.51</v>
      </c>
      <c r="H218" s="32">
        <v>99</v>
      </c>
      <c r="I218" s="50">
        <v>0</v>
      </c>
      <c r="J218" s="50">
        <v>-8.3999999999999995E-3</v>
      </c>
      <c r="K218" s="29">
        <v>211036046.69</v>
      </c>
      <c r="L218" s="30">
        <f t="shared" ref="L218" si="125">(K218/$K$220)</f>
        <v>3.6964286260866785E-3</v>
      </c>
      <c r="M218" s="35">
        <v>1080.57</v>
      </c>
      <c r="N218" s="35">
        <v>1080.57</v>
      </c>
      <c r="O218" s="32">
        <v>99</v>
      </c>
      <c r="P218" s="50">
        <v>-8.3000000000000001E-3</v>
      </c>
      <c r="Q218" s="50">
        <v>-7.4999999999999997E-3</v>
      </c>
      <c r="R218" s="57">
        <f t="shared" ref="R218" si="126">((K218-D218)/D218)</f>
        <v>1.0340136994923435E-3</v>
      </c>
      <c r="S218" s="57">
        <f t="shared" ref="S218" si="127">((N218-G218)/G218)</f>
        <v>9.8192698539146975E-4</v>
      </c>
      <c r="T218" s="57">
        <f t="shared" ref="T218" si="128">((O218-H218)/H218)</f>
        <v>0</v>
      </c>
      <c r="U218" s="57">
        <f t="shared" ref="U218" si="129">P218-I218</f>
        <v>-8.3000000000000001E-3</v>
      </c>
      <c r="V218" s="58">
        <f t="shared" ref="V218" si="130">Q218-J218</f>
        <v>8.9999999999999976E-4</v>
      </c>
    </row>
    <row r="219" spans="1:22">
      <c r="A219" s="170">
        <v>185</v>
      </c>
      <c r="B219" s="133" t="s">
        <v>295</v>
      </c>
      <c r="C219" s="134" t="s">
        <v>296</v>
      </c>
      <c r="D219" s="29">
        <v>48901476.584246598</v>
      </c>
      <c r="E219" s="30">
        <f t="shared" ref="E219" si="131">(D219/$D$220)</f>
        <v>8.6728881768523942E-4</v>
      </c>
      <c r="F219" s="35">
        <v>101.22</v>
      </c>
      <c r="G219" s="35">
        <v>103.3</v>
      </c>
      <c r="H219" s="32">
        <v>153</v>
      </c>
      <c r="I219" s="50">
        <v>2.2599999999999999E-2</v>
      </c>
      <c r="J219" s="50">
        <v>1.29E-2</v>
      </c>
      <c r="K219" s="29">
        <v>49664874.899315096</v>
      </c>
      <c r="L219" s="30">
        <f t="shared" ref="L219" si="132">(K219/$K$220)</f>
        <v>8.699114116675745E-4</v>
      </c>
      <c r="M219" s="35">
        <v>101.38</v>
      </c>
      <c r="N219" s="35">
        <v>103.46</v>
      </c>
      <c r="O219" s="32">
        <v>160</v>
      </c>
      <c r="P219" s="50">
        <v>2.4199999999999999E-2</v>
      </c>
      <c r="Q219" s="50">
        <v>1.29E-2</v>
      </c>
      <c r="R219" s="57">
        <f t="shared" ref="R219" si="133">((K219-D219)/D219)</f>
        <v>1.5610946097983957E-2</v>
      </c>
      <c r="S219" s="57">
        <f t="shared" ref="S219" si="134">((N219-G219)/G219)</f>
        <v>1.5488867376572759E-3</v>
      </c>
      <c r="T219" s="57">
        <f t="shared" ref="T219" si="135">((O219-H219)/H219)</f>
        <v>4.5751633986928102E-2</v>
      </c>
      <c r="U219" s="57">
        <f t="shared" ref="U219" si="136">P219-I219</f>
        <v>1.6000000000000007E-3</v>
      </c>
      <c r="V219" s="58">
        <f t="shared" ref="V219" si="137">Q219-J219</f>
        <v>0</v>
      </c>
    </row>
    <row r="220" spans="1:22">
      <c r="A220" s="36"/>
      <c r="B220" s="37"/>
      <c r="C220" s="71" t="s">
        <v>53</v>
      </c>
      <c r="D220" s="48">
        <f>SUM(D199:D219)</f>
        <v>56384304267.594231</v>
      </c>
      <c r="E220" s="40">
        <f>(D220/$D$221)</f>
        <v>1.1215610309276406E-2</v>
      </c>
      <c r="F220" s="41"/>
      <c r="G220" s="74"/>
      <c r="H220" s="84">
        <f>SUM(H199:H219)</f>
        <v>31456</v>
      </c>
      <c r="I220" s="81"/>
      <c r="J220" s="81"/>
      <c r="K220" s="48">
        <f>SUM(K199:K219)</f>
        <v>57091876521.208221</v>
      </c>
      <c r="L220" s="40">
        <f>(K220/$K$221)</f>
        <v>1.1264865970186101E-2</v>
      </c>
      <c r="M220" s="41"/>
      <c r="N220" s="74"/>
      <c r="O220" s="43">
        <f>SUM(O199:O219)</f>
        <v>31529</v>
      </c>
      <c r="P220" s="81"/>
      <c r="Q220" s="81"/>
      <c r="R220" s="57">
        <f t="shared" si="113"/>
        <v>1.2549099661776869E-2</v>
      </c>
      <c r="S220" s="57" t="e">
        <f t="shared" si="114"/>
        <v>#DIV/0!</v>
      </c>
      <c r="T220" s="57">
        <f t="shared" si="115"/>
        <v>2.320701932858596E-3</v>
      </c>
      <c r="U220" s="57">
        <f t="shared" si="116"/>
        <v>0</v>
      </c>
      <c r="V220" s="58">
        <f t="shared" si="117"/>
        <v>0</v>
      </c>
    </row>
    <row r="221" spans="1:22">
      <c r="A221" s="85"/>
      <c r="B221" s="85"/>
      <c r="C221" s="86" t="s">
        <v>251</v>
      </c>
      <c r="D221" s="87">
        <f>SUM(D25,D69,D109,D149,D157,D189,D195,D220)</f>
        <v>5027305934565.0498</v>
      </c>
      <c r="E221" s="88"/>
      <c r="F221" s="88"/>
      <c r="G221" s="89"/>
      <c r="H221" s="87">
        <f>SUM(H25,H69,H109,H149,H157,H189,H195,H220)</f>
        <v>864669</v>
      </c>
      <c r="I221" s="111"/>
      <c r="J221" s="111"/>
      <c r="K221" s="87">
        <f>SUM(K25,K69,K109,K149,K157,K189,K195,K220)</f>
        <v>5068136334006.0264</v>
      </c>
      <c r="L221" s="88"/>
      <c r="M221" s="88"/>
      <c r="N221" s="89"/>
      <c r="O221" s="87">
        <f>SUM(O25,O69,O109,O149,O157,O189,O195,O220)</f>
        <v>868425</v>
      </c>
      <c r="P221" s="112"/>
      <c r="Q221" s="87"/>
      <c r="R221" s="118">
        <f t="shared" si="113"/>
        <v>8.1217256264928522E-3</v>
      </c>
      <c r="S221" s="118"/>
      <c r="T221" s="118"/>
      <c r="U221" s="118"/>
      <c r="V221" s="118"/>
    </row>
    <row r="222" spans="1:22" ht="6.75" customHeight="1">
      <c r="A222" s="36"/>
      <c r="B222" s="177"/>
      <c r="C222" s="177"/>
      <c r="D222" s="177"/>
      <c r="E222" s="177"/>
      <c r="F222" s="177"/>
      <c r="G222" s="177"/>
      <c r="H222" s="177"/>
      <c r="I222" s="177"/>
      <c r="J222" s="177"/>
      <c r="K222" s="177"/>
      <c r="L222" s="177"/>
      <c r="M222" s="177"/>
      <c r="N222" s="177"/>
      <c r="O222" s="177"/>
      <c r="P222" s="177"/>
      <c r="Q222" s="177"/>
      <c r="R222" s="177"/>
      <c r="S222" s="177"/>
      <c r="T222" s="177"/>
      <c r="U222" s="177"/>
      <c r="V222" s="37"/>
    </row>
    <row r="223" spans="1:22" ht="14.4" customHeight="1">
      <c r="A223" s="180" t="s">
        <v>252</v>
      </c>
      <c r="B223" s="180"/>
      <c r="C223" s="180"/>
      <c r="D223" s="180"/>
      <c r="E223" s="180"/>
      <c r="F223" s="180"/>
      <c r="G223" s="180"/>
      <c r="H223" s="180"/>
      <c r="I223" s="180"/>
      <c r="J223" s="180"/>
      <c r="K223" s="180"/>
      <c r="L223" s="180"/>
      <c r="M223" s="180"/>
      <c r="N223" s="180"/>
      <c r="O223" s="180"/>
      <c r="P223" s="180"/>
      <c r="Q223" s="180"/>
      <c r="R223" s="180"/>
      <c r="S223" s="180"/>
      <c r="T223" s="180"/>
      <c r="U223" s="180"/>
      <c r="V223" s="180"/>
    </row>
    <row r="224" spans="1:22" ht="14.4" customHeight="1">
      <c r="A224" s="135">
        <v>1</v>
      </c>
      <c r="B224" s="133" t="s">
        <v>253</v>
      </c>
      <c r="C224" s="134" t="s">
        <v>189</v>
      </c>
      <c r="D224" s="29">
        <v>4048844318.235446</v>
      </c>
      <c r="E224" s="30">
        <f t="shared" ref="E224" si="138">(D224/$D$220)</f>
        <v>7.1808003500762177E-2</v>
      </c>
      <c r="F224" s="35">
        <v>123.2</v>
      </c>
      <c r="G224" s="35">
        <v>123.2</v>
      </c>
      <c r="H224" s="32">
        <v>9</v>
      </c>
      <c r="I224" s="50">
        <v>0.29908324860364099</v>
      </c>
      <c r="J224" s="50">
        <v>0.23667437685870607</v>
      </c>
      <c r="K224" s="29">
        <v>4073934520.744627</v>
      </c>
      <c r="L224" s="30">
        <f>(K224/$K$226)</f>
        <v>0.27846227674302926</v>
      </c>
      <c r="M224" s="35">
        <v>123.2</v>
      </c>
      <c r="N224" s="35">
        <v>123.2</v>
      </c>
      <c r="O224" s="32">
        <v>9</v>
      </c>
      <c r="P224" s="50">
        <v>0.29724128005054862</v>
      </c>
      <c r="Q224" s="50">
        <v>0.24169495424520768</v>
      </c>
      <c r="R224" s="57">
        <f t="shared" ref="R224" si="139">((K224-D224)/D224)</f>
        <v>6.1968800322052767E-3</v>
      </c>
      <c r="S224" s="57">
        <f t="shared" ref="S224" si="140">((N224-G224)/G224)</f>
        <v>0</v>
      </c>
      <c r="T224" s="57">
        <f t="shared" ref="T224" si="141">((O224-H224)/H224)</f>
        <v>0</v>
      </c>
      <c r="U224" s="57">
        <f t="shared" ref="U224" si="142">P224-I224</f>
        <v>-1.8419685530923768E-3</v>
      </c>
      <c r="V224" s="58">
        <f t="shared" ref="V224" si="143">Q224-J224</f>
        <v>5.0205773865016068E-3</v>
      </c>
    </row>
    <row r="225" spans="1:22" ht="14.4" customHeight="1">
      <c r="A225" s="135">
        <v>2</v>
      </c>
      <c r="B225" s="133" t="s">
        <v>302</v>
      </c>
      <c r="C225" s="134" t="s">
        <v>41</v>
      </c>
      <c r="D225" s="29">
        <v>11422852081.67</v>
      </c>
      <c r="E225" s="30">
        <f t="shared" ref="E225" si="144">(D225/$D$220)</f>
        <v>0.2025892175144752</v>
      </c>
      <c r="F225" s="35">
        <v>1.1000000000000001</v>
      </c>
      <c r="G225" s="35">
        <v>1.1000000000000001</v>
      </c>
      <c r="H225" s="32">
        <v>16</v>
      </c>
      <c r="I225" s="50">
        <v>3.5999999999999999E-3</v>
      </c>
      <c r="J225" s="50">
        <v>0.2056</v>
      </c>
      <c r="K225" s="29">
        <v>10556178284.459999</v>
      </c>
      <c r="L225" s="30">
        <f>(K225/$K$226)</f>
        <v>0.72153772325697074</v>
      </c>
      <c r="M225" s="35">
        <v>1.01</v>
      </c>
      <c r="N225" s="35">
        <v>1.01</v>
      </c>
      <c r="O225" s="32">
        <v>16</v>
      </c>
      <c r="P225" s="50">
        <v>-8.0199999999999994E-2</v>
      </c>
      <c r="Q225" s="50">
        <v>-9.4399999999999998E-2</v>
      </c>
      <c r="R225" s="57">
        <f t="shared" ref="R225:R226" si="145">((K225-D225)/D225)</f>
        <v>-7.5871926819461616E-2</v>
      </c>
      <c r="S225" s="57">
        <f t="shared" ref="S225" si="146">((N225-G225)/G225)</f>
        <v>-8.1818181818181887E-2</v>
      </c>
      <c r="T225" s="57">
        <f t="shared" ref="T225" si="147">((O225-H225)/H225)</f>
        <v>0</v>
      </c>
      <c r="U225" s="57">
        <f t="shared" ref="U225" si="148">P225-I225</f>
        <v>-8.3799999999999999E-2</v>
      </c>
      <c r="V225" s="58">
        <f t="shared" ref="V225" si="149">Q225-J225</f>
        <v>-0.3</v>
      </c>
    </row>
    <row r="226" spans="1:22" ht="14.4" customHeight="1">
      <c r="A226" s="90"/>
      <c r="B226" s="90"/>
      <c r="C226" s="90" t="s">
        <v>53</v>
      </c>
      <c r="D226" s="90">
        <f>SUM(D224:D225)</f>
        <v>15471696399.905445</v>
      </c>
      <c r="E226" s="90"/>
      <c r="F226" s="90"/>
      <c r="G226" s="90"/>
      <c r="H226" s="90">
        <f>SUM(H224:H225)</f>
        <v>25</v>
      </c>
      <c r="I226" s="90"/>
      <c r="J226" s="90"/>
      <c r="K226" s="90">
        <f>SUM(K224:K225)</f>
        <v>14630112805.204626</v>
      </c>
      <c r="L226" s="40"/>
      <c r="M226" s="90"/>
      <c r="N226" s="90"/>
      <c r="O226" s="90">
        <f>SUM(O224:O225)</f>
        <v>25</v>
      </c>
      <c r="P226" s="90"/>
      <c r="Q226" s="90"/>
      <c r="R226" s="118">
        <f t="shared" si="145"/>
        <v>-5.4395043242056011E-2</v>
      </c>
      <c r="S226" s="90"/>
      <c r="T226" s="90"/>
      <c r="U226" s="90"/>
      <c r="V226" s="90"/>
    </row>
    <row r="227" spans="1:22" ht="6" customHeight="1">
      <c r="A227" s="36"/>
      <c r="B227" s="137"/>
      <c r="C227" s="71"/>
      <c r="D227" s="137"/>
      <c r="E227" s="137"/>
      <c r="F227" s="137"/>
      <c r="G227" s="137"/>
      <c r="H227" s="137"/>
      <c r="I227" s="137"/>
      <c r="J227" s="137"/>
      <c r="K227" s="137"/>
      <c r="L227" s="137"/>
      <c r="M227" s="137"/>
      <c r="N227" s="137"/>
      <c r="O227" s="137"/>
      <c r="P227" s="137"/>
      <c r="Q227" s="137"/>
      <c r="R227" s="137"/>
      <c r="S227" s="137"/>
      <c r="T227" s="137"/>
      <c r="U227" s="137"/>
      <c r="V227" s="37"/>
    </row>
    <row r="228" spans="1:22" ht="15.6">
      <c r="A228" s="180" t="s">
        <v>254</v>
      </c>
      <c r="B228" s="180"/>
      <c r="C228" s="180"/>
      <c r="D228" s="180"/>
      <c r="E228" s="180"/>
      <c r="F228" s="180"/>
      <c r="G228" s="180"/>
      <c r="H228" s="180"/>
      <c r="I228" s="180"/>
      <c r="J228" s="180"/>
      <c r="K228" s="180"/>
      <c r="L228" s="180"/>
      <c r="M228" s="180"/>
      <c r="N228" s="180"/>
      <c r="O228" s="180"/>
      <c r="P228" s="180"/>
      <c r="Q228" s="180"/>
      <c r="R228" s="180"/>
      <c r="S228" s="180"/>
      <c r="T228" s="180"/>
      <c r="U228" s="180"/>
      <c r="V228" s="180"/>
    </row>
    <row r="229" spans="1:22">
      <c r="A229" s="135">
        <v>1</v>
      </c>
      <c r="B229" s="133" t="s">
        <v>255</v>
      </c>
      <c r="C229" s="134" t="s">
        <v>256</v>
      </c>
      <c r="D229" s="29">
        <v>117431274879</v>
      </c>
      <c r="E229" s="30">
        <f>(D229/$D$231)</f>
        <v>0.89753391886077161</v>
      </c>
      <c r="F229" s="60">
        <v>111.28</v>
      </c>
      <c r="G229" s="60">
        <v>111.28</v>
      </c>
      <c r="H229" s="32">
        <v>0</v>
      </c>
      <c r="I229" s="50">
        <v>0.23899999999999999</v>
      </c>
      <c r="J229" s="50">
        <v>0.23899999999999999</v>
      </c>
      <c r="K229" s="29">
        <v>117431274879</v>
      </c>
      <c r="L229" s="30">
        <f>(K229/$K$231)</f>
        <v>0.89730961667822029</v>
      </c>
      <c r="M229" s="60">
        <v>111.28</v>
      </c>
      <c r="N229" s="60">
        <v>111.28</v>
      </c>
      <c r="O229" s="32">
        <v>0</v>
      </c>
      <c r="P229" s="50">
        <v>0.23899999999999999</v>
      </c>
      <c r="Q229" s="50">
        <v>0.23899999999999999</v>
      </c>
      <c r="R229" s="57">
        <f>((K229-D229)/D229)</f>
        <v>0</v>
      </c>
      <c r="S229" s="57">
        <f>((N229-G229)/G229)</f>
        <v>0</v>
      </c>
      <c r="T229" s="57" t="e">
        <f>((O229-H229)/H229)</f>
        <v>#DIV/0!</v>
      </c>
      <c r="U229" s="57">
        <f>P229-I229</f>
        <v>0</v>
      </c>
      <c r="V229" s="58">
        <f>Q229-J229</f>
        <v>0</v>
      </c>
    </row>
    <row r="230" spans="1:22">
      <c r="A230" s="135">
        <v>2</v>
      </c>
      <c r="B230" s="133" t="s">
        <v>257</v>
      </c>
      <c r="C230" s="134" t="s">
        <v>52</v>
      </c>
      <c r="D230" s="29">
        <v>13406426528.49</v>
      </c>
      <c r="E230" s="30">
        <f>(D230/$D$231)</f>
        <v>0.10246608113922834</v>
      </c>
      <c r="F230" s="91">
        <v>1000000</v>
      </c>
      <c r="G230" s="91">
        <v>1000000</v>
      </c>
      <c r="H230" s="32">
        <v>26</v>
      </c>
      <c r="I230" s="50">
        <v>0.2031</v>
      </c>
      <c r="J230" s="50">
        <v>0.2031</v>
      </c>
      <c r="K230" s="29">
        <v>13439132276.25</v>
      </c>
      <c r="L230" s="30">
        <f>(K230/$K$231)</f>
        <v>0.10269038332177967</v>
      </c>
      <c r="M230" s="91">
        <v>1000000</v>
      </c>
      <c r="N230" s="91">
        <v>1000000</v>
      </c>
      <c r="O230" s="32">
        <v>26</v>
      </c>
      <c r="P230" s="50">
        <v>0.19689999999999999</v>
      </c>
      <c r="Q230" s="50">
        <v>0.19689999999999999</v>
      </c>
      <c r="R230" s="57">
        <f>((K230-D230)/D230)</f>
        <v>2.4395574533226461E-3</v>
      </c>
      <c r="S230" s="57">
        <f>((N230-G230)/G230)</f>
        <v>0</v>
      </c>
      <c r="T230" s="57">
        <f>((O230-H230)/H230)</f>
        <v>0</v>
      </c>
      <c r="U230" s="57">
        <f>P230-I230</f>
        <v>-6.2000000000000111E-3</v>
      </c>
      <c r="V230" s="58">
        <f>Q230-J230</f>
        <v>-6.2000000000000111E-3</v>
      </c>
    </row>
    <row r="231" spans="1:22">
      <c r="A231" s="85"/>
      <c r="B231" s="85"/>
      <c r="C231" s="86" t="s">
        <v>258</v>
      </c>
      <c r="D231" s="90">
        <f>SUM(D229:D230)</f>
        <v>130837701407.49001</v>
      </c>
      <c r="E231" s="92"/>
      <c r="F231" s="93"/>
      <c r="G231" s="93"/>
      <c r="H231" s="90">
        <f>SUM(H229:H230)</f>
        <v>26</v>
      </c>
      <c r="I231" s="113"/>
      <c r="J231" s="113"/>
      <c r="K231" s="90">
        <f>SUM(K229:K230)</f>
        <v>130870407155.25</v>
      </c>
      <c r="L231" s="92"/>
      <c r="M231" s="93"/>
      <c r="N231" s="93"/>
      <c r="O231" s="90">
        <f>SUM(O229:O230)</f>
        <v>26</v>
      </c>
      <c r="P231" s="113"/>
      <c r="Q231" s="90"/>
      <c r="R231" s="118">
        <f>((K231-D231)/D231)</f>
        <v>2.4997189195592376E-4</v>
      </c>
      <c r="S231" s="119"/>
      <c r="T231" s="119"/>
      <c r="U231" s="118"/>
      <c r="V231" s="120"/>
    </row>
    <row r="232" spans="1:22" ht="4.5" customHeight="1">
      <c r="A232" s="36"/>
      <c r="B232" s="182"/>
      <c r="C232" s="182"/>
      <c r="D232" s="182"/>
      <c r="E232" s="182"/>
      <c r="F232" s="182"/>
      <c r="G232" s="182"/>
      <c r="H232" s="182"/>
      <c r="I232" s="182"/>
      <c r="J232" s="182"/>
      <c r="K232" s="182"/>
      <c r="L232" s="182"/>
      <c r="M232" s="182"/>
      <c r="N232" s="182"/>
      <c r="O232" s="182"/>
      <c r="P232" s="182"/>
      <c r="Q232" s="182"/>
      <c r="R232" s="182"/>
      <c r="S232" s="182"/>
      <c r="T232" s="182"/>
      <c r="U232" s="182"/>
      <c r="V232" s="182"/>
    </row>
    <row r="233" spans="1:22" ht="15.6">
      <c r="A233" s="180" t="s">
        <v>259</v>
      </c>
      <c r="B233" s="180"/>
      <c r="C233" s="180"/>
      <c r="D233" s="180"/>
      <c r="E233" s="180"/>
      <c r="F233" s="180"/>
      <c r="G233" s="180"/>
      <c r="H233" s="180"/>
      <c r="I233" s="180"/>
      <c r="J233" s="180"/>
      <c r="K233" s="180"/>
      <c r="L233" s="180"/>
      <c r="M233" s="180"/>
      <c r="N233" s="180"/>
      <c r="O233" s="180"/>
      <c r="P233" s="180"/>
      <c r="Q233" s="180"/>
      <c r="R233" s="180"/>
      <c r="S233" s="180"/>
      <c r="T233" s="180"/>
      <c r="U233" s="180"/>
      <c r="V233" s="180"/>
    </row>
    <row r="234" spans="1:22">
      <c r="A234" s="135">
        <v>1</v>
      </c>
      <c r="B234" s="133" t="s">
        <v>260</v>
      </c>
      <c r="C234" s="134" t="s">
        <v>82</v>
      </c>
      <c r="D234" s="94">
        <v>1038625754.02</v>
      </c>
      <c r="E234" s="95">
        <f t="shared" ref="E234:E245" si="150">(D234/$D$246)</f>
        <v>7.794365850434784E-2</v>
      </c>
      <c r="F234" s="91">
        <v>253.78</v>
      </c>
      <c r="G234" s="91">
        <v>253.78</v>
      </c>
      <c r="H234" s="96">
        <v>254</v>
      </c>
      <c r="I234" s="52">
        <v>8.4400000000000003E-2</v>
      </c>
      <c r="J234" s="52">
        <v>0.10656666957355898</v>
      </c>
      <c r="K234" s="94">
        <v>1038625754.02</v>
      </c>
      <c r="L234" s="95">
        <f t="shared" ref="L234:L245" si="151">(K234/$K$246)</f>
        <v>7.8340920386566926E-2</v>
      </c>
      <c r="M234" s="91">
        <v>241.8597</v>
      </c>
      <c r="N234" s="91">
        <v>241.8597</v>
      </c>
      <c r="O234" s="96">
        <v>254</v>
      </c>
      <c r="P234" s="52">
        <v>-4.6970998502640082E-2</v>
      </c>
      <c r="Q234" s="52">
        <v>5.4590128193947818E-2</v>
      </c>
      <c r="R234" s="57">
        <f>((K234-D234)/D234)</f>
        <v>0</v>
      </c>
      <c r="S234" s="57">
        <f>((N234-G234)/G234)</f>
        <v>-4.6970998502640068E-2</v>
      </c>
      <c r="T234" s="57">
        <f>((O234-H234)/H234)</f>
        <v>0</v>
      </c>
      <c r="U234" s="57">
        <f>P234-I234</f>
        <v>-0.13137099850264009</v>
      </c>
      <c r="V234" s="58">
        <f>Q234-J234</f>
        <v>-5.1976541379611163E-2</v>
      </c>
    </row>
    <row r="235" spans="1:22">
      <c r="A235" s="135">
        <v>2</v>
      </c>
      <c r="B235" s="133" t="s">
        <v>261</v>
      </c>
      <c r="C235" s="134" t="s">
        <v>233</v>
      </c>
      <c r="D235" s="94">
        <v>1141776628.5899999</v>
      </c>
      <c r="E235" s="95">
        <f t="shared" si="150"/>
        <v>8.5684614773523959E-2</v>
      </c>
      <c r="F235" s="91">
        <v>32.479999999999997</v>
      </c>
      <c r="G235" s="91">
        <v>35.89</v>
      </c>
      <c r="H235" s="96">
        <v>230</v>
      </c>
      <c r="I235" s="52">
        <v>-1.26E-2</v>
      </c>
      <c r="J235" s="52">
        <v>5.8999999999999997E-2</v>
      </c>
      <c r="K235" s="94">
        <v>1141904159.54</v>
      </c>
      <c r="L235" s="95">
        <f t="shared" si="151"/>
        <v>8.6130949964764822E-2</v>
      </c>
      <c r="M235" s="91">
        <v>32.270000000000003</v>
      </c>
      <c r="N235" s="91">
        <v>34.19</v>
      </c>
      <c r="O235" s="96">
        <v>230</v>
      </c>
      <c r="P235" s="52">
        <v>1E-4</v>
      </c>
      <c r="Q235" s="52">
        <v>5.9499999999999997E-2</v>
      </c>
      <c r="R235" s="57">
        <f t="shared" ref="R235:R246" si="152">((K235-D235)/D235)</f>
        <v>1.116951834594284E-4</v>
      </c>
      <c r="S235" s="57">
        <f t="shared" ref="S235:S246" si="153">((N235-G235)/G235)</f>
        <v>-4.7366954583449507E-2</v>
      </c>
      <c r="T235" s="57">
        <f t="shared" ref="T235:T246" si="154">((O235-H235)/H235)</f>
        <v>0</v>
      </c>
      <c r="U235" s="57">
        <f t="shared" ref="U235:U246" si="155">P235-I235</f>
        <v>1.2699999999999999E-2</v>
      </c>
      <c r="V235" s="58">
        <f t="shared" ref="V235:V246" si="156">Q235-J235</f>
        <v>5.0000000000000044E-4</v>
      </c>
    </row>
    <row r="236" spans="1:22">
      <c r="A236" s="135">
        <v>3</v>
      </c>
      <c r="B236" s="133" t="s">
        <v>262</v>
      </c>
      <c r="C236" s="134" t="s">
        <v>43</v>
      </c>
      <c r="D236" s="94">
        <v>382202161.67000002</v>
      </c>
      <c r="E236" s="95">
        <f t="shared" si="150"/>
        <v>2.8682357098817307E-2</v>
      </c>
      <c r="F236" s="91">
        <v>28.516387999999999</v>
      </c>
      <c r="G236" s="91">
        <v>28.870381999999999</v>
      </c>
      <c r="H236" s="96">
        <v>167</v>
      </c>
      <c r="I236" s="52">
        <v>-1.8208580930795804E-2</v>
      </c>
      <c r="J236" s="52">
        <v>-2.8356999956286044E-3</v>
      </c>
      <c r="K236" s="94">
        <v>376502299.38</v>
      </c>
      <c r="L236" s="95">
        <f t="shared" si="151"/>
        <v>2.8398618604367858E-2</v>
      </c>
      <c r="M236" s="91">
        <v>28.091117000000001</v>
      </c>
      <c r="N236" s="91">
        <v>28.452434</v>
      </c>
      <c r="O236" s="96">
        <v>167</v>
      </c>
      <c r="P236" s="52">
        <v>-1.4913213115004265E-2</v>
      </c>
      <c r="Q236" s="52">
        <v>-1.7706623712267833E-2</v>
      </c>
      <c r="R236" s="57">
        <f t="shared" si="152"/>
        <v>-1.4913213115004256E-2</v>
      </c>
      <c r="S236" s="57">
        <f t="shared" si="153"/>
        <v>-1.4476704880454962E-2</v>
      </c>
      <c r="T236" s="57">
        <f t="shared" si="154"/>
        <v>0</v>
      </c>
      <c r="U236" s="57">
        <f t="shared" si="155"/>
        <v>3.2953678157915389E-3</v>
      </c>
      <c r="V236" s="58">
        <f t="shared" si="156"/>
        <v>-1.4870923716639228E-2</v>
      </c>
    </row>
    <row r="237" spans="1:22">
      <c r="A237" s="135">
        <v>4</v>
      </c>
      <c r="B237" s="133" t="s">
        <v>263</v>
      </c>
      <c r="C237" s="134" t="s">
        <v>43</v>
      </c>
      <c r="D237" s="94">
        <v>853080069.95000005</v>
      </c>
      <c r="E237" s="95">
        <f t="shared" si="150"/>
        <v>6.4019384645229577E-2</v>
      </c>
      <c r="F237" s="91">
        <v>64.013845000000003</v>
      </c>
      <c r="G237" s="91">
        <v>64.570018000000005</v>
      </c>
      <c r="H237" s="96">
        <v>460</v>
      </c>
      <c r="I237" s="52">
        <v>-1.0141353249639162E-2</v>
      </c>
      <c r="J237" s="52">
        <v>-3.5037703076439053E-2</v>
      </c>
      <c r="K237" s="94">
        <v>840090839.70999992</v>
      </c>
      <c r="L237" s="95">
        <f t="shared" si="151"/>
        <v>6.3365932662919455E-2</v>
      </c>
      <c r="M237" s="91">
        <v>63.04</v>
      </c>
      <c r="N237" s="91">
        <v>63.610027000000002</v>
      </c>
      <c r="O237" s="96">
        <v>460</v>
      </c>
      <c r="P237" s="52">
        <v>-1.5226273239229982E-2</v>
      </c>
      <c r="Q237" s="52">
        <v>-4.973048267495217E-2</v>
      </c>
      <c r="R237" s="57">
        <f t="shared" si="152"/>
        <v>-1.5226273239229985E-2</v>
      </c>
      <c r="S237" s="57">
        <f t="shared" si="153"/>
        <v>-1.4867442037882074E-2</v>
      </c>
      <c r="T237" s="57">
        <f t="shared" si="154"/>
        <v>0</v>
      </c>
      <c r="U237" s="57">
        <f t="shared" si="155"/>
        <v>-5.0849199895908193E-3</v>
      </c>
      <c r="V237" s="58">
        <f t="shared" si="156"/>
        <v>-1.4692779598513117E-2</v>
      </c>
    </row>
    <row r="238" spans="1:22">
      <c r="A238" s="135">
        <v>5</v>
      </c>
      <c r="B238" s="133" t="s">
        <v>264</v>
      </c>
      <c r="C238" s="134" t="s">
        <v>265</v>
      </c>
      <c r="D238" s="94">
        <v>1632684072.26</v>
      </c>
      <c r="E238" s="95">
        <f t="shared" si="150"/>
        <v>0.12252475858717338</v>
      </c>
      <c r="F238" s="91">
        <v>47100</v>
      </c>
      <c r="G238" s="91">
        <v>49900</v>
      </c>
      <c r="H238" s="96">
        <v>228</v>
      </c>
      <c r="I238" s="52">
        <v>0.113</v>
      </c>
      <c r="J238" s="52">
        <v>0.3</v>
      </c>
      <c r="K238" s="94">
        <v>1652138946.6300001</v>
      </c>
      <c r="L238" s="95">
        <f t="shared" si="151"/>
        <v>0.12461667273753646</v>
      </c>
      <c r="M238" s="91">
        <v>49600</v>
      </c>
      <c r="N238" s="91">
        <v>52750</v>
      </c>
      <c r="O238" s="96">
        <v>228</v>
      </c>
      <c r="P238" s="52">
        <v>1.2E-2</v>
      </c>
      <c r="Q238" s="52">
        <v>0.31</v>
      </c>
      <c r="R238" s="57">
        <f t="shared" si="152"/>
        <v>1.1915884218231042E-2</v>
      </c>
      <c r="S238" s="57">
        <f t="shared" si="153"/>
        <v>5.7114228456913829E-2</v>
      </c>
      <c r="T238" s="57">
        <f t="shared" si="154"/>
        <v>0</v>
      </c>
      <c r="U238" s="57">
        <f t="shared" si="155"/>
        <v>-0.10100000000000001</v>
      </c>
      <c r="V238" s="58">
        <f t="shared" si="156"/>
        <v>1.0000000000000009E-2</v>
      </c>
    </row>
    <row r="239" spans="1:22">
      <c r="A239" s="135">
        <v>6</v>
      </c>
      <c r="B239" s="133" t="s">
        <v>266</v>
      </c>
      <c r="C239" s="134" t="s">
        <v>267</v>
      </c>
      <c r="D239" s="94">
        <v>1025851000.87</v>
      </c>
      <c r="E239" s="95">
        <f t="shared" si="150"/>
        <v>7.698497729203721E-2</v>
      </c>
      <c r="F239" s="91">
        <v>312</v>
      </c>
      <c r="G239" s="91">
        <v>312</v>
      </c>
      <c r="H239" s="96">
        <v>141</v>
      </c>
      <c r="I239" s="52">
        <v>-1.3599999999999999E-2</v>
      </c>
      <c r="J239" s="52">
        <v>6.0499999999999998E-2</v>
      </c>
      <c r="K239" s="94">
        <v>1002215901.53</v>
      </c>
      <c r="L239" s="95">
        <f t="shared" si="151"/>
        <v>7.5594617067815589E-2</v>
      </c>
      <c r="M239" s="91">
        <v>300</v>
      </c>
      <c r="N239" s="91">
        <v>300</v>
      </c>
      <c r="O239" s="96">
        <v>141</v>
      </c>
      <c r="P239" s="52">
        <v>-2.3E-2</v>
      </c>
      <c r="Q239" s="52">
        <v>3.6600000000000001E-2</v>
      </c>
      <c r="R239" s="57">
        <f t="shared" si="152"/>
        <v>-2.3039505074280441E-2</v>
      </c>
      <c r="S239" s="57">
        <f t="shared" si="153"/>
        <v>-3.8461538461538464E-2</v>
      </c>
      <c r="T239" s="57">
        <f t="shared" si="154"/>
        <v>0</v>
      </c>
      <c r="U239" s="57">
        <f t="shared" si="155"/>
        <v>-9.4000000000000004E-3</v>
      </c>
      <c r="V239" s="58">
        <f t="shared" si="156"/>
        <v>-2.3899999999999998E-2</v>
      </c>
    </row>
    <row r="240" spans="1:22">
      <c r="A240" s="135">
        <v>7</v>
      </c>
      <c r="B240" s="133" t="s">
        <v>268</v>
      </c>
      <c r="C240" s="134" t="s">
        <v>267</v>
      </c>
      <c r="D240" s="94">
        <v>853824201.39999998</v>
      </c>
      <c r="E240" s="95">
        <f t="shared" si="150"/>
        <v>6.4075227981866129E-2</v>
      </c>
      <c r="F240" s="91">
        <v>315</v>
      </c>
      <c r="G240" s="91">
        <v>315</v>
      </c>
      <c r="H240" s="96">
        <v>630</v>
      </c>
      <c r="I240" s="52">
        <v>6.9999999999999999E-4</v>
      </c>
      <c r="J240" s="52">
        <v>2.8799999999999999E-2</v>
      </c>
      <c r="K240" s="94">
        <v>851527066.5</v>
      </c>
      <c r="L240" s="95">
        <f t="shared" si="151"/>
        <v>6.4228538398441073E-2</v>
      </c>
      <c r="M240" s="91">
        <v>300</v>
      </c>
      <c r="N240" s="91">
        <v>300</v>
      </c>
      <c r="O240" s="96">
        <v>630</v>
      </c>
      <c r="P240" s="52">
        <v>-2.7000000000000001E-3</v>
      </c>
      <c r="Q240" s="52">
        <v>1.7399999999999999E-2</v>
      </c>
      <c r="R240" s="57">
        <f t="shared" si="152"/>
        <v>-2.6904073417378027E-3</v>
      </c>
      <c r="S240" s="57">
        <f t="shared" si="153"/>
        <v>-4.7619047619047616E-2</v>
      </c>
      <c r="T240" s="57">
        <f t="shared" si="154"/>
        <v>0</v>
      </c>
      <c r="U240" s="57">
        <f t="shared" si="155"/>
        <v>-3.4000000000000002E-3</v>
      </c>
      <c r="V240" s="58">
        <f t="shared" si="156"/>
        <v>-1.14E-2</v>
      </c>
    </row>
    <row r="241" spans="1:26">
      <c r="A241" s="135">
        <v>8</v>
      </c>
      <c r="B241" s="133" t="s">
        <v>269</v>
      </c>
      <c r="C241" s="134" t="s">
        <v>270</v>
      </c>
      <c r="D241" s="94">
        <v>62447259.399999999</v>
      </c>
      <c r="E241" s="95">
        <f t="shared" si="150"/>
        <v>4.686353907908487E-3</v>
      </c>
      <c r="F241" s="91">
        <v>17.829999999999998</v>
      </c>
      <c r="G241" s="91">
        <v>17.93</v>
      </c>
      <c r="H241" s="96">
        <v>84</v>
      </c>
      <c r="I241" s="52">
        <v>5.1000000000000004E-3</v>
      </c>
      <c r="J241" s="52">
        <v>0.14829999999999999</v>
      </c>
      <c r="K241" s="94">
        <v>63431569.280000001</v>
      </c>
      <c r="L241" s="95">
        <f t="shared" si="151"/>
        <v>4.7844832459871733E-3</v>
      </c>
      <c r="M241" s="91">
        <v>18.260000000000002</v>
      </c>
      <c r="N241" s="91">
        <v>18.36</v>
      </c>
      <c r="O241" s="96">
        <v>86</v>
      </c>
      <c r="P241" s="52">
        <v>5.1000000000000004E-3</v>
      </c>
      <c r="Q241" s="52">
        <v>0.15409999999999999</v>
      </c>
      <c r="R241" s="57">
        <f t="shared" si="152"/>
        <v>1.5762259055999546E-2</v>
      </c>
      <c r="S241" s="57">
        <f t="shared" si="153"/>
        <v>2.3982152816508628E-2</v>
      </c>
      <c r="T241" s="57">
        <f t="shared" si="154"/>
        <v>2.3809523809523808E-2</v>
      </c>
      <c r="U241" s="57">
        <f t="shared" si="155"/>
        <v>0</v>
      </c>
      <c r="V241" s="58">
        <f t="shared" si="156"/>
        <v>5.7999999999999996E-3</v>
      </c>
    </row>
    <row r="242" spans="1:26">
      <c r="A242" s="135">
        <v>9</v>
      </c>
      <c r="B242" s="133" t="s">
        <v>271</v>
      </c>
      <c r="C242" s="134" t="s">
        <v>270</v>
      </c>
      <c r="D242" s="97">
        <v>689127169.70000005</v>
      </c>
      <c r="E242" s="95">
        <f t="shared" si="150"/>
        <v>5.1715541014911381E-2</v>
      </c>
      <c r="F242" s="91">
        <v>11.32</v>
      </c>
      <c r="G242" s="91">
        <v>11.42</v>
      </c>
      <c r="H242" s="96">
        <v>127</v>
      </c>
      <c r="I242" s="52">
        <v>-8.0000000000000004E-4</v>
      </c>
      <c r="J242" s="52">
        <v>0.16420000000000001</v>
      </c>
      <c r="K242" s="97">
        <v>657755127.46000004</v>
      </c>
      <c r="L242" s="95">
        <f t="shared" si="151"/>
        <v>4.9612809883402706E-2</v>
      </c>
      <c r="M242" s="91">
        <v>10.7</v>
      </c>
      <c r="N242" s="91">
        <v>10.8</v>
      </c>
      <c r="O242" s="96">
        <v>128</v>
      </c>
      <c r="P242" s="52">
        <v>8.0000000000000004E-4</v>
      </c>
      <c r="Q242" s="52">
        <v>0.1651</v>
      </c>
      <c r="R242" s="57">
        <f t="shared" si="152"/>
        <v>-4.5524314842581667E-2</v>
      </c>
      <c r="S242" s="57">
        <f t="shared" si="153"/>
        <v>-5.4290718038528828E-2</v>
      </c>
      <c r="T242" s="57">
        <f t="shared" si="154"/>
        <v>7.874015748031496E-3</v>
      </c>
      <c r="U242" s="57">
        <f t="shared" si="155"/>
        <v>1.6000000000000001E-3</v>
      </c>
      <c r="V242" s="58">
        <f t="shared" si="156"/>
        <v>8.9999999999998415E-4</v>
      </c>
    </row>
    <row r="243" spans="1:26" ht="15" customHeight="1">
      <c r="A243" s="135">
        <v>10</v>
      </c>
      <c r="B243" s="133" t="s">
        <v>272</v>
      </c>
      <c r="C243" s="134" t="s">
        <v>270</v>
      </c>
      <c r="D243" s="94">
        <v>97591094.689999998</v>
      </c>
      <c r="E243" s="95">
        <f t="shared" si="150"/>
        <v>7.3237226480678619E-3</v>
      </c>
      <c r="F243" s="91">
        <v>133.41</v>
      </c>
      <c r="G243" s="91">
        <v>135.41</v>
      </c>
      <c r="H243" s="96">
        <v>304</v>
      </c>
      <c r="I243" s="52">
        <v>3.5499999999999997E-2</v>
      </c>
      <c r="J243" s="52">
        <v>-3.4099999999999998E-2</v>
      </c>
      <c r="K243" s="94">
        <v>94633506.75</v>
      </c>
      <c r="L243" s="95">
        <f t="shared" si="151"/>
        <v>7.1379666732783852E-3</v>
      </c>
      <c r="M243" s="91">
        <v>129.33000000000001</v>
      </c>
      <c r="N243" s="91">
        <v>131.33000000000001</v>
      </c>
      <c r="O243" s="96">
        <v>303</v>
      </c>
      <c r="P243" s="52">
        <v>0.26769999999999999</v>
      </c>
      <c r="Q243" s="52">
        <v>0.22439999999999999</v>
      </c>
      <c r="R243" s="57">
        <f t="shared" si="152"/>
        <v>-3.0305920323927434E-2</v>
      </c>
      <c r="S243" s="57">
        <f t="shared" si="153"/>
        <v>-3.0130714127464622E-2</v>
      </c>
      <c r="T243" s="57">
        <f t="shared" si="154"/>
        <v>-3.2894736842105261E-3</v>
      </c>
      <c r="U243" s="57">
        <f t="shared" si="155"/>
        <v>0.23219999999999999</v>
      </c>
      <c r="V243" s="58">
        <f t="shared" si="156"/>
        <v>0.25850000000000001</v>
      </c>
    </row>
    <row r="244" spans="1:26">
      <c r="A244" s="135">
        <v>11</v>
      </c>
      <c r="B244" s="133" t="s">
        <v>273</v>
      </c>
      <c r="C244" s="134" t="s">
        <v>270</v>
      </c>
      <c r="D244" s="94">
        <v>5487170609.4499998</v>
      </c>
      <c r="E244" s="95">
        <f t="shared" si="150"/>
        <v>0.41178465918324353</v>
      </c>
      <c r="F244" s="91">
        <v>39.04</v>
      </c>
      <c r="G244" s="91">
        <v>39.24</v>
      </c>
      <c r="H244" s="96">
        <v>288</v>
      </c>
      <c r="I244" s="52">
        <v>-4.2900000000000001E-2</v>
      </c>
      <c r="J244" s="52">
        <v>6.9099999999999995E-2</v>
      </c>
      <c r="K244" s="94">
        <v>5478088565.1099997</v>
      </c>
      <c r="L244" s="95">
        <f t="shared" si="151"/>
        <v>0.41319840037548422</v>
      </c>
      <c r="M244" s="91">
        <v>38.880000000000003</v>
      </c>
      <c r="N244" s="91">
        <v>39.08</v>
      </c>
      <c r="O244" s="96">
        <v>296</v>
      </c>
      <c r="P244" s="52">
        <v>0</v>
      </c>
      <c r="Q244" s="52">
        <v>6.9099999999999995E-2</v>
      </c>
      <c r="R244" s="57">
        <f t="shared" si="152"/>
        <v>-1.6551415996358971E-3</v>
      </c>
      <c r="S244" s="57">
        <f t="shared" si="153"/>
        <v>-4.0774719673803183E-3</v>
      </c>
      <c r="T244" s="57">
        <f t="shared" si="154"/>
        <v>2.7777777777777776E-2</v>
      </c>
      <c r="U244" s="57">
        <f t="shared" si="155"/>
        <v>4.2900000000000001E-2</v>
      </c>
      <c r="V244" s="58">
        <f t="shared" si="156"/>
        <v>0</v>
      </c>
    </row>
    <row r="245" spans="1:26">
      <c r="A245" s="135">
        <v>12</v>
      </c>
      <c r="B245" s="133" t="s">
        <v>274</v>
      </c>
      <c r="C245" s="134" t="s">
        <v>270</v>
      </c>
      <c r="D245" s="97">
        <v>60960024.259999998</v>
      </c>
      <c r="E245" s="95">
        <f t="shared" si="150"/>
        <v>4.5747443628734678E-3</v>
      </c>
      <c r="F245" s="91">
        <v>34.630000000000003</v>
      </c>
      <c r="G245" s="91">
        <v>34.83</v>
      </c>
      <c r="H245" s="96">
        <v>73</v>
      </c>
      <c r="I245" s="52">
        <v>0</v>
      </c>
      <c r="J245" s="52">
        <v>-4.4200000000000003E-2</v>
      </c>
      <c r="K245" s="97">
        <v>60854348.700000003</v>
      </c>
      <c r="L245" s="95">
        <f t="shared" si="151"/>
        <v>4.5900899994352354E-3</v>
      </c>
      <c r="M245" s="91">
        <v>34.630000000000003</v>
      </c>
      <c r="N245" s="91">
        <v>34.83</v>
      </c>
      <c r="O245" s="96">
        <v>76</v>
      </c>
      <c r="P245" s="52">
        <v>2.8799999999999999E-2</v>
      </c>
      <c r="Q245" s="52">
        <v>-1.67E-2</v>
      </c>
      <c r="R245" s="57">
        <f t="shared" si="152"/>
        <v>-1.7335222759964652E-3</v>
      </c>
      <c r="S245" s="57">
        <f t="shared" si="153"/>
        <v>0</v>
      </c>
      <c r="T245" s="57">
        <f t="shared" si="154"/>
        <v>4.1095890410958902E-2</v>
      </c>
      <c r="U245" s="57">
        <f t="shared" si="155"/>
        <v>2.8799999999999999E-2</v>
      </c>
      <c r="V245" s="58">
        <f t="shared" si="156"/>
        <v>2.7500000000000004E-2</v>
      </c>
    </row>
    <row r="246" spans="1:26">
      <c r="A246" s="130"/>
      <c r="B246" s="130"/>
      <c r="C246" s="131" t="s">
        <v>275</v>
      </c>
      <c r="D246" s="90">
        <f>SUM(D234:D245)</f>
        <v>13325340046.259998</v>
      </c>
      <c r="E246" s="92"/>
      <c r="F246" s="92"/>
      <c r="G246" s="93"/>
      <c r="H246" s="90">
        <f>SUM(H234:H245)</f>
        <v>2986</v>
      </c>
      <c r="I246" s="113"/>
      <c r="J246" s="113"/>
      <c r="K246" s="90">
        <f>SUM(K234:K245)</f>
        <v>13257768084.610001</v>
      </c>
      <c r="L246" s="92"/>
      <c r="M246" s="92"/>
      <c r="N246" s="93"/>
      <c r="O246" s="90">
        <f>SUM(O234:O245)</f>
        <v>2999</v>
      </c>
      <c r="P246" s="113"/>
      <c r="Q246" s="113"/>
      <c r="R246" s="57">
        <f t="shared" si="152"/>
        <v>-5.0709371329674263E-3</v>
      </c>
      <c r="S246" s="57" t="e">
        <f t="shared" si="153"/>
        <v>#DIV/0!</v>
      </c>
      <c r="T246" s="57">
        <f t="shared" si="154"/>
        <v>4.3536503683858007E-3</v>
      </c>
      <c r="U246" s="57">
        <f t="shared" si="155"/>
        <v>0</v>
      </c>
      <c r="V246" s="58">
        <f t="shared" si="156"/>
        <v>0</v>
      </c>
      <c r="Z246" s="65"/>
    </row>
    <row r="247" spans="1:26">
      <c r="A247" s="98"/>
      <c r="B247" s="98"/>
      <c r="C247" s="99" t="s">
        <v>276</v>
      </c>
      <c r="D247" s="100">
        <f>SUM(D221,D226,D231,D246)</f>
        <v>5186940672418.7051</v>
      </c>
      <c r="E247" s="101"/>
      <c r="F247" s="101"/>
      <c r="G247" s="102"/>
      <c r="H247" s="100">
        <f>SUM(H221,H226,H231,H246)</f>
        <v>867706</v>
      </c>
      <c r="I247" s="114"/>
      <c r="J247" s="114"/>
      <c r="K247" s="100">
        <f>SUM(K221,K226,K231,K246)</f>
        <v>5226894622051.0918</v>
      </c>
      <c r="L247" s="101"/>
      <c r="M247" s="101"/>
      <c r="N247" s="100"/>
      <c r="O247" s="100">
        <f>SUM(O221,O226,O231,O246)</f>
        <v>871475</v>
      </c>
      <c r="P247" s="115"/>
      <c r="Q247" s="100"/>
      <c r="R247" s="121"/>
      <c r="S247" s="122"/>
      <c r="T247" s="122"/>
      <c r="U247" s="123"/>
      <c r="V247" s="123"/>
      <c r="Z247" s="65"/>
    </row>
    <row r="248" spans="1:26">
      <c r="A248" s="103" t="s">
        <v>277</v>
      </c>
      <c r="B248" s="128" t="s">
        <v>315</v>
      </c>
      <c r="C248" s="104"/>
      <c r="D248" s="104"/>
      <c r="E248" s="104"/>
      <c r="F248" s="104"/>
      <c r="G248" s="104"/>
      <c r="H248" s="104"/>
      <c r="I248" s="104"/>
      <c r="J248" s="104"/>
      <c r="K248" s="104"/>
      <c r="L248" s="104"/>
      <c r="M248" s="104"/>
      <c r="N248" s="104"/>
      <c r="O248" s="104"/>
      <c r="P248" s="104"/>
      <c r="Q248" s="104"/>
      <c r="R248" s="104"/>
      <c r="S248" s="104"/>
      <c r="T248" s="104"/>
      <c r="U248" s="104"/>
      <c r="V248" s="104"/>
    </row>
    <row r="249" spans="1:26">
      <c r="B249" s="127"/>
    </row>
    <row r="250" spans="1:26">
      <c r="B250" s="127"/>
      <c r="C250" s="105"/>
      <c r="D250" s="106"/>
      <c r="K250" s="106"/>
    </row>
    <row r="251" spans="1:26" ht="15">
      <c r="B251" s="107"/>
      <c r="C251" s="108"/>
      <c r="D251" s="109"/>
      <c r="F251" s="110"/>
      <c r="G251" s="110"/>
      <c r="I251" s="116"/>
      <c r="J251" s="117"/>
    </row>
    <row r="254" spans="1:26">
      <c r="B254" s="105"/>
    </row>
  </sheetData>
  <sheetProtection algorithmName="SHA-512" hashValue="aout9DjMYg/5EYTZY5oE+uNWDQuHn/OC4+hrtRqqKs2U4AFJl18fc0fjgNvy3fhbf/3FtqMM+8qV78yfd4O1/Q==" saltValue="hHlmW9R83Ky+7JeoWHPLWg==" spinCount="100000" sheet="1" objects="1" scenarios="1"/>
  <sortState ref="A150:C177">
    <sortCondition descending="1" ref="A149"/>
  </sortState>
  <mergeCells count="34">
    <mergeCell ref="A223:V223"/>
    <mergeCell ref="A228:V228"/>
    <mergeCell ref="B232:V232"/>
    <mergeCell ref="A233:V233"/>
    <mergeCell ref="B201:V201"/>
    <mergeCell ref="A202:V202"/>
    <mergeCell ref="B216:V216"/>
    <mergeCell ref="A217:V217"/>
    <mergeCell ref="B222:U222"/>
    <mergeCell ref="B190:V190"/>
    <mergeCell ref="A191:V191"/>
    <mergeCell ref="B196:V196"/>
    <mergeCell ref="A197:V197"/>
    <mergeCell ref="A198:V198"/>
    <mergeCell ref="A131:V131"/>
    <mergeCell ref="B150:V150"/>
    <mergeCell ref="A151:V151"/>
    <mergeCell ref="B158:V158"/>
    <mergeCell ref="A159:V159"/>
    <mergeCell ref="A71:V71"/>
    <mergeCell ref="B110:V110"/>
    <mergeCell ref="A111:V111"/>
    <mergeCell ref="A112:V112"/>
    <mergeCell ref="B130:V130"/>
    <mergeCell ref="B4:V4"/>
    <mergeCell ref="A5:V5"/>
    <mergeCell ref="B26:V26"/>
    <mergeCell ref="A27:V27"/>
    <mergeCell ref="B70:V70"/>
    <mergeCell ref="A1:V1"/>
    <mergeCell ref="D2:J2"/>
    <mergeCell ref="K2:Q2"/>
    <mergeCell ref="R2:T2"/>
    <mergeCell ref="U2:V2"/>
  </mergeCells>
  <pageMargins left="0.7" right="0.7" top="0.75" bottom="0.75" header="0.3" footer="0.3"/>
  <pageSetup paperSize="9" orientation="portrait" horizontalDpi="300" verticalDpi="300" r:id="rId1"/>
  <ignoredErrors>
    <ignoredError sqref="L95 E95 E76 L49 E49 L34 E34 L135 E135" formula="1"/>
    <ignoredError sqref="S157 S25 T39 S69 S109 S149 S189 S195 S220 S246 T229:T230 R50:T50 R135 T168 R124:T124 R46:T46" evalError="1"/>
    <ignoredError sqref="P121:Q12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A1:F29"/>
  <sheetViews>
    <sheetView zoomScaleNormal="100" workbookViewId="0">
      <selection activeCell="H8" sqref="H8"/>
    </sheetView>
  </sheetViews>
  <sheetFormatPr defaultColWidth="9" defaultRowHeight="14.4"/>
  <cols>
    <col min="1" max="1" width="34" customWidth="1"/>
    <col min="2" max="2" width="17.6640625" customWidth="1"/>
    <col min="3" max="3" width="15.88671875" customWidth="1"/>
  </cols>
  <sheetData>
    <row r="1" spans="1:6">
      <c r="A1" s="148"/>
      <c r="B1" s="148"/>
      <c r="C1" s="148"/>
      <c r="D1" s="148"/>
      <c r="E1" s="15"/>
      <c r="F1" s="15"/>
    </row>
    <row r="2" spans="1:6" ht="27.6">
      <c r="A2" s="156" t="s">
        <v>278</v>
      </c>
      <c r="B2" s="157" t="s">
        <v>312</v>
      </c>
      <c r="C2" s="157" t="s">
        <v>319</v>
      </c>
      <c r="D2" s="158"/>
      <c r="E2" s="15"/>
      <c r="F2" s="15"/>
    </row>
    <row r="3" spans="1:6">
      <c r="A3" s="159" t="s">
        <v>17</v>
      </c>
      <c r="B3" s="160">
        <f t="shared" ref="B3:C10" si="0">B13</f>
        <v>36.611510201960002</v>
      </c>
      <c r="C3" s="160">
        <f t="shared" si="0"/>
        <v>36.683565580029999</v>
      </c>
      <c r="D3" s="158"/>
      <c r="E3" s="15"/>
      <c r="F3" s="15"/>
    </row>
    <row r="4" spans="1:6" ht="17.25" customHeight="1">
      <c r="A4" s="156" t="s">
        <v>54</v>
      </c>
      <c r="B4" s="161">
        <f t="shared" si="0"/>
        <v>2628.9623770447274</v>
      </c>
      <c r="C4" s="161">
        <f t="shared" si="0"/>
        <v>2676.7487566401933</v>
      </c>
      <c r="D4" s="158"/>
      <c r="E4" s="15"/>
      <c r="F4" s="15"/>
    </row>
    <row r="5" spans="1:6" ht="19.5" customHeight="1">
      <c r="A5" s="156" t="s">
        <v>279</v>
      </c>
      <c r="B5" s="160">
        <f t="shared" si="0"/>
        <v>208.69720878068358</v>
      </c>
      <c r="C5" s="160">
        <f t="shared" si="0"/>
        <v>208.40109785344882</v>
      </c>
      <c r="D5" s="158"/>
      <c r="E5" s="15"/>
      <c r="F5" s="15"/>
    </row>
    <row r="6" spans="1:6">
      <c r="A6" s="156" t="s">
        <v>157</v>
      </c>
      <c r="B6" s="161">
        <f t="shared" si="0"/>
        <v>1931.2870687030197</v>
      </c>
      <c r="C6" s="161">
        <f t="shared" si="0"/>
        <v>1923.4873303636252</v>
      </c>
      <c r="D6" s="158"/>
      <c r="E6" s="15"/>
      <c r="F6" s="15"/>
    </row>
    <row r="7" spans="1:6">
      <c r="A7" s="156" t="s">
        <v>280</v>
      </c>
      <c r="B7" s="160">
        <f t="shared" si="0"/>
        <v>101.44890023100531</v>
      </c>
      <c r="C7" s="160">
        <f t="shared" si="0"/>
        <v>101.48909887364462</v>
      </c>
      <c r="D7" s="158"/>
      <c r="E7" s="15"/>
      <c r="F7" s="15"/>
    </row>
    <row r="8" spans="1:6">
      <c r="A8" s="156" t="s">
        <v>194</v>
      </c>
      <c r="B8" s="162">
        <f t="shared" si="0"/>
        <v>57.12527213611007</v>
      </c>
      <c r="C8" s="162">
        <f t="shared" si="0"/>
        <v>57.583359181107909</v>
      </c>
      <c r="D8" s="158"/>
      <c r="E8" s="15"/>
      <c r="F8" s="15"/>
    </row>
    <row r="9" spans="1:6">
      <c r="A9" s="156" t="s">
        <v>225</v>
      </c>
      <c r="B9" s="160">
        <f t="shared" si="0"/>
        <v>6.7892931999500004</v>
      </c>
      <c r="C9" s="160">
        <f t="shared" si="0"/>
        <v>6.6512489927700003</v>
      </c>
      <c r="D9" s="158"/>
      <c r="E9" s="15"/>
      <c r="F9" s="15"/>
    </row>
    <row r="10" spans="1:6">
      <c r="A10" s="156" t="s">
        <v>281</v>
      </c>
      <c r="B10" s="160">
        <f t="shared" si="0"/>
        <v>56.384304267594231</v>
      </c>
      <c r="C10" s="160">
        <f t="shared" si="0"/>
        <v>57.091876521208221</v>
      </c>
      <c r="D10" s="158"/>
      <c r="E10" s="15"/>
      <c r="F10" s="15"/>
    </row>
    <row r="11" spans="1:6">
      <c r="A11" s="156"/>
      <c r="B11" s="160"/>
      <c r="C11" s="160"/>
      <c r="D11" s="158"/>
      <c r="E11" s="15"/>
      <c r="F11" s="15"/>
    </row>
    <row r="12" spans="1:6">
      <c r="A12" s="148"/>
      <c r="B12" s="148"/>
      <c r="C12" s="148"/>
      <c r="D12" s="148"/>
      <c r="E12" s="15"/>
      <c r="F12" s="15"/>
    </row>
    <row r="13" spans="1:6">
      <c r="A13" s="163" t="s">
        <v>17</v>
      </c>
      <c r="B13" s="164">
        <f>'Weekly Valuation'!D25/1000000000</f>
        <v>36.611510201960002</v>
      </c>
      <c r="C13" s="165">
        <f>'Weekly Valuation'!K25/1000000000</f>
        <v>36.683565580029999</v>
      </c>
      <c r="D13" s="148"/>
      <c r="E13" s="15"/>
      <c r="F13" s="15"/>
    </row>
    <row r="14" spans="1:6">
      <c r="A14" s="166" t="s">
        <v>54</v>
      </c>
      <c r="B14" s="164">
        <f>'Weekly Valuation'!D69/1000000000</f>
        <v>2628.9623770447274</v>
      </c>
      <c r="C14" s="167">
        <f>'Weekly Valuation'!K69/1000000000</f>
        <v>2676.7487566401933</v>
      </c>
      <c r="D14" s="148"/>
      <c r="E14" s="15"/>
      <c r="F14" s="15"/>
    </row>
    <row r="15" spans="1:6">
      <c r="A15" s="166" t="s">
        <v>279</v>
      </c>
      <c r="B15" s="164">
        <f>'Weekly Valuation'!D109/1000000000</f>
        <v>208.69720878068358</v>
      </c>
      <c r="C15" s="165">
        <f>'Weekly Valuation'!K109/1000000000</f>
        <v>208.40109785344882</v>
      </c>
      <c r="D15" s="148"/>
      <c r="E15" s="15"/>
      <c r="F15" s="15"/>
    </row>
    <row r="16" spans="1:6">
      <c r="A16" s="166" t="s">
        <v>157</v>
      </c>
      <c r="B16" s="164">
        <f>'Weekly Valuation'!D149/1000000000</f>
        <v>1931.2870687030197</v>
      </c>
      <c r="C16" s="167">
        <f>'Weekly Valuation'!K149/1000000000</f>
        <v>1923.4873303636252</v>
      </c>
      <c r="D16" s="148"/>
      <c r="E16" s="15"/>
      <c r="F16" s="15"/>
    </row>
    <row r="17" spans="1:6">
      <c r="A17" s="166" t="s">
        <v>280</v>
      </c>
      <c r="B17" s="164">
        <f>'Weekly Valuation'!D157/1000000000</f>
        <v>101.44890023100531</v>
      </c>
      <c r="C17" s="165">
        <f>'Weekly Valuation'!K157/1000000000</f>
        <v>101.48909887364462</v>
      </c>
      <c r="D17" s="148"/>
      <c r="E17" s="15"/>
      <c r="F17" s="15"/>
    </row>
    <row r="18" spans="1:6">
      <c r="A18" s="166" t="s">
        <v>194</v>
      </c>
      <c r="B18" s="164">
        <f>'Weekly Valuation'!D189/1000000000</f>
        <v>57.12527213611007</v>
      </c>
      <c r="C18" s="168">
        <f>'Weekly Valuation'!K189/1000000000</f>
        <v>57.583359181107909</v>
      </c>
      <c r="D18" s="148"/>
      <c r="E18" s="15"/>
      <c r="F18" s="15"/>
    </row>
    <row r="19" spans="1:6">
      <c r="A19" s="166" t="s">
        <v>225</v>
      </c>
      <c r="B19" s="164">
        <f>'Weekly Valuation'!D195/1000000000</f>
        <v>6.7892931999500004</v>
      </c>
      <c r="C19" s="165">
        <f>'Weekly Valuation'!K195/1000000000</f>
        <v>6.6512489927700003</v>
      </c>
      <c r="D19" s="148"/>
      <c r="E19" s="15"/>
      <c r="F19" s="15"/>
    </row>
    <row r="20" spans="1:6">
      <c r="A20" s="166" t="s">
        <v>281</v>
      </c>
      <c r="B20" s="164">
        <f>'Weekly Valuation'!D220/1000000000</f>
        <v>56.384304267594231</v>
      </c>
      <c r="C20" s="165">
        <f>'Weekly Valuation'!K220/1000000000</f>
        <v>57.091876521208221</v>
      </c>
      <c r="D20" s="148"/>
      <c r="E20" s="15"/>
      <c r="F20" s="15"/>
    </row>
    <row r="21" spans="1:6">
      <c r="A21" s="144"/>
      <c r="B21" s="148"/>
      <c r="C21" s="147"/>
      <c r="D21" s="148"/>
      <c r="E21" s="15"/>
      <c r="F21" s="15"/>
    </row>
    <row r="22" spans="1:6">
      <c r="A22" s="144"/>
      <c r="B22" s="148"/>
      <c r="C22" s="145"/>
      <c r="D22" s="148"/>
      <c r="E22" s="15"/>
      <c r="F22" s="15"/>
    </row>
    <row r="23" spans="1:6">
      <c r="A23" s="169"/>
      <c r="B23" s="150"/>
      <c r="C23" s="146"/>
      <c r="D23" s="19"/>
      <c r="E23" s="19"/>
      <c r="F23" s="15"/>
    </row>
    <row r="24" spans="1:6">
      <c r="A24" s="169"/>
      <c r="B24" s="150"/>
      <c r="C24" s="150"/>
      <c r="D24" s="19"/>
      <c r="E24" s="19"/>
      <c r="F24" s="15"/>
    </row>
    <row r="25" spans="1:6">
      <c r="A25" s="169"/>
      <c r="B25" s="150"/>
      <c r="C25" s="150"/>
      <c r="D25" s="19"/>
      <c r="E25" s="19"/>
      <c r="F25" s="15"/>
    </row>
    <row r="26" spans="1:6">
      <c r="A26" s="169"/>
      <c r="B26" s="150"/>
      <c r="C26" s="150"/>
      <c r="D26" s="19"/>
      <c r="E26" s="15"/>
      <c r="F26" s="15"/>
    </row>
    <row r="27" spans="1:6">
      <c r="A27" s="21"/>
      <c r="B27" s="22"/>
      <c r="C27" s="22"/>
      <c r="D27" s="15"/>
      <c r="E27" s="15"/>
      <c r="F27" s="15"/>
    </row>
    <row r="28" spans="1:6">
      <c r="A28" s="15"/>
      <c r="B28" s="15"/>
      <c r="C28" s="15"/>
      <c r="D28" s="15"/>
      <c r="E28" s="15"/>
      <c r="F28" s="15"/>
    </row>
    <row r="29" spans="1:6">
      <c r="A29" s="15"/>
      <c r="B29" s="15"/>
      <c r="C29" s="15"/>
      <c r="D29" s="15"/>
      <c r="E29" s="15"/>
      <c r="F29" s="15"/>
    </row>
  </sheetData>
  <sheetProtection algorithmName="SHA-512" hashValue="28OZCf8Q7cAKVZkyQWd+rBlo7bHpeo1+Xn35hBPn+8F/21j4FL6sqxFXYzRpkYUgn/Pid/RwKc5XT2kigELpxg==" saltValue="mtgpYotJflIYhZ6LuGhSMQ==" spinCount="100000" sheet="1" objects="1" scenarios="1"/>
  <pageMargins left="0.7" right="0.7" top="0.75" bottom="0.75" header="0.3" footer="0.3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Q33"/>
  <sheetViews>
    <sheetView zoomScale="85" zoomScaleNormal="85" workbookViewId="0">
      <selection activeCell="J12" sqref="J12"/>
    </sheetView>
  </sheetViews>
  <sheetFormatPr defaultColWidth="9" defaultRowHeight="14.4"/>
  <cols>
    <col min="1" max="1" width="31.33203125" customWidth="1"/>
    <col min="2" max="2" width="17.44140625" customWidth="1"/>
    <col min="16" max="16" width="7.5546875" customWidth="1"/>
  </cols>
  <sheetData>
    <row r="1" spans="1:16" ht="15.6">
      <c r="A1" s="142" t="s">
        <v>278</v>
      </c>
      <c r="B1" s="143">
        <v>45764</v>
      </c>
      <c r="C1" s="19"/>
      <c r="D1" s="19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>
      <c r="A2" s="144" t="s">
        <v>225</v>
      </c>
      <c r="B2" s="145">
        <f>'Weekly Valuation'!K195</f>
        <v>6651248992.7700005</v>
      </c>
      <c r="C2" s="19"/>
      <c r="D2" s="19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>
      <c r="A3" s="144" t="s">
        <v>17</v>
      </c>
      <c r="B3" s="145">
        <f>'Weekly Valuation'!K25</f>
        <v>36683565580.029999</v>
      </c>
      <c r="C3" s="19"/>
      <c r="D3" s="19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>
      <c r="A4" s="144" t="s">
        <v>281</v>
      </c>
      <c r="B4" s="146">
        <f>'Weekly Valuation'!K220</f>
        <v>57091876521.208221</v>
      </c>
      <c r="C4" s="19"/>
      <c r="D4" s="19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>
      <c r="A5" s="144" t="s">
        <v>194</v>
      </c>
      <c r="B5" s="145">
        <f>'Weekly Valuation'!K189</f>
        <v>57583359181.10791</v>
      </c>
      <c r="C5" s="19"/>
      <c r="D5" s="19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>
      <c r="A6" s="144" t="s">
        <v>280</v>
      </c>
      <c r="B6" s="145">
        <f>'Weekly Valuation'!K157</f>
        <v>101489098873.64462</v>
      </c>
      <c r="C6" s="19"/>
      <c r="D6" s="19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>
      <c r="A7" s="144" t="s">
        <v>279</v>
      </c>
      <c r="B7" s="145">
        <f>'Weekly Valuation'!K109</f>
        <v>208401097853.44882</v>
      </c>
      <c r="C7" s="19"/>
      <c r="D7" s="19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6">
      <c r="A8" s="144" t="s">
        <v>157</v>
      </c>
      <c r="B8" s="147">
        <f>'Weekly Valuation'!K149</f>
        <v>1923487330363.6252</v>
      </c>
      <c r="C8" s="19"/>
      <c r="D8" s="19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>
      <c r="A9" s="144" t="s">
        <v>54</v>
      </c>
      <c r="B9" s="147">
        <f>'Weekly Valuation'!K69</f>
        <v>2676748756640.1934</v>
      </c>
      <c r="C9" s="19"/>
      <c r="D9" s="19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>
      <c r="A10" s="148"/>
      <c r="B10" s="148"/>
      <c r="C10" s="19"/>
      <c r="D10" s="19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>
      <c r="A11" s="144"/>
      <c r="B11" s="149"/>
      <c r="C11" s="19"/>
      <c r="D11" s="19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6">
      <c r="A12" s="144"/>
      <c r="B12" s="19"/>
      <c r="C12" s="19"/>
      <c r="D12" s="19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1:16">
      <c r="A13" s="150"/>
      <c r="B13" s="150"/>
      <c r="C13" s="19"/>
      <c r="D13" s="19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pans="1:16">
      <c r="A14" s="22"/>
      <c r="B14" s="22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</row>
    <row r="15" spans="1:16" ht="16.5" customHeight="1">
      <c r="A15" s="185"/>
      <c r="B15" s="186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spans="1:16">
      <c r="A16" s="22"/>
      <c r="B16" s="22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7">
      <c r="A17" s="22"/>
      <c r="B17" s="22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spans="1:17">
      <c r="A18" s="125"/>
      <c r="B18" s="22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1:17">
      <c r="A19" s="125"/>
      <c r="B19" s="12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1:17">
      <c r="A20" s="125"/>
      <c r="B20" s="12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1:17">
      <c r="A21" s="21"/>
      <c r="B21" s="12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1:17">
      <c r="A22" s="15"/>
      <c r="B22" s="12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1:17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1:17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</row>
    <row r="25" spans="1:17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1:17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1:17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1:17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1:17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7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17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17" ht="16.5" customHeight="1">
      <c r="A32" s="183"/>
      <c r="B32" s="183"/>
      <c r="C32" s="183"/>
      <c r="D32" s="183"/>
      <c r="E32" s="183"/>
      <c r="F32" s="183"/>
      <c r="G32" s="183"/>
      <c r="H32" s="183"/>
      <c r="I32" s="183"/>
      <c r="J32" s="183"/>
      <c r="K32" s="183"/>
      <c r="L32" s="183"/>
      <c r="M32" s="183"/>
      <c r="N32" s="183"/>
      <c r="O32" s="183"/>
      <c r="P32" s="183"/>
      <c r="Q32" s="20"/>
    </row>
    <row r="33" spans="1:17" ht="15" customHeight="1">
      <c r="A33" s="183"/>
      <c r="B33" s="183"/>
      <c r="C33" s="183"/>
      <c r="D33" s="183"/>
      <c r="E33" s="183"/>
      <c r="F33" s="183"/>
      <c r="G33" s="183"/>
      <c r="H33" s="183"/>
      <c r="I33" s="183"/>
      <c r="J33" s="183"/>
      <c r="K33" s="183"/>
      <c r="L33" s="183"/>
      <c r="M33" s="183"/>
      <c r="N33" s="183"/>
      <c r="O33" s="183"/>
      <c r="P33" s="183"/>
      <c r="Q33" s="20"/>
    </row>
  </sheetData>
  <sheetProtection algorithmName="SHA-512" hashValue="0qms0sPnMUluo3sROq+EqutdV/t7QPsu3VQN7Y+GFs9oFQF4mYp4X1uPGjbOhoWgjHp2/gP3l9pF/iiTQstE3w==" saltValue="6NMrZuXgNucE6/ifrZ78hA==" spinCount="100000" sheet="1" selectLockedCells="1" selectUnlockedCells="1"/>
  <sortState ref="A2:B9">
    <sortCondition ref="B2:B9"/>
  </sortState>
  <mergeCells count="1">
    <mergeCell ref="A32:P33"/>
  </mergeCells>
  <pageMargins left="0.7" right="0.7" top="0.75" bottom="0.75" header="0.3" footer="0.3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7030A0"/>
  </sheetPr>
  <dimension ref="A1:M16"/>
  <sheetViews>
    <sheetView zoomScale="110" zoomScaleNormal="110" workbookViewId="0">
      <selection activeCell="F8" sqref="F8"/>
    </sheetView>
  </sheetViews>
  <sheetFormatPr defaultColWidth="9" defaultRowHeight="14.4"/>
  <cols>
    <col min="1" max="2" width="10.5546875" customWidth="1"/>
    <col min="3" max="3" width="11.109375" customWidth="1"/>
    <col min="4" max="4" width="10.5546875" customWidth="1"/>
    <col min="5" max="5" width="10.88671875" customWidth="1"/>
    <col min="6" max="6" width="11.109375" customWidth="1"/>
    <col min="7" max="7" width="12.109375" customWidth="1"/>
    <col min="8" max="8" width="11.6640625" customWidth="1"/>
    <col min="9" max="9" width="11.44140625" customWidth="1"/>
  </cols>
  <sheetData>
    <row r="1" spans="1:1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5"/>
      <c r="M1" s="15"/>
    </row>
    <row r="2" spans="1:13">
      <c r="A2" s="151" t="s">
        <v>282</v>
      </c>
      <c r="B2" s="152">
        <v>45716</v>
      </c>
      <c r="C2" s="152">
        <v>45723</v>
      </c>
      <c r="D2" s="152">
        <v>45730</v>
      </c>
      <c r="E2" s="152">
        <v>45737</v>
      </c>
      <c r="F2" s="152">
        <v>45744</v>
      </c>
      <c r="G2" s="152">
        <v>45751</v>
      </c>
      <c r="H2" s="152">
        <v>45758</v>
      </c>
      <c r="I2" s="152">
        <v>45764</v>
      </c>
      <c r="J2" s="19"/>
      <c r="K2" s="19"/>
      <c r="L2" s="15"/>
      <c r="M2" s="15"/>
    </row>
    <row r="3" spans="1:13">
      <c r="A3" s="151" t="s">
        <v>283</v>
      </c>
      <c r="B3" s="153">
        <f t="shared" ref="B3:I3" si="0">B4</f>
        <v>4378.8424481915499</v>
      </c>
      <c r="C3" s="153">
        <f t="shared" si="0"/>
        <v>4472.6943933207594</v>
      </c>
      <c r="D3" s="153">
        <f t="shared" si="0"/>
        <v>4607.4792017079635</v>
      </c>
      <c r="E3" s="153">
        <f t="shared" si="0"/>
        <v>4719.0196974991832</v>
      </c>
      <c r="F3" s="153">
        <f t="shared" si="0"/>
        <v>4783.453626583896</v>
      </c>
      <c r="G3" s="153">
        <f t="shared" si="0"/>
        <v>4920.9783287926193</v>
      </c>
      <c r="H3" s="153">
        <f t="shared" si="0"/>
        <v>5027.3059345650499</v>
      </c>
      <c r="I3" s="153">
        <f t="shared" si="0"/>
        <v>5068.1363340060261</v>
      </c>
      <c r="J3" s="19"/>
      <c r="K3" s="19"/>
      <c r="L3" s="15"/>
      <c r="M3" s="15"/>
    </row>
    <row r="4" spans="1:13">
      <c r="A4" s="19"/>
      <c r="B4" s="154">
        <f>'NAV Trend'!C10/1000000000</f>
        <v>4378.8424481915499</v>
      </c>
      <c r="C4" s="154">
        <f>'NAV Trend'!D10/1000000000</f>
        <v>4472.6943933207594</v>
      </c>
      <c r="D4" s="154">
        <f>'NAV Trend'!E10/1000000000</f>
        <v>4607.4792017079635</v>
      </c>
      <c r="E4" s="154">
        <f>'NAV Trend'!F10/1000000000</f>
        <v>4719.0196974991832</v>
      </c>
      <c r="F4" s="154">
        <f>'NAV Trend'!G10/1000000000</f>
        <v>4783.453626583896</v>
      </c>
      <c r="G4" s="154">
        <f>'NAV Trend'!H10/1000000000</f>
        <v>4920.9783287926193</v>
      </c>
      <c r="H4" s="155">
        <f>'NAV Trend'!I10/1000000000</f>
        <v>5027.3059345650499</v>
      </c>
      <c r="I4" s="155">
        <f>'NAV Trend'!J10/1000000000</f>
        <v>5068.1363340060261</v>
      </c>
      <c r="J4" s="19"/>
      <c r="K4" s="19"/>
      <c r="L4" s="15"/>
      <c r="M4" s="15"/>
    </row>
    <row r="5" spans="1:13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5"/>
      <c r="M5" s="15"/>
    </row>
    <row r="6" spans="1:13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5"/>
    </row>
    <row r="7" spans="1:13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5"/>
    </row>
    <row r="8" spans="1:13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</row>
    <row r="9" spans="1:13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</row>
    <row r="10" spans="1:13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</row>
    <row r="11" spans="1:13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</row>
    <row r="12" spans="1:1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3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</row>
    <row r="14" spans="1:13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</row>
    <row r="15" spans="1:13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</row>
    <row r="16" spans="1:13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</row>
  </sheetData>
  <sheetProtection algorithmName="SHA-512" hashValue="FYuxlca4J91NqLPa4PTrcms+0sG4ugLINdPobiaNGODYwB0nA44lYatxBuxMhHisWm5lEQoQBgK5OLB+mXq5uw==" saltValue="XOEJCiMY6TTt+X5R3YqcXA==" spinCount="100000" sheet="1" objects="1" scenarios="1"/>
  <pageMargins left="0.7" right="0.7" top="0.75" bottom="0.75" header="0.3" footer="0.3"/>
  <pageSetup paperSize="9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A1:N17"/>
  <sheetViews>
    <sheetView workbookViewId="0">
      <selection activeCell="F8" sqref="F8"/>
    </sheetView>
  </sheetViews>
  <sheetFormatPr defaultColWidth="9" defaultRowHeight="14.4"/>
  <cols>
    <col min="1" max="1" width="10.77734375" customWidth="1"/>
    <col min="2" max="2" width="11.109375" customWidth="1"/>
    <col min="3" max="3" width="11.44140625" customWidth="1"/>
    <col min="4" max="4" width="11.5546875" customWidth="1"/>
    <col min="5" max="5" width="11.109375" customWidth="1"/>
    <col min="6" max="7" width="11.33203125" customWidth="1"/>
    <col min="8" max="8" width="11.6640625" customWidth="1"/>
    <col min="9" max="9" width="11.109375" customWidth="1"/>
  </cols>
  <sheetData>
    <row r="1" spans="1:14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5"/>
      <c r="N1" s="15"/>
    </row>
    <row r="2" spans="1:14">
      <c r="A2" s="151" t="s">
        <v>282</v>
      </c>
      <c r="B2" s="152">
        <v>45716</v>
      </c>
      <c r="C2" s="152">
        <v>45723</v>
      </c>
      <c r="D2" s="152">
        <v>45730</v>
      </c>
      <c r="E2" s="152">
        <v>45737</v>
      </c>
      <c r="F2" s="152">
        <v>45744</v>
      </c>
      <c r="G2" s="152">
        <v>45751</v>
      </c>
      <c r="H2" s="152">
        <v>45758</v>
      </c>
      <c r="I2" s="152">
        <v>45764</v>
      </c>
      <c r="J2" s="19"/>
      <c r="K2" s="19"/>
      <c r="L2" s="19"/>
      <c r="M2" s="15"/>
      <c r="N2" s="15"/>
    </row>
    <row r="3" spans="1:14">
      <c r="A3" s="151" t="s">
        <v>284</v>
      </c>
      <c r="B3" s="153">
        <f t="shared" ref="B3:I3" si="0">B4</f>
        <v>13.569005930702859</v>
      </c>
      <c r="C3" s="153">
        <f t="shared" si="0"/>
        <v>13.40889556580691</v>
      </c>
      <c r="D3" s="153">
        <f t="shared" si="0"/>
        <v>13.225205337489792</v>
      </c>
      <c r="E3" s="153">
        <f t="shared" si="0"/>
        <v>13.115951569109791</v>
      </c>
      <c r="F3" s="153">
        <f t="shared" si="0"/>
        <v>13.246875880158331</v>
      </c>
      <c r="G3" s="153">
        <f t="shared" si="0"/>
        <v>13.252536997856778</v>
      </c>
      <c r="H3" s="153">
        <f t="shared" si="0"/>
        <v>13.325340046259999</v>
      </c>
      <c r="I3" s="153">
        <f t="shared" si="0"/>
        <v>13.257768084610001</v>
      </c>
      <c r="J3" s="19"/>
      <c r="K3" s="19"/>
      <c r="L3" s="19"/>
      <c r="M3" s="15"/>
      <c r="N3" s="15"/>
    </row>
    <row r="4" spans="1:14">
      <c r="A4" s="19"/>
      <c r="B4" s="154">
        <f>'NAV Trend'!C16/1000000000</f>
        <v>13.569005930702859</v>
      </c>
      <c r="C4" s="154">
        <f>'NAV Trend'!D16/1000000000</f>
        <v>13.40889556580691</v>
      </c>
      <c r="D4" s="154">
        <f>'NAV Trend'!E16/1000000000</f>
        <v>13.225205337489792</v>
      </c>
      <c r="E4" s="154">
        <f>'NAV Trend'!F16/1000000000</f>
        <v>13.115951569109791</v>
      </c>
      <c r="F4" s="154">
        <f>'NAV Trend'!G16/1000000000</f>
        <v>13.246875880158331</v>
      </c>
      <c r="G4" s="154">
        <f>'NAV Trend'!H16/1000000000</f>
        <v>13.252536997856778</v>
      </c>
      <c r="H4" s="154">
        <f>'NAV Trend'!I16/1000000000</f>
        <v>13.325340046259999</v>
      </c>
      <c r="I4" s="155">
        <f>'NAV Trend'!J16/1000000000</f>
        <v>13.257768084610001</v>
      </c>
      <c r="J4" s="19"/>
      <c r="K4" s="19"/>
      <c r="L4" s="19"/>
      <c r="M4" s="15"/>
      <c r="N4" s="15"/>
    </row>
    <row r="5" spans="1:14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5"/>
      <c r="N5" s="15"/>
    </row>
    <row r="6" spans="1:14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5"/>
      <c r="N6" s="15"/>
    </row>
    <row r="7" spans="1:14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5"/>
      <c r="N7" s="15"/>
    </row>
    <row r="8" spans="1:14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5"/>
      <c r="N8" s="15"/>
    </row>
    <row r="9" spans="1:14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5"/>
      <c r="N9" s="15"/>
    </row>
    <row r="10" spans="1:14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5"/>
      <c r="N10" s="15"/>
    </row>
    <row r="11" spans="1:14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</row>
    <row r="12" spans="1:14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</row>
    <row r="13" spans="1:14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</row>
    <row r="14" spans="1:14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</row>
    <row r="15" spans="1:14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</row>
    <row r="16" spans="1:14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</row>
    <row r="17" spans="1:14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</row>
  </sheetData>
  <sheetProtection algorithmName="SHA-512" hashValue="eTuKITWm81rWKWw2Z+xjnIU6+wQsPFcF9cz25oOGb/m8TRvYZ4wRPVrVcpsi873Ft/+T26gpfkUztwH55U1w6w==" saltValue="yTtFy2zWGuaX//YE+SNIQQ==" spinCount="100000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22"/>
  <sheetViews>
    <sheetView topLeftCell="I1" zoomScale="150" zoomScaleNormal="150" workbookViewId="0">
      <selection activeCell="K1" sqref="K1"/>
    </sheetView>
  </sheetViews>
  <sheetFormatPr defaultColWidth="9" defaultRowHeight="14.4"/>
  <cols>
    <col min="1" max="1" width="36.33203125" customWidth="1"/>
    <col min="2" max="2" width="23.5546875" customWidth="1"/>
    <col min="3" max="3" width="22.5546875" customWidth="1"/>
    <col min="4" max="4" width="20.88671875" customWidth="1"/>
    <col min="5" max="5" width="22.5546875" customWidth="1"/>
    <col min="6" max="6" width="24.6640625" customWidth="1"/>
    <col min="7" max="7" width="22.44140625" customWidth="1"/>
    <col min="8" max="8" width="24.33203125" customWidth="1"/>
    <col min="9" max="9" width="22.5546875" customWidth="1"/>
    <col min="10" max="10" width="21.6640625" customWidth="1"/>
    <col min="11" max="12" width="20.6640625" customWidth="1"/>
    <col min="13" max="13" width="20.5546875" customWidth="1"/>
  </cols>
  <sheetData>
    <row r="1" spans="1:11" ht="15.6">
      <c r="A1" s="1" t="s">
        <v>278</v>
      </c>
      <c r="B1" s="2">
        <v>45709</v>
      </c>
      <c r="C1" s="2">
        <v>45716</v>
      </c>
      <c r="D1" s="2">
        <v>45723</v>
      </c>
      <c r="E1" s="2">
        <v>45730</v>
      </c>
      <c r="F1" s="2">
        <v>45737</v>
      </c>
      <c r="G1" s="2">
        <v>45744</v>
      </c>
      <c r="H1" s="2">
        <v>45751</v>
      </c>
      <c r="I1" s="2">
        <v>45758</v>
      </c>
      <c r="J1" s="2">
        <v>45764</v>
      </c>
    </row>
    <row r="2" spans="1:11">
      <c r="A2" s="3" t="s">
        <v>17</v>
      </c>
      <c r="B2" s="4">
        <v>38542552735.119995</v>
      </c>
      <c r="C2" s="4">
        <v>38249076563.470001</v>
      </c>
      <c r="D2" s="4">
        <v>37421289714.760002</v>
      </c>
      <c r="E2" s="4">
        <v>37398821266.276306</v>
      </c>
      <c r="F2" s="4">
        <v>36993931889.602303</v>
      </c>
      <c r="G2" s="4">
        <v>37656201173.972603</v>
      </c>
      <c r="H2" s="4">
        <v>37097805539.873703</v>
      </c>
      <c r="I2" s="4">
        <v>36611510201.959999</v>
      </c>
      <c r="J2" s="4">
        <v>36683565580.029999</v>
      </c>
    </row>
    <row r="3" spans="1:11">
      <c r="A3" s="3" t="s">
        <v>54</v>
      </c>
      <c r="B3" s="4">
        <v>2072298319201.4285</v>
      </c>
      <c r="C3" s="4">
        <v>2134730862264.1289</v>
      </c>
      <c r="D3" s="4">
        <v>2212690003394.8403</v>
      </c>
      <c r="E3" s="4">
        <v>2332451611056.791</v>
      </c>
      <c r="F3" s="4">
        <v>2419975361780.4546</v>
      </c>
      <c r="G3" s="4">
        <v>2481105692224.7939</v>
      </c>
      <c r="H3" s="4">
        <v>2556130628664.9053</v>
      </c>
      <c r="I3" s="4">
        <v>2628962377044.7275</v>
      </c>
      <c r="J3" s="4">
        <v>2676748756640.1934</v>
      </c>
    </row>
    <row r="4" spans="1:11">
      <c r="A4" s="3" t="s">
        <v>279</v>
      </c>
      <c r="B4" s="5">
        <v>192875996875.99237</v>
      </c>
      <c r="C4" s="5">
        <v>192425332553.69519</v>
      </c>
      <c r="D4" s="5">
        <v>192651675169.49469</v>
      </c>
      <c r="E4" s="5">
        <v>195446236973.35144</v>
      </c>
      <c r="F4" s="5">
        <v>198728860225.19843</v>
      </c>
      <c r="G4" s="5">
        <v>198334798103.43573</v>
      </c>
      <c r="H4" s="5">
        <v>200662148582.12146</v>
      </c>
      <c r="I4" s="5">
        <v>208697208780.68359</v>
      </c>
      <c r="J4" s="5">
        <v>208401097853.44882</v>
      </c>
    </row>
    <row r="5" spans="1:11">
      <c r="A5" s="3" t="s">
        <v>157</v>
      </c>
      <c r="B5" s="4">
        <v>1780596293589.6721</v>
      </c>
      <c r="C5" s="4">
        <v>1793326811823.8843</v>
      </c>
      <c r="D5" s="4">
        <v>1809741056607.6074</v>
      </c>
      <c r="E5" s="4">
        <v>1822153380010.8662</v>
      </c>
      <c r="F5" s="4">
        <v>1842785877653.4534</v>
      </c>
      <c r="G5" s="4">
        <v>1844962894751.3052</v>
      </c>
      <c r="H5" s="4">
        <v>1905436495754.9351</v>
      </c>
      <c r="I5" s="4">
        <v>1931287068703.0198</v>
      </c>
      <c r="J5" s="4">
        <v>1923487330363.6252</v>
      </c>
    </row>
    <row r="6" spans="1:11">
      <c r="A6" s="3" t="s">
        <v>280</v>
      </c>
      <c r="B6" s="6">
        <v>101070214650.21515</v>
      </c>
      <c r="C6" s="6">
        <v>101128099964.18001</v>
      </c>
      <c r="D6" s="6">
        <v>101180384926.77501</v>
      </c>
      <c r="E6" s="6">
        <v>101227556666.0634</v>
      </c>
      <c r="F6" s="6">
        <v>101283752942.61555</v>
      </c>
      <c r="G6" s="6">
        <v>101362794513.52859</v>
      </c>
      <c r="H6" s="6">
        <v>101416084299.50922</v>
      </c>
      <c r="I6" s="6">
        <v>101448900231.00531</v>
      </c>
      <c r="J6" s="6">
        <v>101489098873.64462</v>
      </c>
    </row>
    <row r="7" spans="1:11">
      <c r="A7" s="3" t="s">
        <v>194</v>
      </c>
      <c r="B7" s="7">
        <v>58059986733.763725</v>
      </c>
      <c r="C7" s="7">
        <v>57798914251.53302</v>
      </c>
      <c r="D7" s="7">
        <v>57327361079.561821</v>
      </c>
      <c r="E7" s="7">
        <v>57195873585.465897</v>
      </c>
      <c r="F7" s="7">
        <v>56948936665.773132</v>
      </c>
      <c r="G7" s="7">
        <v>57062758533.043762</v>
      </c>
      <c r="H7" s="7">
        <v>57167466185.858185</v>
      </c>
      <c r="I7" s="7">
        <v>57125272136.110069</v>
      </c>
      <c r="J7" s="7">
        <v>57583359181.10791</v>
      </c>
    </row>
    <row r="8" spans="1:11">
      <c r="A8" s="3" t="s">
        <v>225</v>
      </c>
      <c r="B8" s="6">
        <v>6681271892.7000008</v>
      </c>
      <c r="C8" s="6">
        <v>6710470953.1500006</v>
      </c>
      <c r="D8" s="6">
        <v>6663538612.0999994</v>
      </c>
      <c r="E8" s="6">
        <v>6647856625.3699999</v>
      </c>
      <c r="F8" s="6">
        <v>6567080938.7299995</v>
      </c>
      <c r="G8" s="6">
        <v>6677158300.1700001</v>
      </c>
      <c r="H8" s="6">
        <v>6808986112.6900005</v>
      </c>
      <c r="I8" s="6">
        <v>6789293199.9500008</v>
      </c>
      <c r="J8" s="6">
        <v>6651248992.7700005</v>
      </c>
    </row>
    <row r="9" spans="1:11">
      <c r="A9" s="3" t="s">
        <v>281</v>
      </c>
      <c r="B9" s="6">
        <v>54322511448.611656</v>
      </c>
      <c r="C9" s="6">
        <v>54472879817.508156</v>
      </c>
      <c r="D9" s="6">
        <v>55019083815.621017</v>
      </c>
      <c r="E9" s="6">
        <v>54957865523.779152</v>
      </c>
      <c r="F9" s="6">
        <v>55735895403.355507</v>
      </c>
      <c r="G9" s="6">
        <v>56291328983.646774</v>
      </c>
      <c r="H9" s="6">
        <v>56258713652.725334</v>
      </c>
      <c r="I9" s="6">
        <v>56384304267.594231</v>
      </c>
      <c r="J9" s="6">
        <v>57091876521.208221</v>
      </c>
    </row>
    <row r="10" spans="1:11" ht="15.6">
      <c r="A10" s="8" t="s">
        <v>285</v>
      </c>
      <c r="B10" s="9">
        <f t="shared" ref="B10:J10" si="0">SUM(B2:B9)</f>
        <v>4304447147127.5039</v>
      </c>
      <c r="C10" s="9">
        <f t="shared" si="0"/>
        <v>4378842448191.5498</v>
      </c>
      <c r="D10" s="9">
        <f t="shared" si="0"/>
        <v>4472694393320.7598</v>
      </c>
      <c r="E10" s="9">
        <f t="shared" si="0"/>
        <v>4607479201707.9639</v>
      </c>
      <c r="F10" s="9">
        <f t="shared" si="0"/>
        <v>4719019697499.1836</v>
      </c>
      <c r="G10" s="9">
        <f t="shared" si="0"/>
        <v>4783453626583.8965</v>
      </c>
      <c r="H10" s="9">
        <f t="shared" si="0"/>
        <v>4920978328792.6191</v>
      </c>
      <c r="I10" s="9">
        <f t="shared" si="0"/>
        <v>5027305934565.0498</v>
      </c>
      <c r="J10" s="9">
        <f t="shared" si="0"/>
        <v>5068136334006.0264</v>
      </c>
    </row>
    <row r="11" spans="1:11">
      <c r="A11" s="10"/>
      <c r="B11" s="11"/>
      <c r="C11" s="11"/>
      <c r="D11" s="11"/>
      <c r="E11" s="11"/>
      <c r="F11" s="11"/>
      <c r="G11" s="11"/>
      <c r="H11" s="11"/>
      <c r="I11" s="10"/>
      <c r="J11" s="10"/>
    </row>
    <row r="12" spans="1:11" ht="15.6">
      <c r="A12" s="12" t="s">
        <v>286</v>
      </c>
      <c r="B12" s="124" t="s">
        <v>287</v>
      </c>
      <c r="C12" s="13">
        <f>(B10+C10)/2</f>
        <v>4341644797659.5269</v>
      </c>
      <c r="D12" s="14">
        <f t="shared" ref="D12:J12" si="1">(C10+D10)/2</f>
        <v>4425768420756.1543</v>
      </c>
      <c r="E12" s="14">
        <f t="shared" si="1"/>
        <v>4540086797514.3613</v>
      </c>
      <c r="F12" s="14">
        <f t="shared" si="1"/>
        <v>4663249449603.5742</v>
      </c>
      <c r="G12" s="14">
        <f t="shared" si="1"/>
        <v>4751236662041.54</v>
      </c>
      <c r="H12" s="14">
        <f t="shared" si="1"/>
        <v>4852215977688.2578</v>
      </c>
      <c r="I12" s="14">
        <f t="shared" si="1"/>
        <v>4974142131678.834</v>
      </c>
      <c r="J12" s="14">
        <f t="shared" si="1"/>
        <v>5047721134285.5381</v>
      </c>
    </row>
    <row r="13" spans="1:11">
      <c r="C13" s="15"/>
      <c r="D13" s="15"/>
      <c r="E13" s="15"/>
      <c r="F13" s="15"/>
      <c r="G13" s="15"/>
      <c r="H13" s="15"/>
      <c r="I13" s="15"/>
      <c r="J13" s="15"/>
      <c r="K13" s="15"/>
    </row>
    <row r="14" spans="1:11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</row>
    <row r="15" spans="1:11">
      <c r="A15" s="15"/>
      <c r="B15" s="2">
        <v>45709</v>
      </c>
      <c r="C15" s="2">
        <v>45716</v>
      </c>
      <c r="D15" s="2">
        <v>45723</v>
      </c>
      <c r="E15" s="2">
        <v>45730</v>
      </c>
      <c r="F15" s="2">
        <v>45737</v>
      </c>
      <c r="G15" s="2">
        <v>45744</v>
      </c>
      <c r="H15" s="2">
        <v>45751</v>
      </c>
      <c r="I15" s="2">
        <v>45758</v>
      </c>
      <c r="J15" s="2">
        <v>45764</v>
      </c>
      <c r="K15" s="15"/>
    </row>
    <row r="16" spans="1:11">
      <c r="A16" s="16" t="s">
        <v>288</v>
      </c>
      <c r="B16" s="17">
        <v>13757028670.379999</v>
      </c>
      <c r="C16" s="17">
        <v>13569005930.70286</v>
      </c>
      <c r="D16" s="17">
        <v>13408895565.80691</v>
      </c>
      <c r="E16" s="17">
        <v>13225205337.489792</v>
      </c>
      <c r="F16" s="17">
        <v>13115951569.109791</v>
      </c>
      <c r="G16" s="17">
        <v>13246875880.158331</v>
      </c>
      <c r="H16" s="17">
        <v>13252536997.856777</v>
      </c>
      <c r="I16" s="17">
        <v>13325340046.259998</v>
      </c>
      <c r="J16" s="17">
        <v>13257768084.610001</v>
      </c>
      <c r="K16" s="15"/>
    </row>
    <row r="17" spans="1:11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</row>
    <row r="18" spans="1:11">
      <c r="A18" s="15"/>
      <c r="B18" s="15"/>
      <c r="C18" s="18"/>
      <c r="D18" s="18"/>
      <c r="E18" s="18"/>
      <c r="F18" s="18"/>
      <c r="G18" s="18"/>
      <c r="H18" s="18"/>
      <c r="I18" s="18"/>
      <c r="J18" s="18"/>
      <c r="K18" s="15"/>
    </row>
    <row r="19" spans="1:1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</row>
    <row r="20" spans="1:11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</row>
    <row r="21" spans="1:11">
      <c r="B21" s="15"/>
      <c r="C21" s="15"/>
      <c r="D21" s="15"/>
      <c r="E21" s="15"/>
      <c r="F21" s="15"/>
      <c r="G21" s="15"/>
      <c r="H21" s="15"/>
      <c r="I21" s="15"/>
      <c r="J21" s="132"/>
      <c r="K21" s="15"/>
    </row>
    <row r="22" spans="1:11">
      <c r="B22" s="15"/>
      <c r="C22" s="15"/>
      <c r="D22" s="15"/>
      <c r="E22" s="15"/>
      <c r="F22" s="15"/>
      <c r="G22" s="15"/>
      <c r="H22" s="15"/>
      <c r="I22" s="15"/>
      <c r="J22" s="15"/>
      <c r="K22" s="19"/>
    </row>
  </sheetData>
  <sheetProtection algorithmName="SHA-512" hashValue="Qe5D2eLhuZPAhQUQwlFO0Mge5AkUb/kXz+RnXAmA45ZJyTDdbfMoFwPjrQd9suDL81NLr0A4foQ/uaIqJ5lO1A==" saltValue="7Q2DWJcbg4kSGpLyAMxLyw==" spinCount="100000" sheet="1" objects="1" scenarios="1"/>
  <pageMargins left="0.7" right="0.7" top="0.75" bottom="0.75" header="0.3" footer="0.3"/>
  <pageSetup paperSize="9" orientation="portrait" horizontalDpi="300" verticalDpi="300" r:id="rId1"/>
  <ignoredErrors>
    <ignoredError sqref="B10:J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Weekly Valuation</vt:lpstr>
      <vt:lpstr>NAV Comparison</vt:lpstr>
      <vt:lpstr>Market Share</vt:lpstr>
      <vt:lpstr>8-Week Movement in NAV</vt:lpstr>
      <vt:lpstr>8-Week Movement in ETFs</vt:lpstr>
      <vt:lpstr>NAV Trend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Isaac, Tunde</cp:lastModifiedBy>
  <dcterms:created xsi:type="dcterms:W3CDTF">2023-10-09T09:40:00Z</dcterms:created>
  <dcterms:modified xsi:type="dcterms:W3CDTF">2025-04-25T11:07:55Z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A438AA3AB3D54FD3925988ED903466DD_13</vt:lpwstr>
  </property>
  <property fmtid="{D5CDD505-2E9C-101B-9397-08002B2CF9AE}" pid="3" name="KSOProductBuildVer">
    <vt:lpwstr>1033-12.2.0.13266</vt:lpwstr>
  </property>
</Properties>
</file>