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B8" i="3" l="1"/>
  <c r="B9" i="3"/>
  <c r="N113" i="1" l="1"/>
  <c r="M113" i="1"/>
  <c r="K113" i="1"/>
  <c r="N119" i="1" l="1"/>
  <c r="M119" i="1"/>
  <c r="K119" i="1"/>
  <c r="N112" i="1"/>
  <c r="M112" i="1"/>
  <c r="K112" i="1"/>
  <c r="N139" i="1"/>
  <c r="M139" i="1"/>
  <c r="K139" i="1"/>
  <c r="N134" i="1" l="1"/>
  <c r="M134" i="1"/>
  <c r="K134" i="1"/>
  <c r="N133" i="1"/>
  <c r="M133" i="1"/>
  <c r="N120" i="1"/>
  <c r="M120" i="1"/>
  <c r="K120" i="1"/>
  <c r="N126" i="1" l="1"/>
  <c r="M126" i="1"/>
  <c r="K126" i="1"/>
  <c r="N137" i="1"/>
  <c r="M137" i="1"/>
  <c r="K137" i="1"/>
  <c r="N123" i="1"/>
  <c r="M123" i="1"/>
  <c r="K123" i="1"/>
  <c r="N111" i="1"/>
  <c r="M111" i="1"/>
  <c r="K111" i="1"/>
  <c r="N110" i="1"/>
  <c r="M110" i="1"/>
  <c r="K110" i="1"/>
  <c r="N136" i="1" l="1"/>
  <c r="M136" i="1"/>
  <c r="K136" i="1"/>
  <c r="N127" i="1"/>
  <c r="M127" i="1"/>
  <c r="K127" i="1"/>
  <c r="N109" i="1"/>
  <c r="M109" i="1"/>
  <c r="K109" i="1"/>
  <c r="N108" i="1"/>
  <c r="M108" i="1"/>
  <c r="K108" i="1"/>
  <c r="M121" i="1"/>
  <c r="N121" i="1"/>
  <c r="K121" i="1"/>
  <c r="N122" i="1"/>
  <c r="M122" i="1"/>
  <c r="K122" i="1"/>
  <c r="R202" i="1"/>
  <c r="N132" i="1"/>
  <c r="M132" i="1"/>
  <c r="K132" i="1"/>
  <c r="N115" i="1" l="1"/>
  <c r="M115" i="1"/>
  <c r="K115" i="1"/>
  <c r="N131" i="1" l="1"/>
  <c r="M131" i="1"/>
  <c r="K131" i="1"/>
  <c r="G139" i="1" l="1"/>
  <c r="F139" i="1"/>
  <c r="G137" i="1"/>
  <c r="F137" i="1"/>
  <c r="G136" i="1"/>
  <c r="F136" i="1"/>
  <c r="G134" i="1"/>
  <c r="F134" i="1"/>
  <c r="G133" i="1"/>
  <c r="F133" i="1"/>
  <c r="G132" i="1"/>
  <c r="F132" i="1"/>
  <c r="G131" i="1"/>
  <c r="F131" i="1"/>
  <c r="G130" i="1"/>
  <c r="F130" i="1"/>
  <c r="G127" i="1"/>
  <c r="F127" i="1"/>
  <c r="G126" i="1"/>
  <c r="F126" i="1"/>
  <c r="D139" i="1"/>
  <c r="D137" i="1"/>
  <c r="D136" i="1"/>
  <c r="D134" i="1"/>
  <c r="D132" i="1"/>
  <c r="D131" i="1"/>
  <c r="D127" i="1"/>
  <c r="D126" i="1"/>
  <c r="G123" i="1"/>
  <c r="F123" i="1"/>
  <c r="G122" i="1"/>
  <c r="F122" i="1"/>
  <c r="G121" i="1"/>
  <c r="F121" i="1"/>
  <c r="G120" i="1"/>
  <c r="F120" i="1"/>
  <c r="G119" i="1"/>
  <c r="F119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G109" i="1"/>
  <c r="F109" i="1"/>
  <c r="G108" i="1"/>
  <c r="F108" i="1"/>
  <c r="D123" i="1"/>
  <c r="D122" i="1"/>
  <c r="D121" i="1"/>
  <c r="D120" i="1"/>
  <c r="D119" i="1"/>
  <c r="D115" i="1"/>
  <c r="D114" i="1"/>
  <c r="D113" i="1"/>
  <c r="D112" i="1"/>
  <c r="D111" i="1"/>
  <c r="D110" i="1"/>
  <c r="D109" i="1"/>
  <c r="D108" i="1"/>
  <c r="V194" i="1" l="1"/>
  <c r="U194" i="1"/>
  <c r="T194" i="1"/>
  <c r="S194" i="1"/>
  <c r="R194" i="1"/>
  <c r="R136" i="1"/>
  <c r="S136" i="1"/>
  <c r="T136" i="1"/>
  <c r="U136" i="1"/>
  <c r="V136" i="1"/>
  <c r="N114" i="1" l="1"/>
  <c r="M114" i="1"/>
  <c r="K114" i="1"/>
  <c r="R6" i="1" l="1"/>
  <c r="V178" i="1" l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S152" i="1"/>
  <c r="R152" i="1"/>
  <c r="V151" i="1"/>
  <c r="U151" i="1"/>
  <c r="T151" i="1"/>
  <c r="S151" i="1"/>
  <c r="R151" i="1"/>
  <c r="R89" i="1" l="1"/>
  <c r="N130" i="1" l="1"/>
  <c r="M130" i="1"/>
  <c r="V32" i="1" l="1"/>
  <c r="U32" i="1"/>
  <c r="T32" i="1"/>
  <c r="S32" i="1"/>
  <c r="R32" i="1"/>
  <c r="V72" i="1" l="1"/>
  <c r="V47" i="1" l="1"/>
  <c r="U47" i="1"/>
  <c r="T47" i="1"/>
  <c r="S47" i="1"/>
  <c r="R47" i="1"/>
  <c r="J10" i="4" l="1"/>
  <c r="I4" i="5" s="1"/>
  <c r="I3" i="5" s="1"/>
  <c r="I10" i="4"/>
  <c r="H10" i="4"/>
  <c r="G10" i="4"/>
  <c r="H12" i="4" s="1"/>
  <c r="F10" i="4"/>
  <c r="E4" i="5" s="1"/>
  <c r="E3" i="5" s="1"/>
  <c r="E10" i="4"/>
  <c r="F12" i="4" s="1"/>
  <c r="D10" i="4"/>
  <c r="E12" i="4" s="1"/>
  <c r="C10" i="4"/>
  <c r="B4" i="5" s="1"/>
  <c r="B3" i="5" s="1"/>
  <c r="B10" i="4"/>
  <c r="C12" i="4" s="1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G4" i="5"/>
  <c r="G3" i="5" s="1"/>
  <c r="F4" i="5"/>
  <c r="F3" i="5" s="1"/>
  <c r="V234" i="1"/>
  <c r="U234" i="1"/>
  <c r="S234" i="1"/>
  <c r="O234" i="1"/>
  <c r="K234" i="1"/>
  <c r="H234" i="1"/>
  <c r="D234" i="1"/>
  <c r="E232" i="1" s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O219" i="1"/>
  <c r="K219" i="1"/>
  <c r="L218" i="1" s="1"/>
  <c r="H219" i="1"/>
  <c r="D219" i="1"/>
  <c r="E218" i="1" s="1"/>
  <c r="V218" i="1"/>
  <c r="U218" i="1"/>
  <c r="T218" i="1"/>
  <c r="S218" i="1"/>
  <c r="R218" i="1"/>
  <c r="V217" i="1"/>
  <c r="U217" i="1"/>
  <c r="T217" i="1"/>
  <c r="S217" i="1"/>
  <c r="R217" i="1"/>
  <c r="O214" i="1"/>
  <c r="K214" i="1"/>
  <c r="L213" i="1" s="1"/>
  <c r="H214" i="1"/>
  <c r="D214" i="1"/>
  <c r="V213" i="1"/>
  <c r="U213" i="1"/>
  <c r="T213" i="1"/>
  <c r="S213" i="1"/>
  <c r="R213" i="1"/>
  <c r="V209" i="1"/>
  <c r="U209" i="1"/>
  <c r="S209" i="1"/>
  <c r="O209" i="1"/>
  <c r="K209" i="1"/>
  <c r="H209" i="1"/>
  <c r="D209" i="1"/>
  <c r="V208" i="1"/>
  <c r="U208" i="1"/>
  <c r="T208" i="1"/>
  <c r="S208" i="1"/>
  <c r="R208" i="1"/>
  <c r="V205" i="1"/>
  <c r="U205" i="1"/>
  <c r="T205" i="1"/>
  <c r="S205" i="1"/>
  <c r="R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7" i="1"/>
  <c r="U197" i="1"/>
  <c r="T197" i="1"/>
  <c r="S197" i="1"/>
  <c r="R197" i="1"/>
  <c r="V196" i="1"/>
  <c r="U196" i="1"/>
  <c r="T196" i="1"/>
  <c r="S196" i="1"/>
  <c r="R196" i="1"/>
  <c r="V195" i="1"/>
  <c r="U195" i="1"/>
  <c r="T195" i="1"/>
  <c r="S195" i="1"/>
  <c r="R195" i="1"/>
  <c r="V193" i="1"/>
  <c r="U193" i="1"/>
  <c r="T193" i="1"/>
  <c r="S193" i="1"/>
  <c r="R193" i="1"/>
  <c r="V190" i="1"/>
  <c r="U190" i="1"/>
  <c r="T190" i="1"/>
  <c r="S190" i="1"/>
  <c r="R190" i="1"/>
  <c r="V189" i="1"/>
  <c r="U189" i="1"/>
  <c r="T189" i="1"/>
  <c r="S189" i="1"/>
  <c r="R189" i="1"/>
  <c r="V185" i="1"/>
  <c r="U185" i="1"/>
  <c r="S185" i="1"/>
  <c r="O185" i="1"/>
  <c r="K185" i="1"/>
  <c r="H185" i="1"/>
  <c r="D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79" i="1"/>
  <c r="U179" i="1"/>
  <c r="S179" i="1"/>
  <c r="O179" i="1"/>
  <c r="K179" i="1"/>
  <c r="H179" i="1"/>
  <c r="D179" i="1"/>
  <c r="V148" i="1"/>
  <c r="U148" i="1"/>
  <c r="S148" i="1"/>
  <c r="O148" i="1"/>
  <c r="K148" i="1"/>
  <c r="B6" i="3" s="1"/>
  <c r="H148" i="1"/>
  <c r="D148" i="1"/>
  <c r="E146" i="1" s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R144" i="1"/>
  <c r="V143" i="1"/>
  <c r="U143" i="1"/>
  <c r="T143" i="1"/>
  <c r="S143" i="1"/>
  <c r="R143" i="1"/>
  <c r="V140" i="1"/>
  <c r="U140" i="1"/>
  <c r="S140" i="1"/>
  <c r="O140" i="1"/>
  <c r="H140" i="1"/>
  <c r="V139" i="1"/>
  <c r="U139" i="1"/>
  <c r="T139" i="1"/>
  <c r="R139" i="1"/>
  <c r="V138" i="1"/>
  <c r="U138" i="1"/>
  <c r="T138" i="1"/>
  <c r="S138" i="1"/>
  <c r="R138" i="1"/>
  <c r="V137" i="1"/>
  <c r="U137" i="1"/>
  <c r="T137" i="1"/>
  <c r="S137" i="1"/>
  <c r="V135" i="1"/>
  <c r="U135" i="1"/>
  <c r="T135" i="1"/>
  <c r="S135" i="1"/>
  <c r="R135" i="1"/>
  <c r="V134" i="1"/>
  <c r="U134" i="1"/>
  <c r="T134" i="1"/>
  <c r="S134" i="1"/>
  <c r="V133" i="1"/>
  <c r="U133" i="1"/>
  <c r="T133" i="1"/>
  <c r="R133" i="1"/>
  <c r="S133" i="1"/>
  <c r="V132" i="1"/>
  <c r="U132" i="1"/>
  <c r="T132" i="1"/>
  <c r="S132" i="1"/>
  <c r="V131" i="1"/>
  <c r="U131" i="1"/>
  <c r="T131" i="1"/>
  <c r="S131" i="1"/>
  <c r="R131" i="1"/>
  <c r="V130" i="1"/>
  <c r="U130" i="1"/>
  <c r="T130" i="1"/>
  <c r="R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V126" i="1"/>
  <c r="U126" i="1"/>
  <c r="T126" i="1"/>
  <c r="S126" i="1"/>
  <c r="R126" i="1"/>
  <c r="V123" i="1"/>
  <c r="U123" i="1"/>
  <c r="T123" i="1"/>
  <c r="S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R112" i="1"/>
  <c r="V110" i="1"/>
  <c r="U110" i="1"/>
  <c r="T110" i="1"/>
  <c r="S110" i="1"/>
  <c r="V109" i="1"/>
  <c r="U109" i="1"/>
  <c r="T109" i="1"/>
  <c r="S109" i="1"/>
  <c r="V108" i="1"/>
  <c r="U108" i="1"/>
  <c r="T108" i="1"/>
  <c r="R108" i="1"/>
  <c r="S108" i="1"/>
  <c r="V104" i="1"/>
  <c r="U104" i="1"/>
  <c r="S104" i="1"/>
  <c r="O104" i="1"/>
  <c r="K104" i="1"/>
  <c r="L82" i="1" s="1"/>
  <c r="H104" i="1"/>
  <c r="D104" i="1"/>
  <c r="B15" i="2" s="1"/>
  <c r="B5" i="2" s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5" i="1"/>
  <c r="U65" i="1"/>
  <c r="S65" i="1"/>
  <c r="O65" i="1"/>
  <c r="K65" i="1"/>
  <c r="L57" i="1" s="1"/>
  <c r="H65" i="1"/>
  <c r="D65" i="1"/>
  <c r="B14" i="2" s="1"/>
  <c r="B4" i="2" s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3" i="1"/>
  <c r="U33" i="1"/>
  <c r="T33" i="1"/>
  <c r="S33" i="1"/>
  <c r="R33" i="1"/>
  <c r="V31" i="1"/>
  <c r="U31" i="1"/>
  <c r="T31" i="1"/>
  <c r="S31" i="1"/>
  <c r="R31" i="1"/>
  <c r="V30" i="1"/>
  <c r="U30" i="1"/>
  <c r="T30" i="1"/>
  <c r="S30" i="1"/>
  <c r="V29" i="1"/>
  <c r="U29" i="1"/>
  <c r="T29" i="1"/>
  <c r="S29" i="1"/>
  <c r="R29" i="1"/>
  <c r="V28" i="1"/>
  <c r="U28" i="1"/>
  <c r="T28" i="1"/>
  <c r="S28" i="1"/>
  <c r="R28" i="1"/>
  <c r="V27" i="1"/>
  <c r="U27" i="1"/>
  <c r="T27" i="1"/>
  <c r="S27" i="1"/>
  <c r="R27" i="1"/>
  <c r="V24" i="1"/>
  <c r="U24" i="1"/>
  <c r="S24" i="1"/>
  <c r="O24" i="1"/>
  <c r="K24" i="1"/>
  <c r="H24" i="1"/>
  <c r="D24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B20" i="2" l="1"/>
  <c r="B10" i="2" s="1"/>
  <c r="E194" i="1"/>
  <c r="L198" i="1"/>
  <c r="L194" i="1"/>
  <c r="E178" i="1"/>
  <c r="E166" i="1"/>
  <c r="E154" i="1"/>
  <c r="E176" i="1"/>
  <c r="E164" i="1"/>
  <c r="E152" i="1"/>
  <c r="E171" i="1"/>
  <c r="E159" i="1"/>
  <c r="E169" i="1"/>
  <c r="E174" i="1"/>
  <c r="E162" i="1"/>
  <c r="E153" i="1"/>
  <c r="E161" i="1"/>
  <c r="E167" i="1"/>
  <c r="E155" i="1"/>
  <c r="E173" i="1"/>
  <c r="E172" i="1"/>
  <c r="E160" i="1"/>
  <c r="E157" i="1"/>
  <c r="E177" i="1"/>
  <c r="E165" i="1"/>
  <c r="E170" i="1"/>
  <c r="E158" i="1"/>
  <c r="E168" i="1"/>
  <c r="E156" i="1"/>
  <c r="E175" i="1"/>
  <c r="E163" i="1"/>
  <c r="E151" i="1"/>
  <c r="L171" i="1"/>
  <c r="L159" i="1"/>
  <c r="L169" i="1"/>
  <c r="L176" i="1"/>
  <c r="L164" i="1"/>
  <c r="L152" i="1"/>
  <c r="L157" i="1"/>
  <c r="L174" i="1"/>
  <c r="L167" i="1"/>
  <c r="L155" i="1"/>
  <c r="L161" i="1"/>
  <c r="L162" i="1"/>
  <c r="L172" i="1"/>
  <c r="L160" i="1"/>
  <c r="L158" i="1"/>
  <c r="L177" i="1"/>
  <c r="L165" i="1"/>
  <c r="L153" i="1"/>
  <c r="L173" i="1"/>
  <c r="L166" i="1"/>
  <c r="L170" i="1"/>
  <c r="L154" i="1"/>
  <c r="L175" i="1"/>
  <c r="L163" i="1"/>
  <c r="L151" i="1"/>
  <c r="L168" i="1"/>
  <c r="L156" i="1"/>
  <c r="B2" i="3"/>
  <c r="L183" i="1"/>
  <c r="L32" i="1"/>
  <c r="L12" i="1"/>
  <c r="L100" i="1"/>
  <c r="L69" i="1"/>
  <c r="E14" i="1"/>
  <c r="E32" i="1"/>
  <c r="E47" i="1"/>
  <c r="L47" i="1"/>
  <c r="R214" i="1"/>
  <c r="B5" i="3"/>
  <c r="L21" i="1"/>
  <c r="L7" i="1"/>
  <c r="D4" i="5"/>
  <c r="D3" i="5" s="1"/>
  <c r="B4" i="3"/>
  <c r="L196" i="1"/>
  <c r="R234" i="1"/>
  <c r="E230" i="1"/>
  <c r="E228" i="1"/>
  <c r="E226" i="1"/>
  <c r="E8" i="1"/>
  <c r="L205" i="1"/>
  <c r="E190" i="1"/>
  <c r="T234" i="1"/>
  <c r="J12" i="4"/>
  <c r="E12" i="1"/>
  <c r="E10" i="1"/>
  <c r="E6" i="1"/>
  <c r="E18" i="1"/>
  <c r="E195" i="1"/>
  <c r="E217" i="1"/>
  <c r="E224" i="1"/>
  <c r="E82" i="1"/>
  <c r="E22" i="1"/>
  <c r="E46" i="1"/>
  <c r="E20" i="1"/>
  <c r="E16" i="1"/>
  <c r="E71" i="1"/>
  <c r="E102" i="1"/>
  <c r="E98" i="1"/>
  <c r="E74" i="1"/>
  <c r="E96" i="1"/>
  <c r="S139" i="1"/>
  <c r="E222" i="1"/>
  <c r="E233" i="1"/>
  <c r="E94" i="1"/>
  <c r="E92" i="1"/>
  <c r="E76" i="1"/>
  <c r="E68" i="1"/>
  <c r="E70" i="1"/>
  <c r="E144" i="1"/>
  <c r="T185" i="1"/>
  <c r="E88" i="1"/>
  <c r="E80" i="1"/>
  <c r="E100" i="1"/>
  <c r="E86" i="1"/>
  <c r="E69" i="1"/>
  <c r="E78" i="1"/>
  <c r="E84" i="1"/>
  <c r="L23" i="1"/>
  <c r="E91" i="1"/>
  <c r="E93" i="1"/>
  <c r="E95" i="1"/>
  <c r="E97" i="1"/>
  <c r="E99" i="1"/>
  <c r="E101" i="1"/>
  <c r="E103" i="1"/>
  <c r="E223" i="1"/>
  <c r="E225" i="1"/>
  <c r="E227" i="1"/>
  <c r="E229" i="1"/>
  <c r="E231" i="1"/>
  <c r="L19" i="1"/>
  <c r="E73" i="1"/>
  <c r="E75" i="1"/>
  <c r="E77" i="1"/>
  <c r="E79" i="1"/>
  <c r="E81" i="1"/>
  <c r="E83" i="1"/>
  <c r="E85" i="1"/>
  <c r="E87" i="1"/>
  <c r="E89" i="1"/>
  <c r="L15" i="1"/>
  <c r="T140" i="1"/>
  <c r="L11" i="1"/>
  <c r="L143" i="1"/>
  <c r="L147" i="1"/>
  <c r="L233" i="1"/>
  <c r="T65" i="1"/>
  <c r="L182" i="1"/>
  <c r="L184" i="1"/>
  <c r="E198" i="1"/>
  <c r="E200" i="1"/>
  <c r="E202" i="1"/>
  <c r="E204" i="1"/>
  <c r="T209" i="1"/>
  <c r="L6" i="1"/>
  <c r="L10" i="1"/>
  <c r="L14" i="1"/>
  <c r="L18" i="1"/>
  <c r="L22" i="1"/>
  <c r="E189" i="1"/>
  <c r="E193" i="1"/>
  <c r="E196" i="1"/>
  <c r="E208" i="1"/>
  <c r="H210" i="1"/>
  <c r="H235" i="1" s="1"/>
  <c r="R219" i="1"/>
  <c r="D140" i="1"/>
  <c r="T104" i="1"/>
  <c r="L146" i="1"/>
  <c r="T148" i="1"/>
  <c r="T179" i="1"/>
  <c r="E199" i="1"/>
  <c r="E201" i="1"/>
  <c r="E203" i="1"/>
  <c r="E205" i="1"/>
  <c r="C4" i="5"/>
  <c r="C3" i="5" s="1"/>
  <c r="D12" i="4"/>
  <c r="G12" i="4"/>
  <c r="H4" i="5"/>
  <c r="H3" i="5" s="1"/>
  <c r="I12" i="4"/>
  <c r="E90" i="1"/>
  <c r="L42" i="1"/>
  <c r="L63" i="1"/>
  <c r="L78" i="1"/>
  <c r="L102" i="1"/>
  <c r="L59" i="1"/>
  <c r="L55" i="1"/>
  <c r="L53" i="1"/>
  <c r="L61" i="1"/>
  <c r="L51" i="1"/>
  <c r="L49" i="1"/>
  <c r="E54" i="1"/>
  <c r="E56" i="1"/>
  <c r="E58" i="1"/>
  <c r="E60" i="1"/>
  <c r="E62" i="1"/>
  <c r="E64" i="1"/>
  <c r="E52" i="1"/>
  <c r="E50" i="1"/>
  <c r="E48" i="1"/>
  <c r="L193" i="1"/>
  <c r="L199" i="1"/>
  <c r="L189" i="1"/>
  <c r="L197" i="1"/>
  <c r="L201" i="1"/>
  <c r="L225" i="1"/>
  <c r="L229" i="1"/>
  <c r="L223" i="1"/>
  <c r="L227" i="1"/>
  <c r="L231" i="1"/>
  <c r="L222" i="1"/>
  <c r="L224" i="1"/>
  <c r="L226" i="1"/>
  <c r="L228" i="1"/>
  <c r="L230" i="1"/>
  <c r="L232" i="1"/>
  <c r="L86" i="1"/>
  <c r="L94" i="1"/>
  <c r="L203" i="1"/>
  <c r="L71" i="1"/>
  <c r="E72" i="1"/>
  <c r="L74" i="1"/>
  <c r="L98" i="1"/>
  <c r="L46" i="1"/>
  <c r="L76" i="1"/>
  <c r="L80" i="1"/>
  <c r="L84" i="1"/>
  <c r="L88" i="1"/>
  <c r="L92" i="1"/>
  <c r="L96" i="1"/>
  <c r="R148" i="1"/>
  <c r="L144" i="1"/>
  <c r="L145" i="1"/>
  <c r="L27" i="1"/>
  <c r="E28" i="1"/>
  <c r="L29" i="1"/>
  <c r="E30" i="1"/>
  <c r="L31" i="1"/>
  <c r="E33" i="1"/>
  <c r="L34" i="1"/>
  <c r="E35" i="1"/>
  <c r="L36" i="1"/>
  <c r="E37" i="1"/>
  <c r="L38" i="1"/>
  <c r="E39" i="1"/>
  <c r="L40" i="1"/>
  <c r="E41" i="1"/>
  <c r="E43" i="1"/>
  <c r="L44" i="1"/>
  <c r="E45" i="1"/>
  <c r="L8" i="1"/>
  <c r="L9" i="1"/>
  <c r="L13" i="1"/>
  <c r="L16" i="1"/>
  <c r="L17" i="1"/>
  <c r="L20" i="1"/>
  <c r="R179" i="1"/>
  <c r="B7" i="3"/>
  <c r="C15" i="2"/>
  <c r="C5" i="2" s="1"/>
  <c r="R110" i="1"/>
  <c r="R113" i="1"/>
  <c r="R114" i="1"/>
  <c r="R120" i="1"/>
  <c r="E7" i="1"/>
  <c r="E9" i="1"/>
  <c r="E11" i="1"/>
  <c r="E13" i="1"/>
  <c r="E15" i="1"/>
  <c r="E17" i="1"/>
  <c r="E19" i="1"/>
  <c r="E21" i="1"/>
  <c r="E23" i="1"/>
  <c r="B3" i="3"/>
  <c r="C13" i="2"/>
  <c r="C3" i="2" s="1"/>
  <c r="O210" i="1"/>
  <c r="O235" i="1" s="1"/>
  <c r="E27" i="1"/>
  <c r="L28" i="1"/>
  <c r="E29" i="1"/>
  <c r="L30" i="1"/>
  <c r="E31" i="1"/>
  <c r="L33" i="1"/>
  <c r="E34" i="1"/>
  <c r="L35" i="1"/>
  <c r="E36" i="1"/>
  <c r="L37" i="1"/>
  <c r="E38" i="1"/>
  <c r="L39" i="1"/>
  <c r="E40" i="1"/>
  <c r="L41" i="1"/>
  <c r="E42" i="1"/>
  <c r="L43" i="1"/>
  <c r="E44" i="1"/>
  <c r="L45" i="1"/>
  <c r="L48" i="1"/>
  <c r="E49" i="1"/>
  <c r="L50" i="1"/>
  <c r="E51" i="1"/>
  <c r="L52" i="1"/>
  <c r="E53" i="1"/>
  <c r="L54" i="1"/>
  <c r="E55" i="1"/>
  <c r="L56" i="1"/>
  <c r="E57" i="1"/>
  <c r="L58" i="1"/>
  <c r="E59" i="1"/>
  <c r="L60" i="1"/>
  <c r="E61" i="1"/>
  <c r="L62" i="1"/>
  <c r="E63" i="1"/>
  <c r="L64" i="1"/>
  <c r="R65" i="1"/>
  <c r="L68" i="1"/>
  <c r="L70" i="1"/>
  <c r="L72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R104" i="1"/>
  <c r="K140" i="1"/>
  <c r="L111" i="1" s="1"/>
  <c r="R109" i="1"/>
  <c r="R123" i="1"/>
  <c r="R127" i="1"/>
  <c r="S130" i="1"/>
  <c r="B19" i="2"/>
  <c r="B9" i="2" s="1"/>
  <c r="E184" i="1"/>
  <c r="E182" i="1"/>
  <c r="B13" i="2"/>
  <c r="B3" i="2" s="1"/>
  <c r="R24" i="1"/>
  <c r="T24" i="1"/>
  <c r="C14" i="2"/>
  <c r="C4" i="2" s="1"/>
  <c r="L90" i="1"/>
  <c r="R132" i="1"/>
  <c r="R134" i="1"/>
  <c r="R137" i="1"/>
  <c r="B17" i="2"/>
  <c r="B7" i="2" s="1"/>
  <c r="E147" i="1"/>
  <c r="E145" i="1"/>
  <c r="E143" i="1"/>
  <c r="B18" i="2"/>
  <c r="B8" i="2" s="1"/>
  <c r="E183" i="1"/>
  <c r="R185" i="1"/>
  <c r="L190" i="1"/>
  <c r="L195" i="1"/>
  <c r="L200" i="1"/>
  <c r="L202" i="1"/>
  <c r="L204" i="1"/>
  <c r="L208" i="1"/>
  <c r="R209" i="1"/>
  <c r="E213" i="1"/>
  <c r="L217" i="1"/>
  <c r="C17" i="2"/>
  <c r="C7" i="2" s="1"/>
  <c r="C18" i="2"/>
  <c r="C8" i="2" s="1"/>
  <c r="C19" i="2"/>
  <c r="C9" i="2" s="1"/>
  <c r="C20" i="2"/>
  <c r="C10" i="2" s="1"/>
  <c r="E123" i="1" l="1"/>
  <c r="E136" i="1"/>
  <c r="L120" i="1"/>
  <c r="L136" i="1"/>
  <c r="E126" i="1"/>
  <c r="E130" i="1"/>
  <c r="E131" i="1"/>
  <c r="E122" i="1"/>
  <c r="E108" i="1"/>
  <c r="E113" i="1"/>
  <c r="E127" i="1"/>
  <c r="D210" i="1"/>
  <c r="E65" i="1" s="1"/>
  <c r="E120" i="1"/>
  <c r="E137" i="1"/>
  <c r="E128" i="1"/>
  <c r="E110" i="1"/>
  <c r="E112" i="1"/>
  <c r="E139" i="1"/>
  <c r="E134" i="1"/>
  <c r="E115" i="1"/>
  <c r="E129" i="1"/>
  <c r="E116" i="1"/>
  <c r="E133" i="1"/>
  <c r="E132" i="1"/>
  <c r="E118" i="1"/>
  <c r="E135" i="1"/>
  <c r="E119" i="1"/>
  <c r="B16" i="2"/>
  <c r="B6" i="2" s="1"/>
  <c r="E121" i="1"/>
  <c r="E117" i="1"/>
  <c r="E109" i="1"/>
  <c r="L134" i="1"/>
  <c r="K210" i="1"/>
  <c r="L140" i="1" s="1"/>
  <c r="L127" i="1"/>
  <c r="L110" i="1"/>
  <c r="C16" i="2"/>
  <c r="C6" i="2" s="1"/>
  <c r="L138" i="1"/>
  <c r="L130" i="1"/>
  <c r="L139" i="1"/>
  <c r="L135" i="1"/>
  <c r="L133" i="1"/>
  <c r="R140" i="1"/>
  <c r="L131" i="1"/>
  <c r="L129" i="1"/>
  <c r="L128" i="1"/>
  <c r="L126" i="1"/>
  <c r="L122" i="1"/>
  <c r="L118" i="1"/>
  <c r="L116" i="1"/>
  <c r="L108" i="1"/>
  <c r="L121" i="1"/>
  <c r="L119" i="1"/>
  <c r="L117" i="1"/>
  <c r="L115" i="1"/>
  <c r="L112" i="1"/>
  <c r="L109" i="1"/>
  <c r="L137" i="1"/>
  <c r="L132" i="1"/>
  <c r="L123" i="1"/>
  <c r="L113" i="1"/>
  <c r="L114" i="1"/>
  <c r="E185" i="1" l="1"/>
  <c r="E104" i="1"/>
  <c r="E179" i="1"/>
  <c r="E148" i="1"/>
  <c r="E209" i="1"/>
  <c r="D235" i="1"/>
  <c r="E24" i="1"/>
  <c r="E140" i="1"/>
  <c r="K235" i="1"/>
  <c r="R210" i="1"/>
  <c r="L185" i="1"/>
  <c r="L24" i="1"/>
  <c r="L179" i="1"/>
  <c r="L148" i="1"/>
  <c r="L65" i="1"/>
  <c r="L104" i="1"/>
  <c r="L209" i="1"/>
</calcChain>
</file>

<file path=xl/sharedStrings.xml><?xml version="1.0" encoding="utf-8"?>
<sst xmlns="http://schemas.openxmlformats.org/spreadsheetml/2006/main" count="492" uniqueCount="314">
  <si>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</si>
  <si>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</si>
  <si>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</si>
  <si>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</si>
  <si>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</si>
  <si>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</si>
  <si>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</si>
  <si>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</si>
  <si>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</si>
  <si>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</si>
  <si>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</si>
  <si>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</si>
  <si>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</si>
  <si>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</si>
  <si>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</si>
  <si>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</si>
  <si>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</si>
  <si>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</si>
  <si>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</si>
  <si>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</si>
  <si>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</si>
  <si>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</si>
  <si>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</si>
  <si>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</si>
  <si>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</si>
  <si>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</si>
  <si>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</si>
  <si>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</si>
  <si>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</si>
  <si>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</si>
  <si>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</si>
  <si>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</si>
  <si>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</si>
  <si>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</si>
  <si>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</si>
  <si>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</si>
  <si>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</si>
  <si>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</si>
  <si>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</si>
  <si>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</si>
  <si>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</si>
  <si>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</si>
  <si>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</si>
  <si>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</si>
  <si>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</si>
  <si>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</si>
  <si>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</si>
  <si>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</si>
  <si>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</si>
  <si>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</si>
  <si>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</si>
  <si>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</si>
  <si>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</si>
  <si>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</si>
  <si>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</si>
  <si>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</si>
  <si>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</si>
  <si>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</si>
  <si>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</si>
  <si>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</si>
  <si>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</si>
  <si>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</si>
  <si>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</si>
  <si>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</si>
  <si>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</si>
  <si>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</si>
  <si>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</si>
  <si>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</si>
  <si>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</si>
  <si>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</si>
  <si>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</si>
  <si>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</si>
  <si>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</si>
  <si>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</si>
  <si>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</si>
  <si>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</si>
  <si>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</si>
  <si>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</si>
  <si>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</si>
  <si>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</si>
  <si>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</si>
  <si>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</si>
  <si>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</si>
  <si>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</si>
  <si>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</si>
  <si>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</si>
  <si>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</si>
  <si>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</si>
  <si>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</si>
  <si>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</si>
  <si>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</si>
  <si>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</si>
  <si>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</si>
  <si>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</si>
  <si>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</si>
  <si>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</si>
  <si>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</si>
  <si>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</si>
  <si>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</si>
  <si>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</si>
  <si>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</si>
  <si>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</si>
  <si>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</si>
  <si>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</si>
  <si>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</si>
  <si>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</si>
  <si>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</si>
  <si>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</si>
  <si>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</si>
  <si>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</si>
  <si>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</si>
  <si>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</si>
  <si>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</si>
  <si>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</si>
  <si>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</si>
  <si>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</si>
  <si>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</si>
  <si>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</si>
  <si>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</si>
  <si>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</si>
  <si>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</si>
  <si>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</si>
  <si>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</si>
  <si>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</si>
  <si>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</si>
  <si>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</si>
  <si>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</si>
  <si>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</si>
  <si>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</si>
  <si>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</si>
  <si>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</si>
  <si>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</si>
  <si>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</si>
  <si>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</si>
  <si>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</si>
  <si>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</si>
  <si>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</si>
  <si>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</si>
  <si>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</si>
  <si>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</si>
  <si>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</si>
  <si>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</si>
  <si>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</si>
  <si>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</si>
  <si>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</si>
  <si>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</si>
  <si>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</si>
  <si>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</si>
  <si>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</si>
  <si>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</si>
  <si>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</si>
  <si>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</si>
  <si>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</si>
  <si>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</si>
  <si>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</si>
  <si>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</si>
  <si>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</si>
  <si>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</si>
  <si>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</si>
  <si>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</si>
  <si>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</si>
  <si>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</si>
  <si>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</si>
  <si>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</si>
  <si>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</si>
  <si>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</si>
  <si>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</si>
  <si>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</si>
  <si>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</si>
  <si>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</si>
  <si>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</si>
  <si>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</si>
  <si>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</si>
  <si>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</si>
  <si>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</si>
  <si>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</si>
  <si>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</si>
  <si>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</si>
  <si>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</si>
  <si>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</si>
  <si>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</si>
  <si>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</si>
  <si>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</si>
  <si>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</si>
  <si>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</si>
  <si>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</si>
  <si>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</si>
  <si>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</si>
  <si>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</si>
  <si>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</si>
  <si>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</si>
  <si>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</si>
  <si>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</si>
  <si>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</si>
  <si>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</si>
  <si>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</si>
  <si>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</si>
  <si>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</si>
  <si>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</si>
  <si>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</si>
  <si>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</si>
  <si>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</si>
  <si>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</si>
  <si>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</si>
  <si>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</si>
  <si>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</si>
  <si>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</si>
  <si>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</si>
  <si>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</si>
  <si>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</si>
  <si>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</si>
  <si>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</si>
  <si>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</si>
  <si>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</si>
  <si>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</si>
  <si>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</si>
  <si>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</si>
  <si>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</si>
  <si>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</si>
  <si>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</si>
  <si>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</si>
  <si>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</si>
  <si>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</si>
  <si>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</si>
  <si>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</si>
  <si>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</si>
  <si>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</si>
  <si>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</si>
  <si>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</si>
  <si>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</si>
  <si>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</si>
  <si>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</si>
  <si>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</si>
  <si>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</si>
  <si>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</si>
  <si>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</si>
  <si>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</si>
  <si>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</si>
  <si>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</si>
  <si>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</si>
  <si>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</si>
  <si>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</si>
  <si>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</si>
  <si>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</si>
  <si>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</si>
  <si>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</si>
  <si>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</si>
  <si>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</si>
  <si>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</si>
  <si>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</si>
  <si>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</si>
  <si>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</si>
  <si>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</si>
  <si>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</si>
  <si>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</si>
  <si>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</si>
  <si>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</si>
  <si>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</si>
  <si>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</si>
  <si>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</si>
  <si>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</si>
  <si>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</si>
  <si>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</si>
  <si>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</si>
  <si>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</si>
  <si>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</si>
  <si>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</si>
  <si>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</si>
  <si>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</si>
  <si>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</si>
  <si>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</si>
  <si>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</si>
  <si>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</si>
  <si>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</si>
  <si>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</si>
  <si>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</si>
  <si>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</si>
  <si>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</si>
  <si>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</si>
  <si>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</si>
  <si>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</si>
  <si>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</si>
  <si>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</si>
  <si>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</si>
  <si>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</si>
  <si>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</si>
  <si>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</si>
  <si>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</si>
  <si>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</si>
  <si>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</si>
  <si>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</si>
  <si>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</si>
  <si>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</si>
  <si>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</si>
  <si>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NAV, Unit Price and Yield as at Week Ended January 10, 2025</t>
  </si>
  <si>
    <t>                2,284.00</t>
  </si>
  <si>
    <t>0.09%</t>
  </si>
  <si>
    <t>STL Dollar Fund</t>
  </si>
  <si>
    <t>ARM Short-Term Eurobond Fund</t>
  </si>
  <si>
    <t>ARM Sharia Compliant Fixed Income Fund</t>
  </si>
  <si>
    <t xml:space="preserve">                  180,989.00 </t>
  </si>
  <si>
    <t xml:space="preserve">                    180,989.00 </t>
  </si>
  <si>
    <t xml:space="preserve">  1,076.68 </t>
  </si>
  <si>
    <t xml:space="preserve">    1,076.68 </t>
  </si>
  <si>
    <t>Week Ended January 10, 2025</t>
  </si>
  <si>
    <t>WEEKLY VALUATION REPORT OF COLLECTIVE INVESTMENT SCHEMES AS AT WEEK ENDED FRIDAY, JANUARY 17, 2025</t>
  </si>
  <si>
    <t>NAV, Unit Price and Yield as at Week Ended January 17, 2025</t>
  </si>
  <si>
    <t>NFEM RATE NG₦/US$ as at 17th January, 2025 = N1,546.7212</t>
  </si>
  <si>
    <t>     -0.67%</t>
  </si>
  <si>
    <t>   1.72%</t>
  </si>
  <si>
    <t>0.07%</t>
  </si>
  <si>
    <t xml:space="preserve">  1,078.44 </t>
  </si>
  <si>
    <t xml:space="preserve">    1,078.44 </t>
  </si>
  <si>
    <t>Week Ended January 17,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</si>
</sst>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0"/>
      <color rgb="FF555555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64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17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43" fontId="33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21" borderId="0" applyNumberFormat="0" applyBorder="0" applyAlignment="0" applyProtection="0"/>
    <xf numFmtId="0" fontId="35" fillId="0" borderId="0"/>
    <xf numFmtId="0" fontId="38" fillId="0" borderId="0"/>
    <xf numFmtId="0" fontId="36" fillId="0" borderId="0"/>
    <xf numFmtId="9" fontId="3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7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3" fontId="40" fillId="0" borderId="0" applyFont="0" applyFill="0" applyBorder="0" applyAlignment="0" applyProtection="0"/>
  </cellStyleXfs>
  <cellXfs count="189">
    <xf numFmtId="0" fontId="0" fillId="0" borderId="0" xfId="0"/>
    <xf numFmtId="0" fontId="1" fillId="0" borderId="1" xfId="0" applyFont="1" applyBorder="1" applyAlignment="1">
      <alignment horizontal="right"/>
    </xf>
    <xf numFmtId="16" fontId="2" fillId="2" borderId="1" xfId="0" applyNumberFormat="1" applyFont="1" applyFill="1" applyBorder="1"/>
    <xf numFmtId="0" fontId="2" fillId="0" borderId="1" xfId="0" applyFont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/>
    <xf numFmtId="4" fontId="4" fillId="2" borderId="1" xfId="0" applyNumberFormat="1" applyFont="1" applyFill="1" applyBorder="1"/>
    <xf numFmtId="164" fontId="3" fillId="2" borderId="1" xfId="1" applyFont="1" applyFill="1" applyBorder="1" applyAlignment="1">
      <alignment horizontal="right" vertical="top" wrapText="1"/>
    </xf>
    <xf numFmtId="0" fontId="5" fillId="3" borderId="1" xfId="0" applyFont="1" applyFill="1" applyBorder="1" applyAlignment="1">
      <alignment horizontal="right"/>
    </xf>
    <xf numFmtId="43" fontId="5" fillId="3" borderId="1" xfId="0" applyNumberFormat="1" applyFont="1" applyFill="1" applyBorder="1"/>
    <xf numFmtId="0" fontId="4" fillId="0" borderId="0" xfId="0" applyFont="1"/>
    <xf numFmtId="164" fontId="4" fillId="0" borderId="0" xfId="1" applyFont="1"/>
    <xf numFmtId="0" fontId="1" fillId="4" borderId="1" xfId="0" applyFont="1" applyFill="1" applyBorder="1" applyAlignment="1">
      <alignment horizontal="right"/>
    </xf>
    <xf numFmtId="43" fontId="1" fillId="4" borderId="1" xfId="0" applyNumberFormat="1" applyFont="1" applyFill="1" applyBorder="1"/>
    <xf numFmtId="164" fontId="1" fillId="4" borderId="1" xfId="1" applyFont="1" applyFill="1" applyBorder="1"/>
    <xf numFmtId="0" fontId="6" fillId="0" borderId="0" xfId="0" applyFont="1"/>
    <xf numFmtId="0" fontId="7" fillId="0" borderId="1" xfId="0" applyFont="1" applyBorder="1" applyAlignment="1">
      <alignment horizontal="right"/>
    </xf>
    <xf numFmtId="164" fontId="3" fillId="0" borderId="1" xfId="1" applyFont="1" applyBorder="1"/>
    <xf numFmtId="164" fontId="6" fillId="0" borderId="0" xfId="1" applyFont="1"/>
    <xf numFmtId="0" fontId="8" fillId="0" borderId="0" xfId="0" applyFont="1"/>
    <xf numFmtId="0" fontId="4" fillId="2" borderId="0" xfId="0" applyFont="1" applyFill="1" applyAlignment="1">
      <alignment wrapText="1"/>
    </xf>
    <xf numFmtId="0" fontId="7" fillId="0" borderId="0" xfId="0" applyFont="1" applyAlignment="1">
      <alignment horizontal="right"/>
    </xf>
    <xf numFmtId="4" fontId="3" fillId="2" borderId="0" xfId="0" applyNumberFormat="1" applyFont="1" applyFill="1"/>
    <xf numFmtId="0" fontId="0" fillId="7" borderId="1" xfId="0" applyFill="1" applyBorder="1"/>
    <xf numFmtId="0" fontId="12" fillId="8" borderId="1" xfId="0" applyFont="1" applyFill="1" applyBorder="1"/>
    <xf numFmtId="0" fontId="13" fillId="3" borderId="1" xfId="0" applyFont="1" applyFill="1" applyBorder="1" applyAlignment="1">
      <alignment horizontal="center" vertical="top" wrapText="1"/>
    </xf>
    <xf numFmtId="0" fontId="13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6" fillId="2" borderId="1" xfId="10" applyFont="1" applyFill="1" applyBorder="1"/>
    <xf numFmtId="10" fontId="16" fillId="8" borderId="1" xfId="2" applyNumberFormat="1" applyFont="1" applyFill="1" applyBorder="1" applyAlignment="1">
      <alignment horizontal="center"/>
    </xf>
    <xf numFmtId="4" fontId="16" fillId="2" borderId="1" xfId="0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/>
    </xf>
    <xf numFmtId="4" fontId="16" fillId="2" borderId="1" xfId="0" applyNumberFormat="1" applyFont="1" applyFill="1" applyBorder="1"/>
    <xf numFmtId="164" fontId="14" fillId="10" borderId="1" xfId="1" applyFont="1" applyFill="1" applyBorder="1" applyAlignment="1">
      <alignment horizontal="center"/>
    </xf>
    <xf numFmtId="164" fontId="16" fillId="2" borderId="1" xfId="1" applyFont="1" applyFill="1" applyBorder="1"/>
    <xf numFmtId="0" fontId="14" fillId="0" borderId="1" xfId="0" applyFont="1" applyBorder="1"/>
    <xf numFmtId="0" fontId="14" fillId="2" borderId="1" xfId="0" applyFont="1" applyFill="1" applyBorder="1"/>
    <xf numFmtId="0" fontId="13" fillId="2" borderId="1" xfId="0" applyFont="1" applyFill="1" applyBorder="1" applyAlignment="1">
      <alignment horizontal="right"/>
    </xf>
    <xf numFmtId="164" fontId="13" fillId="2" borderId="1" xfId="1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0" fontId="16" fillId="2" borderId="1" xfId="2" applyNumberFormat="1" applyFont="1" applyFill="1" applyBorder="1" applyAlignment="1">
      <alignment horizontal="center" vertical="top" wrapText="1"/>
    </xf>
    <xf numFmtId="4" fontId="16" fillId="2" borderId="1" xfId="1" applyNumberFormat="1" applyFont="1" applyFill="1" applyBorder="1" applyAlignment="1">
      <alignment vertical="top" wrapText="1"/>
    </xf>
    <xf numFmtId="164" fontId="13" fillId="10" borderId="1" xfId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/>
    </xf>
    <xf numFmtId="4" fontId="16" fillId="2" borderId="1" xfId="1" applyNumberFormat="1" applyFont="1" applyFill="1" applyBorder="1" applyAlignment="1">
      <alignment horizontal="right"/>
    </xf>
    <xf numFmtId="164" fontId="16" fillId="10" borderId="1" xfId="1" applyFont="1" applyFill="1" applyBorder="1" applyAlignment="1">
      <alignment horizontal="center" wrapText="1"/>
    </xf>
    <xf numFmtId="164" fontId="16" fillId="2" borderId="1" xfId="10" applyFont="1" applyFill="1" applyBorder="1" applyAlignment="1">
      <alignment horizontal="right" wrapText="1"/>
    </xf>
    <xf numFmtId="164" fontId="13" fillId="2" borderId="1" xfId="1" applyFont="1" applyFill="1" applyBorder="1" applyAlignment="1">
      <alignment horizontal="right"/>
    </xf>
    <xf numFmtId="164" fontId="12" fillId="3" borderId="1" xfId="1" applyFont="1" applyFill="1" applyBorder="1" applyAlignment="1">
      <alignment horizontal="center" vertical="top"/>
    </xf>
    <xf numFmtId="10" fontId="16" fillId="10" borderId="1" xfId="2" applyNumberFormat="1" applyFont="1" applyFill="1" applyBorder="1" applyAlignment="1">
      <alignment horizontal="center"/>
    </xf>
    <xf numFmtId="10" fontId="14" fillId="10" borderId="1" xfId="2" applyNumberFormat="1" applyFont="1" applyFill="1" applyBorder="1" applyAlignment="1">
      <alignment horizontal="center"/>
    </xf>
    <xf numFmtId="10" fontId="16" fillId="10" borderId="1" xfId="2" applyNumberFormat="1" applyFont="1" applyFill="1" applyBorder="1" applyAlignment="1">
      <alignment horizontal="center" vertical="top" wrapText="1"/>
    </xf>
    <xf numFmtId="10" fontId="16" fillId="10" borderId="1" xfId="2" applyNumberFormat="1" applyFont="1" applyFill="1" applyBorder="1" applyAlignment="1">
      <alignment horizontal="center" wrapText="1"/>
    </xf>
    <xf numFmtId="10" fontId="16" fillId="8" borderId="1" xfId="2" applyNumberFormat="1" applyFont="1" applyFill="1" applyBorder="1" applyAlignment="1">
      <alignment horizontal="center" wrapText="1"/>
    </xf>
    <xf numFmtId="10" fontId="16" fillId="10" borderId="1" xfId="1" applyNumberFormat="1" applyFont="1" applyFill="1" applyBorder="1" applyAlignment="1">
      <alignment horizontal="center"/>
    </xf>
    <xf numFmtId="10" fontId="16" fillId="3" borderId="1" xfId="2" applyNumberFormat="1" applyFont="1" applyFill="1" applyBorder="1" applyAlignment="1">
      <alignment horizontal="center" vertical="top" wrapText="1"/>
    </xf>
    <xf numFmtId="10" fontId="14" fillId="3" borderId="1" xfId="2" applyNumberFormat="1" applyFont="1" applyFill="1" applyBorder="1" applyAlignment="1">
      <alignment horizontal="center" vertical="top" wrapText="1"/>
    </xf>
    <xf numFmtId="10" fontId="14" fillId="3" borderId="1" xfId="1" applyNumberFormat="1" applyFont="1" applyFill="1" applyBorder="1" applyAlignment="1">
      <alignment horizontal="center" vertical="top" wrapText="1"/>
    </xf>
    <xf numFmtId="10" fontId="18" fillId="11" borderId="0" xfId="0" applyNumberFormat="1" applyFont="1" applyFill="1" applyAlignment="1">
      <alignment horizontal="right" vertical="center" wrapText="1"/>
    </xf>
    <xf numFmtId="2" fontId="16" fillId="2" borderId="1" xfId="0" applyNumberFormat="1" applyFont="1" applyFill="1" applyBorder="1"/>
    <xf numFmtId="164" fontId="16" fillId="2" borderId="1" xfId="10" applyFont="1" applyFill="1" applyBorder="1" applyAlignment="1">
      <alignment wrapText="1"/>
    </xf>
    <xf numFmtId="164" fontId="16" fillId="12" borderId="1" xfId="1" applyFont="1" applyFill="1" applyBorder="1" applyAlignment="1">
      <alignment horizontal="center"/>
    </xf>
    <xf numFmtId="10" fontId="16" fillId="12" borderId="1" xfId="2" applyNumberFormat="1" applyFont="1" applyFill="1" applyBorder="1" applyAlignment="1">
      <alignment horizontal="center"/>
    </xf>
    <xf numFmtId="10" fontId="16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0" fillId="0" borderId="0" xfId="1" applyFont="1"/>
    <xf numFmtId="4" fontId="21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2" fillId="11" borderId="0" xfId="0" applyNumberFormat="1" applyFont="1" applyFill="1" applyAlignment="1">
      <alignment horizontal="right" vertical="center" wrapText="1"/>
    </xf>
    <xf numFmtId="0" fontId="13" fillId="0" borderId="1" xfId="0" applyFont="1" applyBorder="1" applyAlignment="1">
      <alignment horizontal="right"/>
    </xf>
    <xf numFmtId="4" fontId="24" fillId="0" borderId="1" xfId="0" applyNumberFormat="1" applyFont="1" applyFill="1" applyBorder="1" applyAlignment="1" applyProtection="1"/>
    <xf numFmtId="0" fontId="25" fillId="2" borderId="1" xfId="0" applyFont="1" applyFill="1" applyBorder="1"/>
    <xf numFmtId="4" fontId="16" fillId="2" borderId="1" xfId="1" applyNumberFormat="1" applyFont="1" applyFill="1" applyBorder="1" applyAlignment="1">
      <alignment horizontal="right" vertical="top" wrapText="1"/>
    </xf>
    <xf numFmtId="164" fontId="13" fillId="2" borderId="1" xfId="1" applyFont="1" applyFill="1" applyBorder="1"/>
    <xf numFmtId="43" fontId="16" fillId="2" borderId="1" xfId="0" applyNumberFormat="1" applyFont="1" applyFill="1" applyBorder="1"/>
    <xf numFmtId="4" fontId="16" fillId="2" borderId="1" xfId="10" applyNumberFormat="1" applyFont="1" applyFill="1" applyBorder="1" applyAlignment="1">
      <alignment horizontal="right"/>
    </xf>
    <xf numFmtId="4" fontId="16" fillId="2" borderId="1" xfId="0" applyNumberFormat="1" applyFont="1" applyFill="1" applyBorder="1" applyAlignment="1">
      <alignment horizontal="right" wrapText="1"/>
    </xf>
    <xf numFmtId="4" fontId="16" fillId="2" borderId="1" xfId="10" applyNumberFormat="1" applyFont="1" applyFill="1" applyBorder="1" applyAlignment="1">
      <alignment horizontal="right" wrapText="1"/>
    </xf>
    <xf numFmtId="4" fontId="16" fillId="10" borderId="1" xfId="1" applyNumberFormat="1" applyFont="1" applyFill="1" applyBorder="1" applyAlignment="1">
      <alignment horizontal="center"/>
    </xf>
    <xf numFmtId="4" fontId="16" fillId="10" borderId="1" xfId="1" applyNumberFormat="1" applyFont="1" applyFill="1" applyBorder="1" applyAlignment="1">
      <alignment horizontal="center" vertical="top" wrapText="1"/>
    </xf>
    <xf numFmtId="43" fontId="16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3" fillId="10" borderId="1" xfId="1" applyNumberFormat="1" applyFont="1" applyFill="1" applyBorder="1" applyAlignment="1">
      <alignment horizontal="right" vertical="top" wrapText="1"/>
    </xf>
    <xf numFmtId="0" fontId="16" fillId="15" borderId="1" xfId="0" applyFont="1" applyFill="1" applyBorder="1" applyAlignment="1">
      <alignment horizontal="right" vertical="center"/>
    </xf>
    <xf numFmtId="0" fontId="13" fillId="15" borderId="1" xfId="0" applyFont="1" applyFill="1" applyBorder="1" applyAlignment="1">
      <alignment horizontal="right" vertical="center"/>
    </xf>
    <xf numFmtId="164" fontId="13" fillId="15" borderId="1" xfId="1" applyFont="1" applyFill="1" applyBorder="1" applyAlignment="1">
      <alignment horizontal="right" vertical="center" wrapText="1"/>
    </xf>
    <xf numFmtId="10" fontId="16" fillId="15" borderId="1" xfId="1" applyNumberFormat="1" applyFont="1" applyFill="1" applyBorder="1" applyAlignment="1">
      <alignment horizontal="right" vertical="center" wrapText="1"/>
    </xf>
    <xf numFmtId="4" fontId="16" fillId="15" borderId="1" xfId="1" applyNumberFormat="1" applyFont="1" applyFill="1" applyBorder="1" applyAlignment="1">
      <alignment horizontal="right" vertical="center" wrapText="1"/>
    </xf>
    <xf numFmtId="164" fontId="13" fillId="15" borderId="1" xfId="1" applyFont="1" applyFill="1" applyBorder="1" applyAlignment="1">
      <alignment horizontal="right" vertical="top" wrapText="1"/>
    </xf>
    <xf numFmtId="4" fontId="16" fillId="2" borderId="1" xfId="10" applyNumberFormat="1" applyFont="1" applyFill="1" applyBorder="1" applyAlignment="1">
      <alignment horizontal="right" vertical="top" wrapText="1"/>
    </xf>
    <xf numFmtId="164" fontId="27" fillId="15" borderId="1" xfId="1" applyFont="1" applyFill="1" applyBorder="1" applyAlignment="1">
      <alignment horizontal="right" vertical="top" wrapText="1"/>
    </xf>
    <xf numFmtId="4" fontId="16" fillId="15" borderId="1" xfId="1" applyNumberFormat="1" applyFont="1" applyFill="1" applyBorder="1" applyAlignment="1">
      <alignment horizontal="right" vertical="top" wrapText="1"/>
    </xf>
    <xf numFmtId="164" fontId="16" fillId="2" borderId="1" xfId="10" applyFont="1" applyFill="1" applyBorder="1" applyAlignment="1">
      <alignment horizontal="right" vertical="top" wrapText="1"/>
    </xf>
    <xf numFmtId="10" fontId="16" fillId="8" borderId="1" xfId="2" applyNumberFormat="1" applyFont="1" applyFill="1" applyBorder="1" applyAlignment="1">
      <alignment horizontal="center" vertical="top" wrapText="1"/>
    </xf>
    <xf numFmtId="164" fontId="16" fillId="10" borderId="1" xfId="1" applyFont="1" applyFill="1" applyBorder="1" applyAlignment="1">
      <alignment horizontal="center" vertical="top" wrapText="1"/>
    </xf>
    <xf numFmtId="164" fontId="16" fillId="2" borderId="1" xfId="1" applyFont="1" applyFill="1" applyBorder="1" applyAlignment="1">
      <alignment horizontal="right" vertical="top" wrapText="1"/>
    </xf>
    <xf numFmtId="0" fontId="16" fillId="16" borderId="1" xfId="0" applyFont="1" applyFill="1" applyBorder="1" applyAlignment="1">
      <alignment horizontal="right" vertical="top" wrapText="1"/>
    </xf>
    <xf numFmtId="0" fontId="23" fillId="16" borderId="1" xfId="0" applyFont="1" applyFill="1" applyBorder="1" applyAlignment="1">
      <alignment horizontal="right" vertical="top" wrapText="1"/>
    </xf>
    <xf numFmtId="164" fontId="23" fillId="16" borderId="1" xfId="1" applyFont="1" applyFill="1" applyBorder="1" applyAlignment="1">
      <alignment horizontal="right" vertical="top" wrapText="1"/>
    </xf>
    <xf numFmtId="164" fontId="28" fillId="16" borderId="1" xfId="1" applyFont="1" applyFill="1" applyBorder="1" applyAlignment="1">
      <alignment horizontal="right" vertical="top" wrapText="1"/>
    </xf>
    <xf numFmtId="4" fontId="28" fillId="16" borderId="1" xfId="0" applyNumberFormat="1" applyFont="1" applyFill="1" applyBorder="1" applyAlignment="1">
      <alignment horizontal="right"/>
    </xf>
    <xf numFmtId="0" fontId="29" fillId="6" borderId="1" xfId="0" applyFont="1" applyFill="1" applyBorder="1" applyAlignment="1">
      <alignment horizontal="right" vertical="center"/>
    </xf>
    <xf numFmtId="0" fontId="8" fillId="6" borderId="1" xfId="0" applyFont="1" applyFill="1" applyBorder="1"/>
    <xf numFmtId="0" fontId="30" fillId="0" borderId="0" xfId="0" applyFont="1"/>
    <xf numFmtId="43" fontId="0" fillId="0" borderId="0" xfId="0" applyNumberFormat="1"/>
    <xf numFmtId="0" fontId="31" fillId="0" borderId="0" xfId="0" applyFont="1"/>
    <xf numFmtId="0" fontId="25" fillId="2" borderId="0" xfId="0" applyFont="1" applyFill="1" applyAlignment="1">
      <alignment wrapText="1"/>
    </xf>
    <xf numFmtId="43" fontId="31" fillId="0" borderId="0" xfId="11" applyFont="1" applyBorder="1"/>
    <xf numFmtId="2" fontId="31" fillId="0" borderId="0" xfId="0" applyNumberFormat="1" applyFont="1"/>
    <xf numFmtId="9" fontId="16" fillId="15" borderId="1" xfId="2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center" wrapText="1"/>
    </xf>
    <xf numFmtId="4" fontId="16" fillId="15" borderId="1" xfId="1" applyNumberFormat="1" applyFont="1" applyFill="1" applyBorder="1" applyAlignment="1">
      <alignment horizontal="center" vertical="top" wrapText="1"/>
    </xf>
    <xf numFmtId="9" fontId="28" fillId="16" borderId="1" xfId="2" applyFont="1" applyFill="1" applyBorder="1" applyAlignment="1">
      <alignment horizontal="center"/>
    </xf>
    <xf numFmtId="4" fontId="28" fillId="16" borderId="1" xfId="0" applyNumberFormat="1" applyFont="1" applyFill="1" applyBorder="1" applyAlignment="1">
      <alignment horizontal="center"/>
    </xf>
    <xf numFmtId="10" fontId="31" fillId="0" borderId="0" xfId="2" applyNumberFormat="1" applyFont="1" applyBorder="1"/>
    <xf numFmtId="10" fontId="32" fillId="0" borderId="0" xfId="2" applyNumberFormat="1" applyFont="1" applyBorder="1"/>
    <xf numFmtId="10" fontId="14" fillId="15" borderId="1" xfId="2" applyNumberFormat="1" applyFont="1" applyFill="1" applyBorder="1" applyAlignment="1">
      <alignment horizontal="center" vertical="top" wrapText="1"/>
    </xf>
    <xf numFmtId="166" fontId="14" fillId="15" borderId="1" xfId="2" applyNumberFormat="1" applyFont="1" applyFill="1" applyBorder="1" applyAlignment="1">
      <alignment horizontal="center" vertical="top" wrapText="1"/>
    </xf>
    <xf numFmtId="10" fontId="14" fillId="15" borderId="1" xfId="1" applyNumberFormat="1" applyFont="1" applyFill="1" applyBorder="1" applyAlignment="1">
      <alignment horizontal="center" vertical="top" wrapText="1"/>
    </xf>
    <xf numFmtId="10" fontId="28" fillId="16" borderId="1" xfId="2" applyNumberFormat="1" applyFont="1" applyFill="1" applyBorder="1" applyAlignment="1">
      <alignment horizontal="center" vertical="top" wrapText="1"/>
    </xf>
    <xf numFmtId="166" fontId="28" fillId="16" borderId="1" xfId="2" applyNumberFormat="1" applyFont="1" applyFill="1" applyBorder="1" applyAlignment="1">
      <alignment horizontal="center" vertical="top" wrapText="1"/>
    </xf>
    <xf numFmtId="166" fontId="16" fillId="16" borderId="1" xfId="2" applyNumberFormat="1" applyFont="1" applyFill="1" applyBorder="1" applyAlignment="1">
      <alignment horizontal="center" vertical="top" wrapText="1"/>
    </xf>
    <xf numFmtId="43" fontId="1" fillId="4" borderId="1" xfId="0" quotePrefix="1" applyNumberFormat="1" applyFont="1" applyFill="1" applyBorder="1" applyAlignment="1">
      <alignment horizontal="center"/>
    </xf>
    <xf numFmtId="0" fontId="39" fillId="3" borderId="1" xfId="0" applyFont="1" applyFill="1" applyBorder="1" applyAlignment="1">
      <alignment horizontal="center" vertical="top" wrapText="1"/>
    </xf>
    <xf numFmtId="164" fontId="3" fillId="2" borderId="0" xfId="1" applyFont="1" applyFill="1" applyBorder="1" applyAlignment="1">
      <alignment horizontal="right" vertical="top" wrapText="1"/>
    </xf>
    <xf numFmtId="4" fontId="3" fillId="2" borderId="0" xfId="0" applyNumberFormat="1" applyFont="1" applyFill="1" applyAlignment="1">
      <alignment horizontal="right"/>
    </xf>
    <xf numFmtId="0" fontId="41" fillId="8" borderId="1" xfId="0" applyFont="1" applyFill="1" applyBorder="1"/>
    <xf numFmtId="0" fontId="42" fillId="0" borderId="0" xfId="0" applyFont="1"/>
    <xf numFmtId="0" fontId="29" fillId="6" borderId="1" xfId="0" applyFont="1" applyFill="1" applyBorder="1" applyAlignment="1">
      <alignment horizontal="left" vertical="center"/>
    </xf>
    <xf numFmtId="4" fontId="20" fillId="0" borderId="0" xfId="0" applyNumberFormat="1" applyFont="1"/>
    <xf numFmtId="0" fontId="16" fillId="15" borderId="1" xfId="0" applyFont="1" applyFill="1" applyBorder="1" applyAlignment="1">
      <alignment horizontal="right"/>
    </xf>
    <xf numFmtId="0" fontId="13" fillId="15" borderId="1" xfId="0" applyFont="1" applyFill="1" applyBorder="1" applyAlignment="1">
      <alignment horizontal="right"/>
    </xf>
    <xf numFmtId="0" fontId="43" fillId="0" borderId="0" xfId="0" applyFont="1"/>
    <xf numFmtId="43" fontId="6" fillId="0" borderId="0" xfId="0" applyNumberFormat="1" applyFont="1"/>
    <xf numFmtId="0" fontId="8" fillId="0" borderId="0" xfId="0" applyFont="1" applyBorder="1"/>
    <xf numFmtId="0" fontId="45" fillId="0" borderId="0" xfId="0" applyFont="1" applyBorder="1" applyAlignment="1">
      <alignment horizontal="right"/>
    </xf>
    <xf numFmtId="16" fontId="45" fillId="2" borderId="0" xfId="0" applyNumberFormat="1" applyFont="1" applyFill="1" applyBorder="1" applyAlignment="1">
      <alignment horizontal="center" wrapText="1"/>
    </xf>
    <xf numFmtId="0" fontId="46" fillId="0" borderId="0" xfId="0" applyFont="1" applyBorder="1"/>
    <xf numFmtId="0" fontId="45" fillId="0" borderId="0" xfId="0" applyFont="1" applyBorder="1" applyAlignment="1">
      <alignment horizontal="right" wrapText="1"/>
    </xf>
    <xf numFmtId="4" fontId="47" fillId="2" borderId="0" xfId="0" applyNumberFormat="1" applyFont="1" applyFill="1" applyBorder="1"/>
    <xf numFmtId="4" fontId="47" fillId="2" borderId="0" xfId="0" applyNumberFormat="1" applyFont="1" applyFill="1" applyBorder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0" fontId="48" fillId="0" borderId="0" xfId="0" applyFont="1" applyBorder="1" applyAlignment="1">
      <alignment horizontal="right" wrapText="1"/>
    </xf>
    <xf numFmtId="164" fontId="49" fillId="0" borderId="0" xfId="1" applyFont="1" applyBorder="1"/>
    <xf numFmtId="4" fontId="49" fillId="2" borderId="0" xfId="0" applyNumberFormat="1" applyFont="1" applyFill="1" applyBorder="1"/>
    <xf numFmtId="0" fontId="48" fillId="0" borderId="0" xfId="0" applyFont="1" applyBorder="1" applyAlignment="1">
      <alignment horizontal="right"/>
    </xf>
    <xf numFmtId="4" fontId="49" fillId="2" borderId="0" xfId="0" applyNumberFormat="1" applyFont="1" applyFill="1" applyBorder="1" applyAlignment="1">
      <alignment horizontal="right"/>
    </xf>
    <xf numFmtId="164" fontId="49" fillId="2" borderId="0" xfId="1" applyFont="1" applyFill="1" applyBorder="1" applyAlignment="1">
      <alignment horizontal="right" vertical="top" wrapText="1"/>
    </xf>
    <xf numFmtId="0" fontId="50" fillId="0" borderId="0" xfId="0" applyFont="1" applyBorder="1" applyAlignment="1">
      <alignment horizontal="right"/>
    </xf>
    <xf numFmtId="4" fontId="51" fillId="2" borderId="0" xfId="0" applyNumberFormat="1" applyFont="1" applyFill="1" applyBorder="1" applyAlignment="1">
      <alignment horizontal="right"/>
    </xf>
    <xf numFmtId="4" fontId="51" fillId="2" borderId="0" xfId="0" applyNumberFormat="1" applyFont="1" applyFill="1" applyBorder="1"/>
    <xf numFmtId="0" fontId="50" fillId="0" borderId="0" xfId="0" applyFont="1" applyAlignment="1">
      <alignment horizontal="right"/>
    </xf>
    <xf numFmtId="4" fontId="51" fillId="2" borderId="0" xfId="0" applyNumberFormat="1" applyFont="1" applyFill="1"/>
    <xf numFmtId="164" fontId="51" fillId="2" borderId="0" xfId="1" applyFont="1" applyFill="1" applyBorder="1" applyAlignment="1">
      <alignment horizontal="right" vertical="top" wrapText="1"/>
    </xf>
    <xf numFmtId="0" fontId="52" fillId="0" borderId="0" xfId="0" applyFont="1" applyBorder="1" applyAlignment="1">
      <alignment horizontal="right"/>
    </xf>
    <xf numFmtId="16" fontId="50" fillId="2" borderId="0" xfId="0" applyNumberFormat="1" applyFont="1" applyFill="1" applyBorder="1"/>
    <xf numFmtId="164" fontId="8" fillId="0" borderId="0" xfId="1" applyFont="1" applyBorder="1"/>
    <xf numFmtId="0" fontId="44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0" fontId="16" fillId="0" borderId="1" xfId="0" applyFont="1" applyBorder="1" applyAlignment="1">
      <alignment horizontal="center"/>
    </xf>
    <xf numFmtId="4" fontId="16" fillId="2" borderId="1" xfId="0" applyNumberFormat="1" applyFont="1" applyFill="1" applyBorder="1" applyAlignment="1">
      <alignment wrapText="1"/>
    </xf>
    <xf numFmtId="0" fontId="16" fillId="2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4" fontId="16" fillId="0" borderId="1" xfId="0" applyNumberFormat="1" applyFont="1" applyBorder="1" applyAlignment="1">
      <alignment wrapText="1"/>
    </xf>
    <xf numFmtId="49" fontId="16" fillId="0" borderId="1" xfId="0" applyNumberFormat="1" applyFont="1" applyBorder="1" applyAlignment="1">
      <alignment wrapText="1"/>
    </xf>
    <xf numFmtId="0" fontId="11" fillId="6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13" borderId="1" xfId="0" applyFont="1" applyFill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23" fillId="14" borderId="1" xfId="0" applyFont="1" applyFill="1" applyBorder="1" applyAlignment="1">
      <alignment horizontal="center" wrapText="1"/>
    </xf>
    <xf numFmtId="0" fontId="26" fillId="9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16" fillId="0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left" wrapText="1"/>
    </xf>
  </cellXfs>
  <cellStyles count="3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Percent" xfId="2" builtinId="5"/>
    <cellStyle name="Percent 13" xfId="29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January 10,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33.411621797110001</c:v>
                </c:pt>
                <c:pt idx="1">
                  <c:v>1796.1635202174673</c:v>
                </c:pt>
                <c:pt idx="2">
                  <c:v>198.624219481398</c:v>
                </c:pt>
                <c:pt idx="3">
                  <c:v>1721.2737908844595</c:v>
                </c:pt>
                <c:pt idx="4">
                  <c:v>100.81452594229248</c:v>
                </c:pt>
                <c:pt idx="5" formatCode="_-* #,##0.00_-;\-* #,##0.00_-;_-* &quot;-&quot;??_-;_-@_-">
                  <c:v>54.634812426096275</c:v>
                </c:pt>
                <c:pt idx="6">
                  <c:v>6.0531176973000003</c:v>
                </c:pt>
                <c:pt idx="7">
                  <c:v>52.575931037907694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January 17,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33.055654590010001</c:v>
                </c:pt>
                <c:pt idx="1">
                  <c:v>1833.4943338316871</c:v>
                </c:pt>
                <c:pt idx="2">
                  <c:v>199.57294490079062</c:v>
                </c:pt>
                <c:pt idx="3">
                  <c:v>1738.4597624644448</c:v>
                </c:pt>
                <c:pt idx="4">
                  <c:v>100.84819703593321</c:v>
                </c:pt>
                <c:pt idx="5" formatCode="_-* #,##0.00_-;\-* #,##0.00_-;_-* &quot;-&quot;??_-;_-@_-">
                  <c:v>54.483397031599196</c:v>
                </c:pt>
                <c:pt idx="6">
                  <c:v>6.02151531135</c:v>
                </c:pt>
                <c:pt idx="7">
                  <c:v>53.769824668250124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17TH JANUARY,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17-Jan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6021515311.3500004</c:v>
                </c:pt>
                <c:pt idx="1">
                  <c:v>33055654590.010002</c:v>
                </c:pt>
                <c:pt idx="2" formatCode="_-* #,##0.00_-;\-* #,##0.00_-;_-* &quot;-&quot;??_-;_-@_-">
                  <c:v>53769824668.250122</c:v>
                </c:pt>
                <c:pt idx="3">
                  <c:v>54483397031.599197</c:v>
                </c:pt>
                <c:pt idx="4">
                  <c:v>100848197035.93321</c:v>
                </c:pt>
                <c:pt idx="5">
                  <c:v>199572944900.79062</c:v>
                </c:pt>
                <c:pt idx="6">
                  <c:v>1833494333831.687</c:v>
                </c:pt>
                <c:pt idx="7">
                  <c:v>1738459762464.4448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45625</c:v>
                </c:pt>
                <c:pt idx="1">
                  <c:v>45632</c:v>
                </c:pt>
                <c:pt idx="2">
                  <c:v>45639</c:v>
                </c:pt>
                <c:pt idx="3">
                  <c:v>45646</c:v>
                </c:pt>
                <c:pt idx="4">
                  <c:v>45653</c:v>
                </c:pt>
                <c:pt idx="5">
                  <c:v>45660</c:v>
                </c:pt>
                <c:pt idx="6">
                  <c:v>45667</c:v>
                </c:pt>
                <c:pt idx="7">
                  <c:v>45674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3850.3823617505013</c:v>
                </c:pt>
                <c:pt idx="1">
                  <c:v>3767.9650755489829</c:v>
                </c:pt>
                <c:pt idx="2">
                  <c:v>3751.2644931970517</c:v>
                </c:pt>
                <c:pt idx="3">
                  <c:v>3792.1276820114672</c:v>
                </c:pt>
                <c:pt idx="4">
                  <c:v>3829.831201863391</c:v>
                </c:pt>
                <c:pt idx="5">
                  <c:v>3883.4933818535656</c:v>
                </c:pt>
                <c:pt idx="6">
                  <c:v>3964.1148250792808</c:v>
                </c:pt>
                <c:pt idx="7">
                  <c:v>4019.7056298340649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45625</c:v>
                </c:pt>
                <c:pt idx="1">
                  <c:v>45632</c:v>
                </c:pt>
                <c:pt idx="2">
                  <c:v>45639</c:v>
                </c:pt>
                <c:pt idx="3">
                  <c:v>45646</c:v>
                </c:pt>
                <c:pt idx="4">
                  <c:v>45653</c:v>
                </c:pt>
                <c:pt idx="5">
                  <c:v>45660</c:v>
                </c:pt>
                <c:pt idx="6">
                  <c:v>45667</c:v>
                </c:pt>
                <c:pt idx="7">
                  <c:v>45674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12.578926303585625</c:v>
                </c:pt>
                <c:pt idx="1">
                  <c:v>12.480727319636602</c:v>
                </c:pt>
                <c:pt idx="2">
                  <c:v>12.494363671946113</c:v>
                </c:pt>
                <c:pt idx="3">
                  <c:v>12.568890044927004</c:v>
                </c:pt>
                <c:pt idx="4">
                  <c:v>12.767135898969396</c:v>
                </c:pt>
                <c:pt idx="5">
                  <c:v>12.486443329167654</c:v>
                </c:pt>
                <c:pt idx="6">
                  <c:v>13.126291240540001</c:v>
                </c:pt>
                <c:pt idx="7">
                  <c:v>12.926648581233682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38099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2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6" width="15.88671875" customWidth="1"/>
    <col min="27" max="27" width="17.33203125" customWidth="1"/>
  </cols>
  <sheetData>
    <row r="1" spans="1:25" ht="27">
      <c r="A1" s="174" t="s">
        <v>305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</row>
    <row r="2" spans="1:25" ht="15" customHeight="1">
      <c r="A2" s="23"/>
      <c r="B2" s="24"/>
      <c r="C2" s="131"/>
      <c r="D2" s="175" t="s">
        <v>294</v>
      </c>
      <c r="E2" s="175"/>
      <c r="F2" s="175"/>
      <c r="G2" s="175"/>
      <c r="H2" s="175"/>
      <c r="I2" s="175"/>
      <c r="J2" s="175"/>
      <c r="K2" s="175" t="s">
        <v>306</v>
      </c>
      <c r="L2" s="175"/>
      <c r="M2" s="175"/>
      <c r="N2" s="175"/>
      <c r="O2" s="175"/>
      <c r="P2" s="175"/>
      <c r="Q2" s="175"/>
      <c r="R2" s="175" t="s">
        <v>0</v>
      </c>
      <c r="S2" s="175"/>
      <c r="T2" s="175"/>
      <c r="U2" s="175" t="s">
        <v>1</v>
      </c>
      <c r="V2" s="175"/>
    </row>
    <row r="3" spans="1:25" ht="20.399999999999999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128" t="s">
        <v>291</v>
      </c>
      <c r="G3" s="29" t="s">
        <v>8</v>
      </c>
      <c r="H3" s="29" t="s">
        <v>9</v>
      </c>
      <c r="I3" s="29" t="s">
        <v>10</v>
      </c>
      <c r="J3" s="29" t="s">
        <v>11</v>
      </c>
      <c r="K3" s="52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10</v>
      </c>
      <c r="Q3" s="29" t="s">
        <v>11</v>
      </c>
      <c r="R3" s="28" t="s">
        <v>12</v>
      </c>
      <c r="S3" s="29" t="s">
        <v>13</v>
      </c>
      <c r="T3" s="29" t="s">
        <v>14</v>
      </c>
      <c r="U3" s="29" t="s">
        <v>15</v>
      </c>
      <c r="V3" s="29" t="s">
        <v>16</v>
      </c>
    </row>
    <row r="4" spans="1:25" ht="5.25" customHeight="1">
      <c r="A4" s="30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</row>
    <row r="5" spans="1:25" ht="15" customHeight="1">
      <c r="A5" s="177" t="s">
        <v>17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</row>
    <row r="6" spans="1:25">
      <c r="A6" s="171">
        <v>1</v>
      </c>
      <c r="B6" s="168" t="s">
        <v>18</v>
      </c>
      <c r="C6" s="169" t="s">
        <v>19</v>
      </c>
      <c r="D6" s="31">
        <v>1381350889.5799999</v>
      </c>
      <c r="E6" s="32">
        <f t="shared" ref="E6:E23" si="0">(D6/$D$24)</f>
        <v>4.1343425289803871E-2</v>
      </c>
      <c r="F6" s="33">
        <v>404.85520000000002</v>
      </c>
      <c r="G6" s="33">
        <v>404.85520000000002</v>
      </c>
      <c r="H6" s="34">
        <v>1948</v>
      </c>
      <c r="I6" s="53">
        <v>1.46E-2</v>
      </c>
      <c r="J6" s="53">
        <v>1.8499999999999999E-2</v>
      </c>
      <c r="K6" s="31">
        <v>1406467411.3699999</v>
      </c>
      <c r="L6" s="32">
        <f>(K6/$K$24)</f>
        <v>4.2548466482193306E-2</v>
      </c>
      <c r="M6" s="33">
        <v>402.37729999999999</v>
      </c>
      <c r="N6" s="33">
        <v>402.37729999999999</v>
      </c>
      <c r="O6" s="34">
        <v>1948</v>
      </c>
      <c r="P6" s="53">
        <v>-6.1000000000000004E-3</v>
      </c>
      <c r="Q6" s="53">
        <v>1.2200000000000001E-2</v>
      </c>
      <c r="R6" s="59">
        <f>((K6-D6)/D6)</f>
        <v>1.8182579082159672E-2</v>
      </c>
      <c r="S6" s="59">
        <f>((N6-G6)/G6)</f>
        <v>-6.1204598582407579E-3</v>
      </c>
      <c r="T6" s="59">
        <f>((O6-H6)/H6)</f>
        <v>0</v>
      </c>
      <c r="U6" s="60">
        <f>P6-I6</f>
        <v>-2.07E-2</v>
      </c>
      <c r="V6" s="61">
        <f>Q6-J6</f>
        <v>-6.2999999999999983E-3</v>
      </c>
    </row>
    <row r="7" spans="1:25">
      <c r="A7" s="171">
        <v>2</v>
      </c>
      <c r="B7" s="168" t="s">
        <v>20</v>
      </c>
      <c r="C7" s="169" t="s">
        <v>21</v>
      </c>
      <c r="D7" s="35">
        <v>647034038.29999995</v>
      </c>
      <c r="E7" s="32">
        <f t="shared" si="0"/>
        <v>1.93655382019189E-2</v>
      </c>
      <c r="F7" s="35">
        <v>265.96679999999998</v>
      </c>
      <c r="G7" s="35">
        <v>268.9957</v>
      </c>
      <c r="H7" s="34">
        <v>460</v>
      </c>
      <c r="I7" s="53">
        <v>-8.1799999999999998E-3</v>
      </c>
      <c r="J7" s="53">
        <v>3.2800000000000003E-2</v>
      </c>
      <c r="K7" s="35">
        <v>628407111.74000001</v>
      </c>
      <c r="L7" s="32">
        <f t="shared" ref="L7:L23" si="1">(K7/$K$24)</f>
        <v>1.9010578357444345E-2</v>
      </c>
      <c r="M7" s="35">
        <v>259.33929999999998</v>
      </c>
      <c r="N7" s="35">
        <v>262.27910000000003</v>
      </c>
      <c r="O7" s="34">
        <v>461</v>
      </c>
      <c r="P7" s="53">
        <v>-1.06E-3</v>
      </c>
      <c r="Q7" s="53">
        <v>7.1000000000000004E-3</v>
      </c>
      <c r="R7" s="59">
        <f t="shared" ref="R7:R24" si="2">((K7-D7)/D7)</f>
        <v>-2.8788171034927056E-2</v>
      </c>
      <c r="S7" s="59">
        <f t="shared" ref="S7:S24" si="3">((N7-G7)/G7)</f>
        <v>-2.4969172369669744E-2</v>
      </c>
      <c r="T7" s="59">
        <f t="shared" ref="T7:T24" si="4">((O7-H7)/H7)</f>
        <v>2.1739130434782609E-3</v>
      </c>
      <c r="U7" s="60">
        <f t="shared" ref="U7:U24" si="5">P7-I7</f>
        <v>7.1199999999999996E-3</v>
      </c>
      <c r="V7" s="61">
        <f t="shared" ref="V7:V24" si="6">Q7-J7</f>
        <v>-2.5700000000000001E-2</v>
      </c>
    </row>
    <row r="8" spans="1:25">
      <c r="A8" s="171">
        <v>3</v>
      </c>
      <c r="B8" s="168" t="s">
        <v>22</v>
      </c>
      <c r="C8" s="169" t="s">
        <v>23</v>
      </c>
      <c r="D8" s="35">
        <v>3991659685.2600002</v>
      </c>
      <c r="E8" s="32">
        <f t="shared" si="0"/>
        <v>0.11946919875662143</v>
      </c>
      <c r="F8" s="35">
        <v>36.290199999999999</v>
      </c>
      <c r="G8" s="35">
        <v>37.384399999999999</v>
      </c>
      <c r="H8" s="36">
        <v>6620</v>
      </c>
      <c r="I8" s="54">
        <v>0.82699999999999996</v>
      </c>
      <c r="J8" s="54">
        <v>0.85970000000000002</v>
      </c>
      <c r="K8" s="35">
        <v>3828407776.29</v>
      </c>
      <c r="L8" s="32">
        <f t="shared" si="1"/>
        <v>0.11581703111839182</v>
      </c>
      <c r="M8" s="35">
        <v>34.864100000000001</v>
      </c>
      <c r="N8" s="35">
        <v>35.915300000000002</v>
      </c>
      <c r="O8" s="36">
        <v>6621</v>
      </c>
      <c r="P8" s="54">
        <v>-2.0491000000000001</v>
      </c>
      <c r="Q8" s="54">
        <v>-0.3579</v>
      </c>
      <c r="R8" s="59">
        <f t="shared" si="2"/>
        <v>-4.0898253318748717E-2</v>
      </c>
      <c r="S8" s="59">
        <f t="shared" si="3"/>
        <v>-3.9297139983522474E-2</v>
      </c>
      <c r="T8" s="59">
        <f t="shared" si="4"/>
        <v>1.5105740181268882E-4</v>
      </c>
      <c r="U8" s="60">
        <f t="shared" si="5"/>
        <v>-2.8761000000000001</v>
      </c>
      <c r="V8" s="61">
        <f t="shared" si="6"/>
        <v>-1.2176</v>
      </c>
      <c r="X8" s="62"/>
      <c r="Y8" s="62"/>
    </row>
    <row r="9" spans="1:25">
      <c r="A9" s="171">
        <v>4</v>
      </c>
      <c r="B9" s="168" t="s">
        <v>24</v>
      </c>
      <c r="C9" s="169" t="s">
        <v>25</v>
      </c>
      <c r="D9" s="35">
        <v>654420698.13</v>
      </c>
      <c r="E9" s="32">
        <f t="shared" si="0"/>
        <v>1.9586618755112487E-2</v>
      </c>
      <c r="F9" s="35">
        <v>222.58080000000001</v>
      </c>
      <c r="G9" s="35">
        <v>222.58080000000001</v>
      </c>
      <c r="H9" s="34">
        <v>1894</v>
      </c>
      <c r="I9" s="53">
        <v>7.7000000000000002E-3</v>
      </c>
      <c r="J9" s="53">
        <v>1.6500000000000001E-2</v>
      </c>
      <c r="K9" s="35">
        <v>626673742.29999995</v>
      </c>
      <c r="L9" s="32">
        <f t="shared" si="1"/>
        <v>1.8958140447455901E-2</v>
      </c>
      <c r="M9" s="35">
        <v>217.92320000000001</v>
      </c>
      <c r="N9" s="35">
        <v>217.92320000000001</v>
      </c>
      <c r="O9" s="34">
        <v>1897</v>
      </c>
      <c r="P9" s="53">
        <v>-2.0899999999999998E-2</v>
      </c>
      <c r="Q9" s="53">
        <v>-4.7999999999999996E-3</v>
      </c>
      <c r="R9" s="59">
        <f t="shared" si="2"/>
        <v>-4.2399263821096531E-2</v>
      </c>
      <c r="S9" s="59">
        <f t="shared" si="3"/>
        <v>-2.0925434718538177E-2</v>
      </c>
      <c r="T9" s="59">
        <f t="shared" si="4"/>
        <v>1.5839493136219642E-3</v>
      </c>
      <c r="U9" s="60">
        <f t="shared" si="5"/>
        <v>-2.86E-2</v>
      </c>
      <c r="V9" s="61">
        <f t="shared" si="6"/>
        <v>-2.1299999999999999E-2</v>
      </c>
    </row>
    <row r="10" spans="1:25">
      <c r="A10" s="171">
        <v>5</v>
      </c>
      <c r="B10" s="168" t="s">
        <v>26</v>
      </c>
      <c r="C10" s="169" t="s">
        <v>27</v>
      </c>
      <c r="D10" s="35">
        <v>986766885.75</v>
      </c>
      <c r="E10" s="32">
        <f t="shared" si="0"/>
        <v>2.9533642268013225E-2</v>
      </c>
      <c r="F10" s="35">
        <v>1.2608999999999999</v>
      </c>
      <c r="G10" s="35">
        <v>1.2768999999999999</v>
      </c>
      <c r="H10" s="34">
        <v>496</v>
      </c>
      <c r="I10" s="53">
        <v>5.1000000000000004E-3</v>
      </c>
      <c r="J10" s="53">
        <v>1.7899999999999999E-2</v>
      </c>
      <c r="K10" s="35">
        <v>954436728.55999994</v>
      </c>
      <c r="L10" s="32">
        <f t="shared" si="1"/>
        <v>2.8873629652714471E-2</v>
      </c>
      <c r="M10" s="35">
        <v>1.2177</v>
      </c>
      <c r="N10" s="35">
        <v>1.2330000000000001</v>
      </c>
      <c r="O10" s="34">
        <v>494</v>
      </c>
      <c r="P10" s="53">
        <v>-3.4299999999999997E-2</v>
      </c>
      <c r="Q10" s="53">
        <v>-1.7000000000000001E-2</v>
      </c>
      <c r="R10" s="59">
        <f t="shared" si="2"/>
        <v>-3.2763723283465544E-2</v>
      </c>
      <c r="S10" s="59">
        <f t="shared" si="3"/>
        <v>-3.4380139400109505E-2</v>
      </c>
      <c r="T10" s="59">
        <f t="shared" si="4"/>
        <v>-4.0322580645161289E-3</v>
      </c>
      <c r="U10" s="60">
        <f t="shared" si="5"/>
        <v>-3.9399999999999998E-2</v>
      </c>
      <c r="V10" s="61">
        <f t="shared" si="6"/>
        <v>-3.49E-2</v>
      </c>
    </row>
    <row r="11" spans="1:25">
      <c r="A11" s="171">
        <v>6</v>
      </c>
      <c r="B11" s="168" t="s">
        <v>28</v>
      </c>
      <c r="C11" s="169" t="s">
        <v>29</v>
      </c>
      <c r="D11" s="37">
        <v>96433645.829999998</v>
      </c>
      <c r="E11" s="32">
        <f t="shared" si="0"/>
        <v>2.8862306180641967E-3</v>
      </c>
      <c r="F11" s="35">
        <v>173.94300000000001</v>
      </c>
      <c r="G11" s="35">
        <v>174.7568</v>
      </c>
      <c r="H11" s="36">
        <v>63</v>
      </c>
      <c r="I11" s="54">
        <v>3.8200000000000002E-4</v>
      </c>
      <c r="J11" s="54">
        <v>1.2E-2</v>
      </c>
      <c r="K11" s="37">
        <v>96433645.829999998</v>
      </c>
      <c r="L11" s="32">
        <f t="shared" si="1"/>
        <v>2.9173116377838705E-3</v>
      </c>
      <c r="M11" s="35">
        <v>173.94300000000001</v>
      </c>
      <c r="N11" s="35">
        <v>174.7568</v>
      </c>
      <c r="O11" s="36">
        <v>63</v>
      </c>
      <c r="P11" s="54">
        <v>3.8200000000000002E-4</v>
      </c>
      <c r="Q11" s="54">
        <v>1.2E-2</v>
      </c>
      <c r="R11" s="59">
        <f t="shared" si="2"/>
        <v>0</v>
      </c>
      <c r="S11" s="59">
        <f t="shared" si="3"/>
        <v>0</v>
      </c>
      <c r="T11" s="59">
        <f t="shared" si="4"/>
        <v>0</v>
      </c>
      <c r="U11" s="60">
        <f t="shared" si="5"/>
        <v>0</v>
      </c>
      <c r="V11" s="61">
        <f t="shared" si="6"/>
        <v>0</v>
      </c>
    </row>
    <row r="12" spans="1:25">
      <c r="A12" s="171">
        <v>7</v>
      </c>
      <c r="B12" s="168" t="s">
        <v>30</v>
      </c>
      <c r="C12" s="169" t="s">
        <v>31</v>
      </c>
      <c r="D12" s="35">
        <v>1217866641.3900001</v>
      </c>
      <c r="E12" s="32">
        <f t="shared" si="0"/>
        <v>3.645038989084156E-2</v>
      </c>
      <c r="F12" s="35">
        <v>334.32</v>
      </c>
      <c r="G12" s="35">
        <v>338.24</v>
      </c>
      <c r="H12" s="36">
        <v>1645</v>
      </c>
      <c r="I12" s="54">
        <v>1.15E-2</v>
      </c>
      <c r="J12" s="54">
        <v>3.2399999999999998E-2</v>
      </c>
      <c r="K12" s="35">
        <v>1218645810</v>
      </c>
      <c r="L12" s="32">
        <f t="shared" si="1"/>
        <v>3.6866485480771455E-2</v>
      </c>
      <c r="M12" s="35">
        <v>332.58</v>
      </c>
      <c r="N12" s="35">
        <v>336.31</v>
      </c>
      <c r="O12" s="36">
        <v>1650</v>
      </c>
      <c r="P12" s="54">
        <v>-5.4999999999999997E-3</v>
      </c>
      <c r="Q12" s="54">
        <v>2.7099999999999999E-2</v>
      </c>
      <c r="R12" s="59">
        <f t="shared" si="2"/>
        <v>6.3978155203479317E-4</v>
      </c>
      <c r="S12" s="59">
        <f t="shared" si="3"/>
        <v>-5.70600756859037E-3</v>
      </c>
      <c r="T12" s="59">
        <f t="shared" si="4"/>
        <v>3.0395136778115501E-3</v>
      </c>
      <c r="U12" s="60">
        <f t="shared" si="5"/>
        <v>-1.7000000000000001E-2</v>
      </c>
      <c r="V12" s="61">
        <f t="shared" si="6"/>
        <v>-5.2999999999999992E-3</v>
      </c>
    </row>
    <row r="13" spans="1:25">
      <c r="A13" s="171">
        <v>8</v>
      </c>
      <c r="B13" s="168" t="s">
        <v>32</v>
      </c>
      <c r="C13" s="169" t="s">
        <v>33</v>
      </c>
      <c r="D13" s="31">
        <v>433732198.97000003</v>
      </c>
      <c r="E13" s="32">
        <f t="shared" si="0"/>
        <v>1.2981476972408338E-2</v>
      </c>
      <c r="F13" s="35">
        <v>217.44</v>
      </c>
      <c r="G13" s="35">
        <v>226.49</v>
      </c>
      <c r="H13" s="34">
        <v>2466</v>
      </c>
      <c r="I13" s="53">
        <v>6.7000000000000002E-3</v>
      </c>
      <c r="J13" s="53">
        <v>0.72970000000000002</v>
      </c>
      <c r="K13" s="31">
        <v>437701087.44</v>
      </c>
      <c r="L13" s="32">
        <f t="shared" si="1"/>
        <v>1.3241337764107715E-2</v>
      </c>
      <c r="M13" s="35">
        <v>216.52</v>
      </c>
      <c r="N13" s="35">
        <v>225.72</v>
      </c>
      <c r="O13" s="34">
        <v>2466</v>
      </c>
      <c r="P13" s="53">
        <v>-4.1999999999999997E-3</v>
      </c>
      <c r="Q13" s="53">
        <v>0.72240000000000004</v>
      </c>
      <c r="R13" s="59">
        <f t="shared" si="2"/>
        <v>9.1505506840973208E-3</v>
      </c>
      <c r="S13" s="59">
        <f t="shared" si="3"/>
        <v>-3.3997085964060673E-3</v>
      </c>
      <c r="T13" s="59">
        <f t="shared" si="4"/>
        <v>0</v>
      </c>
      <c r="U13" s="60">
        <f t="shared" si="5"/>
        <v>-1.09E-2</v>
      </c>
      <c r="V13" s="61">
        <f t="shared" si="6"/>
        <v>-7.2999999999999732E-3</v>
      </c>
    </row>
    <row r="14" spans="1:25">
      <c r="A14" s="171">
        <v>9</v>
      </c>
      <c r="B14" s="168" t="s">
        <v>34</v>
      </c>
      <c r="C14" s="169" t="s">
        <v>35</v>
      </c>
      <c r="D14" s="37">
        <v>63378121.259999998</v>
      </c>
      <c r="E14" s="32">
        <f t="shared" si="0"/>
        <v>1.8968885031938796E-3</v>
      </c>
      <c r="F14" s="35">
        <v>225.62</v>
      </c>
      <c r="G14" s="35">
        <v>232.87</v>
      </c>
      <c r="H14" s="34">
        <v>16</v>
      </c>
      <c r="I14" s="53">
        <v>1.4E-2</v>
      </c>
      <c r="J14" s="53">
        <v>3.1899999999999998E-2</v>
      </c>
      <c r="K14" s="37">
        <v>62450314.649999999</v>
      </c>
      <c r="L14" s="32">
        <f t="shared" si="1"/>
        <v>1.8892475561162712E-3</v>
      </c>
      <c r="M14" s="35">
        <v>222.33</v>
      </c>
      <c r="N14" s="35">
        <v>229.45</v>
      </c>
      <c r="O14" s="34">
        <v>16</v>
      </c>
      <c r="P14" s="53">
        <v>-1.46E-2</v>
      </c>
      <c r="Q14" s="53">
        <v>1.6799999999999999E-2</v>
      </c>
      <c r="R14" s="59">
        <f t="shared" si="2"/>
        <v>-1.4639225517490504E-2</v>
      </c>
      <c r="S14" s="59">
        <f t="shared" si="3"/>
        <v>-1.4686305664104504E-2</v>
      </c>
      <c r="T14" s="59">
        <f t="shared" si="4"/>
        <v>0</v>
      </c>
      <c r="U14" s="60">
        <f t="shared" si="5"/>
        <v>-2.86E-2</v>
      </c>
      <c r="V14" s="61">
        <f t="shared" si="6"/>
        <v>-1.5099999999999999E-2</v>
      </c>
    </row>
    <row r="15" spans="1:25" ht="14.25" customHeight="1">
      <c r="A15" s="171">
        <v>10</v>
      </c>
      <c r="B15" s="168" t="s">
        <v>36</v>
      </c>
      <c r="C15" s="169" t="s">
        <v>37</v>
      </c>
      <c r="D15" s="31">
        <v>634388872.21000004</v>
      </c>
      <c r="E15" s="32">
        <f t="shared" si="0"/>
        <v>1.898707210509825E-2</v>
      </c>
      <c r="F15" s="35">
        <v>2.1862409999999999</v>
      </c>
      <c r="G15" s="35">
        <v>2.2156660000000001</v>
      </c>
      <c r="H15" s="34">
        <v>476</v>
      </c>
      <c r="I15" s="53">
        <v>3.2248301534367529E-2</v>
      </c>
      <c r="J15" s="53">
        <v>4.3717688778216246E-2</v>
      </c>
      <c r="K15" s="31">
        <v>640029484.34000003</v>
      </c>
      <c r="L15" s="32">
        <f t="shared" si="1"/>
        <v>1.9362178491949399E-2</v>
      </c>
      <c r="M15" s="35">
        <v>2.2047119999999998</v>
      </c>
      <c r="N15" s="35">
        <v>2.2352910000000001</v>
      </c>
      <c r="O15" s="34">
        <v>479</v>
      </c>
      <c r="P15" s="53">
        <v>8.4487483310393685E-3</v>
      </c>
      <c r="Q15" s="53">
        <v>5.2535796859357609E-2</v>
      </c>
      <c r="R15" s="59">
        <f t="shared" si="2"/>
        <v>8.8914108949452036E-3</v>
      </c>
      <c r="S15" s="59">
        <f t="shared" si="3"/>
        <v>8.857381933919644E-3</v>
      </c>
      <c r="T15" s="59">
        <f t="shared" si="4"/>
        <v>6.3025210084033615E-3</v>
      </c>
      <c r="U15" s="60">
        <f t="shared" si="5"/>
        <v>-2.3799553203328161E-2</v>
      </c>
      <c r="V15" s="61">
        <f t="shared" si="6"/>
        <v>8.8181080811413626E-3</v>
      </c>
    </row>
    <row r="16" spans="1:25" ht="14.25" customHeight="1">
      <c r="A16" s="171">
        <v>11</v>
      </c>
      <c r="B16" s="168" t="s">
        <v>38</v>
      </c>
      <c r="C16" s="169" t="s">
        <v>39</v>
      </c>
      <c r="D16" s="31">
        <v>16091262.140000001</v>
      </c>
      <c r="E16" s="32">
        <f t="shared" si="0"/>
        <v>4.8160673665328756E-4</v>
      </c>
      <c r="F16" s="35">
        <v>13.89</v>
      </c>
      <c r="G16" s="35">
        <v>14.7</v>
      </c>
      <c r="H16" s="34">
        <v>28</v>
      </c>
      <c r="I16" s="53">
        <v>0.1182</v>
      </c>
      <c r="J16" s="53">
        <v>1.1112</v>
      </c>
      <c r="K16" s="31">
        <v>16650468.1</v>
      </c>
      <c r="L16" s="32">
        <f t="shared" si="1"/>
        <v>5.0371013088429547E-4</v>
      </c>
      <c r="M16" s="35">
        <v>14.37</v>
      </c>
      <c r="N16" s="35">
        <v>15.2</v>
      </c>
      <c r="O16" s="34">
        <v>28</v>
      </c>
      <c r="P16" s="53">
        <v>0.1229</v>
      </c>
      <c r="Q16" s="53">
        <v>0.11967999999999999</v>
      </c>
      <c r="R16" s="59">
        <f t="shared" ref="R16" si="7">((K16-D16)/D16)</f>
        <v>3.4752150274770119E-2</v>
      </c>
      <c r="S16" s="59">
        <f t="shared" ref="S16" si="8">((N16-G16)/G16)</f>
        <v>3.4013605442176874E-2</v>
      </c>
      <c r="T16" s="59">
        <f t="shared" ref="T16" si="9">((O16-H16)/H16)</f>
        <v>0</v>
      </c>
      <c r="U16" s="60">
        <f t="shared" ref="U16" si="10">P16-I16</f>
        <v>4.6999999999999958E-3</v>
      </c>
      <c r="V16" s="61">
        <f t="shared" ref="V16" si="11">Q16-J16</f>
        <v>-0.99151999999999996</v>
      </c>
    </row>
    <row r="17" spans="1:22">
      <c r="A17" s="171">
        <v>12</v>
      </c>
      <c r="B17" s="168" t="s">
        <v>40</v>
      </c>
      <c r="C17" s="169" t="s">
        <v>41</v>
      </c>
      <c r="D17" s="134">
        <v>1817587297.8800001</v>
      </c>
      <c r="E17" s="32">
        <f t="shared" si="0"/>
        <v>5.4399852509919633E-2</v>
      </c>
      <c r="F17" s="35">
        <v>3.7</v>
      </c>
      <c r="G17" s="35">
        <v>3.78</v>
      </c>
      <c r="H17" s="34">
        <v>3660</v>
      </c>
      <c r="I17" s="53">
        <v>9.2999999999999992E-3</v>
      </c>
      <c r="J17" s="53">
        <v>1.6400000000000001E-2</v>
      </c>
      <c r="K17" s="134">
        <v>1770206645.5899999</v>
      </c>
      <c r="L17" s="32">
        <f t="shared" si="1"/>
        <v>5.3552309507886357E-2</v>
      </c>
      <c r="M17" s="35">
        <v>3.6</v>
      </c>
      <c r="N17" s="35">
        <v>3.68</v>
      </c>
      <c r="O17" s="34">
        <v>3659</v>
      </c>
      <c r="P17" s="53">
        <v>-3.6299999999999999E-2</v>
      </c>
      <c r="Q17" s="53">
        <v>-0.01</v>
      </c>
      <c r="R17" s="59">
        <f t="shared" si="2"/>
        <v>-2.6067882596486073E-2</v>
      </c>
      <c r="S17" s="59">
        <f t="shared" si="3"/>
        <v>-2.6455026455026363E-2</v>
      </c>
      <c r="T17" s="59">
        <f t="shared" si="4"/>
        <v>-2.7322404371584699E-4</v>
      </c>
      <c r="U17" s="60">
        <f t="shared" si="5"/>
        <v>-4.5600000000000002E-2</v>
      </c>
      <c r="V17" s="61">
        <f t="shared" si="6"/>
        <v>-2.64E-2</v>
      </c>
    </row>
    <row r="18" spans="1:22">
      <c r="A18" s="171">
        <v>13</v>
      </c>
      <c r="B18" s="168" t="s">
        <v>42</v>
      </c>
      <c r="C18" s="169" t="s">
        <v>43</v>
      </c>
      <c r="D18" s="35">
        <v>828153913.03000009</v>
      </c>
      <c r="E18" s="32">
        <f t="shared" si="0"/>
        <v>2.4786402709180453E-2</v>
      </c>
      <c r="F18" s="35">
        <v>25.014645999999999</v>
      </c>
      <c r="G18" s="35">
        <v>25.155991</v>
      </c>
      <c r="H18" s="34">
        <v>405</v>
      </c>
      <c r="I18" s="53">
        <v>1.0654138229706511E-2</v>
      </c>
      <c r="J18" s="53">
        <v>2.9731525865130726E-2</v>
      </c>
      <c r="K18" s="35">
        <v>835256650.60000002</v>
      </c>
      <c r="L18" s="32">
        <f t="shared" si="1"/>
        <v>2.5268192717999578E-2</v>
      </c>
      <c r="M18" s="35">
        <v>24.886125</v>
      </c>
      <c r="N18" s="35">
        <v>25.012715</v>
      </c>
      <c r="O18" s="34">
        <v>416</v>
      </c>
      <c r="P18" s="53">
        <v>-5.1378300536413235E-3</v>
      </c>
      <c r="Q18" s="53">
        <v>2.4440940284358836E-2</v>
      </c>
      <c r="R18" s="59">
        <f t="shared" si="2"/>
        <v>8.5765912087680182E-3</v>
      </c>
      <c r="S18" s="59">
        <f t="shared" si="3"/>
        <v>-5.6955021171696306E-3</v>
      </c>
      <c r="T18" s="59">
        <f t="shared" si="4"/>
        <v>2.7160493827160494E-2</v>
      </c>
      <c r="U18" s="60">
        <f t="shared" si="5"/>
        <v>-1.5791968283347835E-2</v>
      </c>
      <c r="V18" s="61">
        <f t="shared" si="6"/>
        <v>-5.2905855807718893E-3</v>
      </c>
    </row>
    <row r="19" spans="1:22">
      <c r="A19" s="171">
        <v>14</v>
      </c>
      <c r="B19" s="168" t="s">
        <v>44</v>
      </c>
      <c r="C19" s="169" t="s">
        <v>45</v>
      </c>
      <c r="D19" s="35">
        <v>132478113.09999999</v>
      </c>
      <c r="E19" s="32">
        <f t="shared" si="0"/>
        <v>3.9650309076424096E-3</v>
      </c>
      <c r="F19" s="35">
        <v>1.431187</v>
      </c>
      <c r="G19" s="35">
        <v>1.4834609999999999</v>
      </c>
      <c r="H19" s="34">
        <v>22</v>
      </c>
      <c r="I19" s="53">
        <v>8.9999999999999998E-4</v>
      </c>
      <c r="J19" s="53">
        <v>-0.3286</v>
      </c>
      <c r="K19" s="35">
        <v>123809114.59</v>
      </c>
      <c r="L19" s="32">
        <f t="shared" si="1"/>
        <v>3.7454745980863829E-3</v>
      </c>
      <c r="M19" s="35">
        <v>1.337534</v>
      </c>
      <c r="N19" s="35">
        <v>1.390428</v>
      </c>
      <c r="O19" s="34">
        <v>22</v>
      </c>
      <c r="P19" s="53">
        <v>-4.4999999999999998E-2</v>
      </c>
      <c r="Q19" s="53">
        <v>-0.37159999999999999</v>
      </c>
      <c r="R19" s="59">
        <f t="shared" si="2"/>
        <v>-6.5437213039532566E-2</v>
      </c>
      <c r="S19" s="59">
        <f t="shared" si="3"/>
        <v>-6.2713478817441062E-2</v>
      </c>
      <c r="T19" s="59">
        <f t="shared" si="4"/>
        <v>0</v>
      </c>
      <c r="U19" s="60">
        <f t="shared" si="5"/>
        <v>-4.5899999999999996E-2</v>
      </c>
      <c r="V19" s="61">
        <f t="shared" si="6"/>
        <v>-4.2999999999999983E-2</v>
      </c>
    </row>
    <row r="20" spans="1:22">
      <c r="A20" s="171">
        <v>15</v>
      </c>
      <c r="B20" s="168" t="s">
        <v>46</v>
      </c>
      <c r="C20" s="169" t="s">
        <v>47</v>
      </c>
      <c r="D20" s="31">
        <v>2410880411.54</v>
      </c>
      <c r="E20" s="32">
        <f t="shared" si="0"/>
        <v>7.2156940665135061E-2</v>
      </c>
      <c r="F20" s="35">
        <v>32.130000000000003</v>
      </c>
      <c r="G20" s="35">
        <v>32.76</v>
      </c>
      <c r="H20" s="34">
        <v>8944</v>
      </c>
      <c r="I20" s="53">
        <v>2.3599999999999999E-2</v>
      </c>
      <c r="J20" s="53">
        <v>3.1699999999999999E-2</v>
      </c>
      <c r="K20" s="31">
        <v>2398568446.4400001</v>
      </c>
      <c r="L20" s="32">
        <f t="shared" si="1"/>
        <v>7.2561517119824018E-2</v>
      </c>
      <c r="M20" s="35">
        <v>31.95</v>
      </c>
      <c r="N20" s="35">
        <v>32.6</v>
      </c>
      <c r="O20" s="34">
        <v>8944</v>
      </c>
      <c r="P20" s="53">
        <v>-7.1000000000000004E-3</v>
      </c>
      <c r="Q20" s="53">
        <v>2.6200000000000001E-2</v>
      </c>
      <c r="R20" s="59">
        <f t="shared" si="2"/>
        <v>-5.1068336036358521E-3</v>
      </c>
      <c r="S20" s="59">
        <f t="shared" si="3"/>
        <v>-4.8840048840047799E-3</v>
      </c>
      <c r="T20" s="59">
        <f t="shared" si="4"/>
        <v>0</v>
      </c>
      <c r="U20" s="60">
        <f t="shared" si="5"/>
        <v>-3.0699999999999998E-2</v>
      </c>
      <c r="V20" s="61">
        <f t="shared" si="6"/>
        <v>-5.4999999999999979E-3</v>
      </c>
    </row>
    <row r="21" spans="1:22" ht="12.75" customHeight="1">
      <c r="A21" s="171">
        <v>16</v>
      </c>
      <c r="B21" s="168" t="s">
        <v>48</v>
      </c>
      <c r="C21" s="169" t="s">
        <v>49</v>
      </c>
      <c r="D21" s="35">
        <v>786109220.64999998</v>
      </c>
      <c r="E21" s="32">
        <f t="shared" si="0"/>
        <v>2.3528017449245636E-2</v>
      </c>
      <c r="F21" s="35">
        <v>8239.16</v>
      </c>
      <c r="G21" s="35">
        <v>8340.6200000000008</v>
      </c>
      <c r="H21" s="34">
        <v>19</v>
      </c>
      <c r="I21" s="53">
        <v>1.29E-2</v>
      </c>
      <c r="J21" s="53">
        <v>2.8299999999999999E-2</v>
      </c>
      <c r="K21" s="35">
        <v>786964461.09000003</v>
      </c>
      <c r="L21" s="32">
        <f t="shared" si="1"/>
        <v>2.3807256908106565E-2</v>
      </c>
      <c r="M21" s="35">
        <v>8252.2900000000009</v>
      </c>
      <c r="N21" s="35">
        <v>8346.84</v>
      </c>
      <c r="O21" s="34">
        <v>19</v>
      </c>
      <c r="P21" s="53">
        <v>6.9999999999999999E-4</v>
      </c>
      <c r="Q21" s="53">
        <v>2.9100000000000001E-2</v>
      </c>
      <c r="R21" s="59">
        <f t="shared" si="2"/>
        <v>1.0879409852143644E-3</v>
      </c>
      <c r="S21" s="59">
        <f t="shared" si="3"/>
        <v>7.4574791802040432E-4</v>
      </c>
      <c r="T21" s="59">
        <f t="shared" si="4"/>
        <v>0</v>
      </c>
      <c r="U21" s="60">
        <f t="shared" si="5"/>
        <v>-1.2200000000000001E-2</v>
      </c>
      <c r="V21" s="61">
        <f t="shared" si="6"/>
        <v>8.000000000000021E-4</v>
      </c>
    </row>
    <row r="22" spans="1:22">
      <c r="A22" s="171">
        <v>17</v>
      </c>
      <c r="B22" s="168" t="s">
        <v>50</v>
      </c>
      <c r="C22" s="169" t="s">
        <v>49</v>
      </c>
      <c r="D22" s="35">
        <v>13435218016.530001</v>
      </c>
      <c r="E22" s="32">
        <f t="shared" si="0"/>
        <v>0.40211211829567944</v>
      </c>
      <c r="F22" s="35">
        <v>26123.52</v>
      </c>
      <c r="G22" s="35">
        <v>26503.46</v>
      </c>
      <c r="H22" s="34">
        <v>17472</v>
      </c>
      <c r="I22" s="53">
        <v>1.6899999999999998E-2</v>
      </c>
      <c r="J22" s="53">
        <v>3.1199999999999999E-2</v>
      </c>
      <c r="K22" s="35">
        <v>13371716606.940001</v>
      </c>
      <c r="L22" s="32">
        <f t="shared" si="1"/>
        <v>0.40452130725558727</v>
      </c>
      <c r="M22" s="35">
        <v>25974.09</v>
      </c>
      <c r="N22" s="35">
        <v>26350.2</v>
      </c>
      <c r="O22" s="34">
        <v>17481</v>
      </c>
      <c r="P22" s="53">
        <v>-5.7999999999999996E-3</v>
      </c>
      <c r="Q22" s="53">
        <v>2.52E-2</v>
      </c>
      <c r="R22" s="59">
        <f t="shared" si="2"/>
        <v>-4.7264889569987841E-3</v>
      </c>
      <c r="S22" s="59">
        <f t="shared" si="3"/>
        <v>-5.7826412098646142E-3</v>
      </c>
      <c r="T22" s="59">
        <f t="shared" si="4"/>
        <v>5.1510989010989012E-4</v>
      </c>
      <c r="U22" s="60">
        <f t="shared" si="5"/>
        <v>-2.2699999999999998E-2</v>
      </c>
      <c r="V22" s="61">
        <f t="shared" si="6"/>
        <v>-5.9999999999999984E-3</v>
      </c>
    </row>
    <row r="23" spans="1:22">
      <c r="A23" s="171">
        <v>18</v>
      </c>
      <c r="B23" s="169" t="s">
        <v>51</v>
      </c>
      <c r="C23" s="169" t="s">
        <v>52</v>
      </c>
      <c r="D23" s="35">
        <v>3878071885.5599999</v>
      </c>
      <c r="E23" s="32">
        <f t="shared" si="0"/>
        <v>0.1160695493654678</v>
      </c>
      <c r="F23" s="35">
        <v>1.5379</v>
      </c>
      <c r="G23" s="33">
        <v>1.5528</v>
      </c>
      <c r="H23" s="34">
        <v>4595</v>
      </c>
      <c r="I23" s="53">
        <v>1.4200000000000001E-2</v>
      </c>
      <c r="J23" s="53">
        <v>3.09E-2</v>
      </c>
      <c r="K23" s="35">
        <v>3852829084.1399999</v>
      </c>
      <c r="L23" s="32">
        <f t="shared" si="1"/>
        <v>0.11655582477269691</v>
      </c>
      <c r="M23" s="35">
        <v>1.5262</v>
      </c>
      <c r="N23" s="33">
        <v>1.5411999999999999</v>
      </c>
      <c r="O23" s="34">
        <v>4595</v>
      </c>
      <c r="P23" s="53">
        <v>-7.6E-3</v>
      </c>
      <c r="Q23" s="53">
        <v>2.3099999999999999E-2</v>
      </c>
      <c r="R23" s="59">
        <f t="shared" si="2"/>
        <v>-6.5091112709879471E-3</v>
      </c>
      <c r="S23" s="59">
        <f t="shared" si="3"/>
        <v>-7.4703760947965317E-3</v>
      </c>
      <c r="T23" s="59">
        <f t="shared" si="4"/>
        <v>0</v>
      </c>
      <c r="U23" s="60">
        <f t="shared" si="5"/>
        <v>-2.18E-2</v>
      </c>
      <c r="V23" s="61">
        <f t="shared" si="6"/>
        <v>-7.8000000000000014E-3</v>
      </c>
    </row>
    <row r="24" spans="1:22">
      <c r="A24" s="38"/>
      <c r="B24" s="39"/>
      <c r="C24" s="40" t="s">
        <v>53</v>
      </c>
      <c r="D24" s="41">
        <f>SUM(D6:D23)</f>
        <v>33411621797.110004</v>
      </c>
      <c r="E24" s="42">
        <f>(D24/$D$210)</f>
        <v>8.4297180102922246E-3</v>
      </c>
      <c r="F24" s="43"/>
      <c r="G24" s="44"/>
      <c r="H24" s="45">
        <f>SUM(H6:H23)</f>
        <v>51229</v>
      </c>
      <c r="I24" s="55"/>
      <c r="J24" s="34">
        <v>0</v>
      </c>
      <c r="K24" s="41">
        <f>SUM(K6:K23)</f>
        <v>33055654590.010002</v>
      </c>
      <c r="L24" s="42">
        <f>(K24/$K$210)</f>
        <v>8.2234018194448123E-3</v>
      </c>
      <c r="M24" s="43"/>
      <c r="N24" s="44"/>
      <c r="O24" s="45">
        <f>SUM(O6:O23)</f>
        <v>51259</v>
      </c>
      <c r="P24" s="55"/>
      <c r="Q24" s="45"/>
      <c r="R24" s="59">
        <f t="shared" si="2"/>
        <v>-1.0653993669076916E-2</v>
      </c>
      <c r="S24" s="59" t="e">
        <f t="shared" si="3"/>
        <v>#DIV/0!</v>
      </c>
      <c r="T24" s="59">
        <f t="shared" si="4"/>
        <v>5.8560580920962737E-4</v>
      </c>
      <c r="U24" s="60">
        <f t="shared" si="5"/>
        <v>0</v>
      </c>
      <c r="V24" s="61">
        <f t="shared" si="6"/>
        <v>0</v>
      </c>
    </row>
    <row r="25" spans="1:22" ht="4.5" customHeight="1">
      <c r="A25" s="3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</row>
    <row r="26" spans="1:22" ht="15" customHeight="1">
      <c r="A26" s="177" t="s">
        <v>54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</row>
    <row r="27" spans="1:22">
      <c r="A27" s="167">
        <v>19</v>
      </c>
      <c r="B27" s="168" t="s">
        <v>55</v>
      </c>
      <c r="C27" s="169" t="s">
        <v>19</v>
      </c>
      <c r="D27" s="47">
        <v>1927766464.5699999</v>
      </c>
      <c r="E27" s="32">
        <f>(D27/$K$65)</f>
        <v>1.0514166468904762E-3</v>
      </c>
      <c r="F27" s="33">
        <v>100</v>
      </c>
      <c r="G27" s="33">
        <v>100</v>
      </c>
      <c r="H27" s="34">
        <v>876</v>
      </c>
      <c r="I27" s="53">
        <v>0.20749999999999999</v>
      </c>
      <c r="J27" s="53">
        <v>0.20749999999999999</v>
      </c>
      <c r="K27" s="47">
        <v>2003642898.1800001</v>
      </c>
      <c r="L27" s="32">
        <f t="shared" ref="L27:L64" si="12">(K27/$K$65)</f>
        <v>1.092800158259956E-3</v>
      </c>
      <c r="M27" s="33">
        <v>100</v>
      </c>
      <c r="N27" s="33">
        <v>100</v>
      </c>
      <c r="O27" s="34">
        <v>876</v>
      </c>
      <c r="P27" s="53">
        <v>0.20760000000000001</v>
      </c>
      <c r="Q27" s="53">
        <v>0.20760000000000001</v>
      </c>
      <c r="R27" s="59">
        <f>((K27-D27)/D27)</f>
        <v>3.9359764268398989E-2</v>
      </c>
      <c r="S27" s="59">
        <f>((N27-G27)/G27)</f>
        <v>0</v>
      </c>
      <c r="T27" s="59">
        <f>((O27-H27)/H27)</f>
        <v>0</v>
      </c>
      <c r="U27" s="60">
        <f>P27-I27</f>
        <v>1.0000000000001674E-4</v>
      </c>
      <c r="V27" s="61">
        <f>Q27-J27</f>
        <v>1.0000000000001674E-4</v>
      </c>
    </row>
    <row r="28" spans="1:22">
      <c r="A28" s="167">
        <v>20</v>
      </c>
      <c r="B28" s="168" t="s">
        <v>56</v>
      </c>
      <c r="C28" s="169" t="s">
        <v>57</v>
      </c>
      <c r="D28" s="47">
        <v>11787979057.25</v>
      </c>
      <c r="E28" s="32">
        <f t="shared" ref="E28:E64" si="13">(D28/$K$65)</f>
        <v>6.4292421523960515E-3</v>
      </c>
      <c r="F28" s="33">
        <v>100</v>
      </c>
      <c r="G28" s="33">
        <v>100</v>
      </c>
      <c r="H28" s="34">
        <v>1980</v>
      </c>
      <c r="I28" s="53">
        <v>0.22958899999999999</v>
      </c>
      <c r="J28" s="53">
        <v>0.22958899999999999</v>
      </c>
      <c r="K28" s="47">
        <v>12284414864.690001</v>
      </c>
      <c r="L28" s="32">
        <f t="shared" si="12"/>
        <v>6.7000015424196549E-3</v>
      </c>
      <c r="M28" s="33">
        <v>100</v>
      </c>
      <c r="N28" s="33">
        <v>100</v>
      </c>
      <c r="O28" s="34">
        <v>2014</v>
      </c>
      <c r="P28" s="53">
        <v>3.8240000000000001E-3</v>
      </c>
      <c r="Q28" s="53">
        <v>0.10731</v>
      </c>
      <c r="R28" s="59">
        <f t="shared" ref="R28:R65" si="14">((K28-D28)/D28)</f>
        <v>4.2113733408329732E-2</v>
      </c>
      <c r="S28" s="59">
        <f t="shared" ref="S28:S65" si="15">((N28-G28)/G28)</f>
        <v>0</v>
      </c>
      <c r="T28" s="59">
        <f t="shared" ref="T28:T65" si="16">((O28-H28)/H28)</f>
        <v>1.7171717171717171E-2</v>
      </c>
      <c r="U28" s="60">
        <f t="shared" ref="U28:U65" si="17">P28-I28</f>
        <v>-0.22576499999999999</v>
      </c>
      <c r="V28" s="61">
        <f t="shared" ref="V28:V65" si="18">Q28-J28</f>
        <v>-0.12227899999999998</v>
      </c>
    </row>
    <row r="29" spans="1:22">
      <c r="A29" s="167">
        <v>21</v>
      </c>
      <c r="B29" s="168" t="s">
        <v>58</v>
      </c>
      <c r="C29" s="169" t="s">
        <v>21</v>
      </c>
      <c r="D29" s="47">
        <v>1210220601.4300001</v>
      </c>
      <c r="E29" s="32">
        <f t="shared" si="13"/>
        <v>6.6006236239675073E-4</v>
      </c>
      <c r="F29" s="33">
        <v>100</v>
      </c>
      <c r="G29" s="33">
        <v>100</v>
      </c>
      <c r="H29" s="34">
        <v>1814</v>
      </c>
      <c r="I29" s="53">
        <v>0.2293</v>
      </c>
      <c r="J29" s="53">
        <v>0.2293</v>
      </c>
      <c r="K29" s="47">
        <v>1349234500.8900001</v>
      </c>
      <c r="L29" s="32">
        <f t="shared" si="12"/>
        <v>7.3588146742200873E-4</v>
      </c>
      <c r="M29" s="33">
        <v>100</v>
      </c>
      <c r="N29" s="33">
        <v>100</v>
      </c>
      <c r="O29" s="34">
        <v>1822</v>
      </c>
      <c r="P29" s="53">
        <v>0.22439999999999999</v>
      </c>
      <c r="Q29" s="53">
        <v>0.22439999999999999</v>
      </c>
      <c r="R29" s="59">
        <f t="shared" si="14"/>
        <v>0.11486657828807477</v>
      </c>
      <c r="S29" s="59">
        <f t="shared" si="15"/>
        <v>0</v>
      </c>
      <c r="T29" s="59">
        <f t="shared" si="16"/>
        <v>4.410143329658214E-3</v>
      </c>
      <c r="U29" s="60">
        <f t="shared" si="17"/>
        <v>-4.9000000000000155E-3</v>
      </c>
      <c r="V29" s="61">
        <f t="shared" si="18"/>
        <v>-4.9000000000000155E-3</v>
      </c>
    </row>
    <row r="30" spans="1:22">
      <c r="A30" s="167">
        <v>22</v>
      </c>
      <c r="B30" s="168" t="s">
        <v>59</v>
      </c>
      <c r="C30" s="169" t="s">
        <v>23</v>
      </c>
      <c r="D30" s="47">
        <v>128893197597.34</v>
      </c>
      <c r="E30" s="32">
        <f t="shared" si="13"/>
        <v>7.0299206939993891E-2</v>
      </c>
      <c r="F30" s="33">
        <v>1</v>
      </c>
      <c r="G30" s="33">
        <v>1</v>
      </c>
      <c r="H30" s="34">
        <v>64350</v>
      </c>
      <c r="I30" s="53">
        <v>0.21390000000000001</v>
      </c>
      <c r="J30" s="53">
        <v>0.21390000000000001</v>
      </c>
      <c r="K30" s="47">
        <v>131547593237.22</v>
      </c>
      <c r="L30" s="32">
        <f t="shared" si="12"/>
        <v>7.1746931970227704E-2</v>
      </c>
      <c r="M30" s="33">
        <v>1</v>
      </c>
      <c r="N30" s="33">
        <v>1</v>
      </c>
      <c r="O30" s="34">
        <v>64706</v>
      </c>
      <c r="P30" s="53">
        <v>0.2157</v>
      </c>
      <c r="Q30" s="53">
        <v>0.2157</v>
      </c>
      <c r="R30" s="59"/>
      <c r="S30" s="59">
        <f t="shared" si="15"/>
        <v>0</v>
      </c>
      <c r="T30" s="59">
        <f t="shared" si="16"/>
        <v>5.5322455322455322E-3</v>
      </c>
      <c r="U30" s="60">
        <f t="shared" si="17"/>
        <v>1.799999999999996E-3</v>
      </c>
      <c r="V30" s="61">
        <f t="shared" si="18"/>
        <v>1.799999999999996E-3</v>
      </c>
    </row>
    <row r="31" spans="1:22">
      <c r="A31" s="167">
        <v>23</v>
      </c>
      <c r="B31" s="168" t="s">
        <v>60</v>
      </c>
      <c r="C31" s="169" t="s">
        <v>25</v>
      </c>
      <c r="D31" s="47">
        <v>87622717096.440002</v>
      </c>
      <c r="E31" s="32">
        <f t="shared" si="13"/>
        <v>4.7790012480335098E-2</v>
      </c>
      <c r="F31" s="33">
        <v>1</v>
      </c>
      <c r="G31" s="33">
        <v>1</v>
      </c>
      <c r="H31" s="34">
        <v>30931</v>
      </c>
      <c r="I31" s="53">
        <v>0.1948</v>
      </c>
      <c r="J31" s="53">
        <v>0.1948</v>
      </c>
      <c r="K31" s="47">
        <v>87643503946.800003</v>
      </c>
      <c r="L31" s="32">
        <f t="shared" si="12"/>
        <v>4.7801349766726682E-2</v>
      </c>
      <c r="M31" s="33">
        <v>1</v>
      </c>
      <c r="N31" s="33">
        <v>1</v>
      </c>
      <c r="O31" s="34">
        <v>31081</v>
      </c>
      <c r="P31" s="53">
        <v>0.2064</v>
      </c>
      <c r="Q31" s="53">
        <v>0.2064</v>
      </c>
      <c r="R31" s="59">
        <f t="shared" si="14"/>
        <v>2.3723129171082454E-4</v>
      </c>
      <c r="S31" s="59">
        <f t="shared" si="15"/>
        <v>0</v>
      </c>
      <c r="T31" s="59">
        <f t="shared" si="16"/>
        <v>4.8495037341178757E-3</v>
      </c>
      <c r="U31" s="60">
        <f t="shared" si="17"/>
        <v>1.1599999999999999E-2</v>
      </c>
      <c r="V31" s="61">
        <f t="shared" si="18"/>
        <v>1.1599999999999999E-2</v>
      </c>
    </row>
    <row r="32" spans="1:22">
      <c r="A32" s="167">
        <v>24</v>
      </c>
      <c r="B32" s="168" t="s">
        <v>293</v>
      </c>
      <c r="C32" s="169" t="s">
        <v>27</v>
      </c>
      <c r="D32" s="35">
        <v>2101444884.48</v>
      </c>
      <c r="E32" s="32">
        <f t="shared" ref="E32" si="19">(D32/$D$24)</f>
        <v>6.289562647514968E-2</v>
      </c>
      <c r="F32" s="35">
        <v>1</v>
      </c>
      <c r="G32" s="35">
        <v>1</v>
      </c>
      <c r="H32" s="34">
        <v>312</v>
      </c>
      <c r="I32" s="53">
        <v>0.2366</v>
      </c>
      <c r="J32" s="53">
        <v>0.2366</v>
      </c>
      <c r="K32" s="35">
        <v>2375040763.96</v>
      </c>
      <c r="L32" s="32">
        <f t="shared" ref="L32" si="20">(K32/$K$24)</f>
        <v>7.184975742933189E-2</v>
      </c>
      <c r="M32" s="35">
        <v>1</v>
      </c>
      <c r="N32" s="35">
        <v>1</v>
      </c>
      <c r="O32" s="34">
        <v>312</v>
      </c>
      <c r="P32" s="53">
        <v>0.2296</v>
      </c>
      <c r="Q32" s="53">
        <v>0.2296</v>
      </c>
      <c r="R32" s="59">
        <f t="shared" si="14"/>
        <v>0.1301941733045742</v>
      </c>
      <c r="S32" s="59">
        <f t="shared" si="15"/>
        <v>0</v>
      </c>
      <c r="T32" s="59">
        <f t="shared" si="16"/>
        <v>0</v>
      </c>
      <c r="U32" s="60">
        <f t="shared" si="17"/>
        <v>-7.0000000000000062E-3</v>
      </c>
      <c r="V32" s="61">
        <f t="shared" si="18"/>
        <v>-7.0000000000000062E-3</v>
      </c>
    </row>
    <row r="33" spans="1:22" ht="15" customHeight="1">
      <c r="A33" s="167">
        <v>25</v>
      </c>
      <c r="B33" s="168" t="s">
        <v>61</v>
      </c>
      <c r="C33" s="169" t="s">
        <v>47</v>
      </c>
      <c r="D33" s="47">
        <v>13308179311</v>
      </c>
      <c r="E33" s="32">
        <f t="shared" si="13"/>
        <v>7.2583694781255198E-3</v>
      </c>
      <c r="F33" s="33">
        <v>100</v>
      </c>
      <c r="G33" s="33">
        <v>100</v>
      </c>
      <c r="H33" s="34">
        <v>2083</v>
      </c>
      <c r="I33" s="53">
        <v>0.2339</v>
      </c>
      <c r="J33" s="53">
        <v>0.2339</v>
      </c>
      <c r="K33" s="47">
        <v>13892111482</v>
      </c>
      <c r="L33" s="32">
        <f t="shared" si="12"/>
        <v>7.5768499665705988E-3</v>
      </c>
      <c r="M33" s="33">
        <v>100</v>
      </c>
      <c r="N33" s="33">
        <v>100</v>
      </c>
      <c r="O33" s="34">
        <v>2083</v>
      </c>
      <c r="P33" s="53">
        <v>0.23549999999999999</v>
      </c>
      <c r="Q33" s="53">
        <v>0.23549999999999999</v>
      </c>
      <c r="R33" s="59">
        <f t="shared" si="14"/>
        <v>4.3877690355234797E-2</v>
      </c>
      <c r="S33" s="59">
        <f t="shared" si="15"/>
        <v>0</v>
      </c>
      <c r="T33" s="59">
        <f t="shared" si="16"/>
        <v>0</v>
      </c>
      <c r="U33" s="60">
        <f t="shared" si="17"/>
        <v>1.5999999999999903E-3</v>
      </c>
      <c r="V33" s="61">
        <f t="shared" si="18"/>
        <v>1.5999999999999903E-3</v>
      </c>
    </row>
    <row r="34" spans="1:22" ht="15" customHeight="1">
      <c r="A34" s="167">
        <v>26</v>
      </c>
      <c r="B34" s="168" t="s">
        <v>62</v>
      </c>
      <c r="C34" s="169" t="s">
        <v>63</v>
      </c>
      <c r="D34" s="47">
        <v>349817943.56</v>
      </c>
      <c r="E34" s="32">
        <f t="shared" si="13"/>
        <v>1.9079303224730498E-4</v>
      </c>
      <c r="F34" s="33">
        <v>1</v>
      </c>
      <c r="G34" s="33">
        <v>1</v>
      </c>
      <c r="H34" s="34">
        <v>296</v>
      </c>
      <c r="I34" s="53">
        <v>0.215</v>
      </c>
      <c r="J34" s="53">
        <v>0.215</v>
      </c>
      <c r="K34" s="47">
        <v>349379063.95999998</v>
      </c>
      <c r="L34" s="32">
        <f t="shared" si="12"/>
        <v>1.9055366439549228E-4</v>
      </c>
      <c r="M34" s="33">
        <v>1</v>
      </c>
      <c r="N34" s="33">
        <v>1</v>
      </c>
      <c r="O34" s="34">
        <v>304</v>
      </c>
      <c r="P34" s="53">
        <v>0.215</v>
      </c>
      <c r="Q34" s="53">
        <v>0.215</v>
      </c>
      <c r="R34" s="59">
        <f t="shared" si="14"/>
        <v>-1.2545943056370067E-3</v>
      </c>
      <c r="S34" s="59">
        <f t="shared" si="15"/>
        <v>0</v>
      </c>
      <c r="T34" s="59">
        <f t="shared" si="16"/>
        <v>2.7027027027027029E-2</v>
      </c>
      <c r="U34" s="60">
        <f t="shared" si="17"/>
        <v>0</v>
      </c>
      <c r="V34" s="61">
        <f t="shared" si="18"/>
        <v>0</v>
      </c>
    </row>
    <row r="35" spans="1:22">
      <c r="A35" s="167">
        <v>27</v>
      </c>
      <c r="B35" s="168" t="s">
        <v>64</v>
      </c>
      <c r="C35" s="169" t="s">
        <v>65</v>
      </c>
      <c r="D35" s="47">
        <v>36167175916.829994</v>
      </c>
      <c r="E35" s="32">
        <f t="shared" si="13"/>
        <v>1.9725818209237023E-2</v>
      </c>
      <c r="F35" s="33">
        <v>100</v>
      </c>
      <c r="G35" s="33">
        <v>100</v>
      </c>
      <c r="H35" s="34">
        <v>3384</v>
      </c>
      <c r="I35" s="53">
        <v>0.22675240792770199</v>
      </c>
      <c r="J35" s="53">
        <v>0.22675240792770199</v>
      </c>
      <c r="K35" s="47">
        <v>36574037446.979996</v>
      </c>
      <c r="L35" s="32">
        <f t="shared" si="12"/>
        <v>1.9947723192875411E-2</v>
      </c>
      <c r="M35" s="33">
        <v>100</v>
      </c>
      <c r="N35" s="33">
        <v>100</v>
      </c>
      <c r="O35" s="34">
        <v>3419</v>
      </c>
      <c r="P35" s="53">
        <v>0.22675347277286301</v>
      </c>
      <c r="Q35" s="53">
        <v>0.22675347277286301</v>
      </c>
      <c r="R35" s="59">
        <f t="shared" si="14"/>
        <v>1.124946916191687E-2</v>
      </c>
      <c r="S35" s="59">
        <f t="shared" si="15"/>
        <v>0</v>
      </c>
      <c r="T35" s="59">
        <f t="shared" si="16"/>
        <v>1.0342789598108746E-2</v>
      </c>
      <c r="U35" s="60">
        <f t="shared" si="17"/>
        <v>1.0648451610195675E-6</v>
      </c>
      <c r="V35" s="61">
        <f t="shared" si="18"/>
        <v>1.0648451610195675E-6</v>
      </c>
    </row>
    <row r="36" spans="1:22">
      <c r="A36" s="167">
        <v>28</v>
      </c>
      <c r="B36" s="168" t="s">
        <v>66</v>
      </c>
      <c r="C36" s="169" t="s">
        <v>67</v>
      </c>
      <c r="D36" s="47">
        <v>17752735471.91</v>
      </c>
      <c r="E36" s="32">
        <f t="shared" si="13"/>
        <v>9.6824599587443747E-3</v>
      </c>
      <c r="F36" s="33">
        <v>100</v>
      </c>
      <c r="G36" s="33">
        <v>100</v>
      </c>
      <c r="H36" s="34">
        <v>6502</v>
      </c>
      <c r="I36" s="53">
        <v>0.20960000000000001</v>
      </c>
      <c r="J36" s="53">
        <v>0.20960000000000001</v>
      </c>
      <c r="K36" s="47">
        <v>17778815825.220001</v>
      </c>
      <c r="L36" s="32">
        <f t="shared" si="12"/>
        <v>9.6966843568397302E-3</v>
      </c>
      <c r="M36" s="33">
        <v>100</v>
      </c>
      <c r="N36" s="33">
        <v>100</v>
      </c>
      <c r="O36" s="34">
        <v>6530</v>
      </c>
      <c r="P36" s="53">
        <v>0.2019</v>
      </c>
      <c r="Q36" s="53">
        <v>0.2019</v>
      </c>
      <c r="R36" s="59">
        <f t="shared" si="14"/>
        <v>1.4690892764818184E-3</v>
      </c>
      <c r="S36" s="59">
        <f t="shared" si="15"/>
        <v>0</v>
      </c>
      <c r="T36" s="59">
        <f t="shared" si="16"/>
        <v>4.3063672716087357E-3</v>
      </c>
      <c r="U36" s="60">
        <f t="shared" si="17"/>
        <v>-7.7000000000000124E-3</v>
      </c>
      <c r="V36" s="61">
        <f t="shared" si="18"/>
        <v>-7.7000000000000124E-3</v>
      </c>
    </row>
    <row r="37" spans="1:22">
      <c r="A37" s="167">
        <v>29</v>
      </c>
      <c r="B37" s="168" t="s">
        <v>68</v>
      </c>
      <c r="C37" s="169" t="s">
        <v>69</v>
      </c>
      <c r="D37" s="47">
        <v>44514190.369999997</v>
      </c>
      <c r="E37" s="32">
        <f t="shared" si="13"/>
        <v>2.4278335388674485E-5</v>
      </c>
      <c r="F37" s="33">
        <v>100</v>
      </c>
      <c r="G37" s="33">
        <v>100</v>
      </c>
      <c r="H37" s="34">
        <v>0</v>
      </c>
      <c r="I37" s="53">
        <v>0</v>
      </c>
      <c r="J37" s="53">
        <v>0</v>
      </c>
      <c r="K37" s="47">
        <v>44514190.369999997</v>
      </c>
      <c r="L37" s="32">
        <f t="shared" si="12"/>
        <v>2.4278335388674485E-5</v>
      </c>
      <c r="M37" s="33">
        <v>100</v>
      </c>
      <c r="N37" s="33">
        <v>100</v>
      </c>
      <c r="O37" s="34">
        <v>0</v>
      </c>
      <c r="P37" s="53">
        <v>0</v>
      </c>
      <c r="Q37" s="53">
        <v>0</v>
      </c>
      <c r="R37" s="59">
        <f t="shared" si="14"/>
        <v>0</v>
      </c>
      <c r="S37" s="59">
        <f t="shared" si="15"/>
        <v>0</v>
      </c>
      <c r="T37" s="59" t="e">
        <f t="shared" si="16"/>
        <v>#DIV/0!</v>
      </c>
      <c r="U37" s="60">
        <f t="shared" si="17"/>
        <v>0</v>
      </c>
      <c r="V37" s="61">
        <f t="shared" si="18"/>
        <v>0</v>
      </c>
    </row>
    <row r="38" spans="1:22">
      <c r="A38" s="167">
        <v>30</v>
      </c>
      <c r="B38" s="168" t="s">
        <v>70</v>
      </c>
      <c r="C38" s="169" t="s">
        <v>71</v>
      </c>
      <c r="D38" s="47">
        <v>11094793410.799999</v>
      </c>
      <c r="E38" s="32">
        <f t="shared" si="13"/>
        <v>6.0511740920484846E-3</v>
      </c>
      <c r="F38" s="33">
        <v>1</v>
      </c>
      <c r="G38" s="33">
        <v>1</v>
      </c>
      <c r="H38" s="34">
        <v>3678</v>
      </c>
      <c r="I38" s="53">
        <v>0.224</v>
      </c>
      <c r="J38" s="53">
        <v>0.224</v>
      </c>
      <c r="K38" s="47">
        <v>11013314857.379999</v>
      </c>
      <c r="L38" s="32">
        <f t="shared" si="12"/>
        <v>6.0067351472878946E-3</v>
      </c>
      <c r="M38" s="33">
        <v>1</v>
      </c>
      <c r="N38" s="33">
        <v>1</v>
      </c>
      <c r="O38" s="34">
        <v>3772</v>
      </c>
      <c r="P38" s="53">
        <v>0.23880000000000001</v>
      </c>
      <c r="Q38" s="53">
        <v>0.23880000000000001</v>
      </c>
      <c r="R38" s="59">
        <f t="shared" si="14"/>
        <v>-7.3438549419664228E-3</v>
      </c>
      <c r="S38" s="59">
        <f t="shared" si="15"/>
        <v>0</v>
      </c>
      <c r="T38" s="59">
        <f t="shared" si="16"/>
        <v>2.5557368134855901E-2</v>
      </c>
      <c r="U38" s="60">
        <f t="shared" si="17"/>
        <v>1.4800000000000008E-2</v>
      </c>
      <c r="V38" s="61">
        <f t="shared" si="18"/>
        <v>1.4800000000000008E-2</v>
      </c>
    </row>
    <row r="39" spans="1:22">
      <c r="A39" s="167">
        <v>31</v>
      </c>
      <c r="B39" s="168" t="s">
        <v>72</v>
      </c>
      <c r="C39" s="169" t="s">
        <v>73</v>
      </c>
      <c r="D39" s="47">
        <v>31209480629.830002</v>
      </c>
      <c r="E39" s="32">
        <f t="shared" si="13"/>
        <v>1.7021858237547736E-2</v>
      </c>
      <c r="F39" s="48">
        <v>100</v>
      </c>
      <c r="G39" s="48">
        <v>100</v>
      </c>
      <c r="H39" s="34">
        <v>3046</v>
      </c>
      <c r="I39" s="53">
        <v>0.246</v>
      </c>
      <c r="J39" s="53">
        <v>0.246</v>
      </c>
      <c r="K39" s="47">
        <v>32264293650.919998</v>
      </c>
      <c r="L39" s="32">
        <f t="shared" si="12"/>
        <v>1.7597160272370838E-2</v>
      </c>
      <c r="M39" s="48">
        <v>100</v>
      </c>
      <c r="N39" s="48">
        <v>100</v>
      </c>
      <c r="O39" s="34">
        <v>3046</v>
      </c>
      <c r="P39" s="53">
        <v>0.23200000000000001</v>
      </c>
      <c r="Q39" s="53">
        <v>0.23200000000000001</v>
      </c>
      <c r="R39" s="59">
        <f t="shared" si="14"/>
        <v>3.3797839624469965E-2</v>
      </c>
      <c r="S39" s="59">
        <f t="shared" si="15"/>
        <v>0</v>
      </c>
      <c r="T39" s="59">
        <f t="shared" si="16"/>
        <v>0</v>
      </c>
      <c r="U39" s="60">
        <f t="shared" si="17"/>
        <v>-1.3999999999999985E-2</v>
      </c>
      <c r="V39" s="61">
        <f t="shared" si="18"/>
        <v>-1.3999999999999985E-2</v>
      </c>
    </row>
    <row r="40" spans="1:22">
      <c r="A40" s="167">
        <v>32</v>
      </c>
      <c r="B40" s="168" t="s">
        <v>74</v>
      </c>
      <c r="C40" s="169" t="s">
        <v>73</v>
      </c>
      <c r="D40" s="47">
        <v>1970438076.95</v>
      </c>
      <c r="E40" s="32">
        <f t="shared" si="13"/>
        <v>1.0746900279926823E-3</v>
      </c>
      <c r="F40" s="48">
        <v>1000000</v>
      </c>
      <c r="G40" s="48">
        <v>1000000</v>
      </c>
      <c r="H40" s="34">
        <v>6</v>
      </c>
      <c r="I40" s="53">
        <v>0.25</v>
      </c>
      <c r="J40" s="53">
        <v>0.25</v>
      </c>
      <c r="K40" s="47">
        <v>1966736563.3199999</v>
      </c>
      <c r="L40" s="32">
        <f t="shared" si="12"/>
        <v>1.0726711978486783E-3</v>
      </c>
      <c r="M40" s="48">
        <v>1000000</v>
      </c>
      <c r="N40" s="48">
        <v>1000000</v>
      </c>
      <c r="O40" s="34">
        <v>6</v>
      </c>
      <c r="P40" s="53">
        <v>0.25640000000000002</v>
      </c>
      <c r="Q40" s="53">
        <v>0.25640000000000002</v>
      </c>
      <c r="R40" s="59">
        <f t="shared" si="14"/>
        <v>-1.8785231940552072E-3</v>
      </c>
      <c r="S40" s="59">
        <f t="shared" si="15"/>
        <v>0</v>
      </c>
      <c r="T40" s="59">
        <f t="shared" si="16"/>
        <v>0</v>
      </c>
      <c r="U40" s="60">
        <f t="shared" si="17"/>
        <v>6.4000000000000168E-3</v>
      </c>
      <c r="V40" s="61">
        <f t="shared" si="18"/>
        <v>6.4000000000000168E-3</v>
      </c>
    </row>
    <row r="41" spans="1:22">
      <c r="A41" s="167">
        <v>33</v>
      </c>
      <c r="B41" s="168" t="s">
        <v>75</v>
      </c>
      <c r="C41" s="169" t="s">
        <v>76</v>
      </c>
      <c r="D41" s="47">
        <v>3517004608.21</v>
      </c>
      <c r="E41" s="32">
        <f t="shared" si="13"/>
        <v>1.9181976967772062E-3</v>
      </c>
      <c r="F41" s="33">
        <v>1</v>
      </c>
      <c r="G41" s="33">
        <v>1</v>
      </c>
      <c r="H41" s="34">
        <v>753</v>
      </c>
      <c r="I41" s="53">
        <v>0.22950000000000001</v>
      </c>
      <c r="J41" s="53">
        <v>0.22950000000000001</v>
      </c>
      <c r="K41" s="47">
        <v>3610887021.7199998</v>
      </c>
      <c r="L41" s="32">
        <f t="shared" si="12"/>
        <v>1.9694017893002532E-3</v>
      </c>
      <c r="M41" s="33">
        <v>1</v>
      </c>
      <c r="N41" s="33">
        <v>1</v>
      </c>
      <c r="O41" s="34">
        <v>758</v>
      </c>
      <c r="P41" s="53">
        <v>0.21759999999999999</v>
      </c>
      <c r="Q41" s="53">
        <v>0.21759999999999999</v>
      </c>
      <c r="R41" s="59">
        <f t="shared" si="14"/>
        <v>2.6693855700627517E-2</v>
      </c>
      <c r="S41" s="59">
        <f t="shared" si="15"/>
        <v>0</v>
      </c>
      <c r="T41" s="59">
        <f t="shared" si="16"/>
        <v>6.6401062416998674E-3</v>
      </c>
      <c r="U41" s="60">
        <f t="shared" si="17"/>
        <v>-1.1900000000000022E-2</v>
      </c>
      <c r="V41" s="61">
        <f t="shared" si="18"/>
        <v>-1.1900000000000022E-2</v>
      </c>
    </row>
    <row r="42" spans="1:22">
      <c r="A42" s="167">
        <v>34</v>
      </c>
      <c r="B42" s="168" t="s">
        <v>77</v>
      </c>
      <c r="C42" s="169" t="s">
        <v>31</v>
      </c>
      <c r="D42" s="47">
        <v>377143248073.32001</v>
      </c>
      <c r="E42" s="32">
        <f t="shared" si="13"/>
        <v>0.2056964350062406</v>
      </c>
      <c r="F42" s="33">
        <v>100</v>
      </c>
      <c r="G42" s="33">
        <v>100</v>
      </c>
      <c r="H42" s="34">
        <v>15200</v>
      </c>
      <c r="I42" s="53">
        <v>0.22559999999999999</v>
      </c>
      <c r="J42" s="53">
        <v>0.22559999999999999</v>
      </c>
      <c r="K42" s="47">
        <v>379983899685.71997</v>
      </c>
      <c r="L42" s="32">
        <f t="shared" si="12"/>
        <v>0.20724574528224429</v>
      </c>
      <c r="M42" s="33">
        <v>100</v>
      </c>
      <c r="N42" s="33">
        <v>100</v>
      </c>
      <c r="O42" s="34">
        <v>15362</v>
      </c>
      <c r="P42" s="53">
        <v>0.22700000000000001</v>
      </c>
      <c r="Q42" s="53">
        <v>0.22700000000000001</v>
      </c>
      <c r="R42" s="59">
        <f t="shared" si="14"/>
        <v>7.5320229830754268E-3</v>
      </c>
      <c r="S42" s="59">
        <f t="shared" si="15"/>
        <v>0</v>
      </c>
      <c r="T42" s="59">
        <f t="shared" si="16"/>
        <v>1.0657894736842106E-2</v>
      </c>
      <c r="U42" s="60">
        <f t="shared" si="17"/>
        <v>1.4000000000000123E-3</v>
      </c>
      <c r="V42" s="61">
        <f t="shared" si="18"/>
        <v>1.4000000000000123E-3</v>
      </c>
    </row>
    <row r="43" spans="1:22">
      <c r="A43" s="167">
        <v>35</v>
      </c>
      <c r="B43" s="168" t="s">
        <v>78</v>
      </c>
      <c r="C43" s="169" t="s">
        <v>79</v>
      </c>
      <c r="D43" s="47">
        <v>752990852.25</v>
      </c>
      <c r="E43" s="32">
        <f t="shared" si="13"/>
        <v>4.1068621721692425E-4</v>
      </c>
      <c r="F43" s="33">
        <v>1</v>
      </c>
      <c r="G43" s="33">
        <v>1</v>
      </c>
      <c r="H43" s="49">
        <v>802</v>
      </c>
      <c r="I43" s="56">
        <v>0.2266</v>
      </c>
      <c r="J43" s="56">
        <v>0.2266</v>
      </c>
      <c r="K43" s="47">
        <v>830016073.88999999</v>
      </c>
      <c r="L43" s="32">
        <f t="shared" si="12"/>
        <v>4.5269628521589673E-4</v>
      </c>
      <c r="M43" s="33">
        <v>1</v>
      </c>
      <c r="N43" s="33">
        <v>1</v>
      </c>
      <c r="O43" s="49">
        <v>841</v>
      </c>
      <c r="P43" s="56">
        <v>0.21490000000000001</v>
      </c>
      <c r="Q43" s="56">
        <v>0.21490000000000001</v>
      </c>
      <c r="R43" s="59">
        <f t="shared" si="14"/>
        <v>0.10229237368534046</v>
      </c>
      <c r="S43" s="59">
        <f t="shared" si="15"/>
        <v>0</v>
      </c>
      <c r="T43" s="59">
        <f t="shared" si="16"/>
        <v>4.8628428927680795E-2</v>
      </c>
      <c r="U43" s="60">
        <f t="shared" si="17"/>
        <v>-1.1699999999999988E-2</v>
      </c>
      <c r="V43" s="61">
        <f t="shared" si="18"/>
        <v>-1.1699999999999988E-2</v>
      </c>
    </row>
    <row r="44" spans="1:22">
      <c r="A44" s="167">
        <v>36</v>
      </c>
      <c r="B44" s="168" t="s">
        <v>80</v>
      </c>
      <c r="C44" s="169" t="s">
        <v>81</v>
      </c>
      <c r="D44" s="47">
        <v>785504432.64999998</v>
      </c>
      <c r="E44" s="32">
        <f t="shared" si="13"/>
        <v>4.2841934013967265E-4</v>
      </c>
      <c r="F44" s="33">
        <v>10</v>
      </c>
      <c r="G44" s="33">
        <v>10</v>
      </c>
      <c r="H44" s="34">
        <v>409</v>
      </c>
      <c r="I44" s="53">
        <v>0.18429999999999999</v>
      </c>
      <c r="J44" s="53">
        <v>0.18429999999999999</v>
      </c>
      <c r="K44" s="47">
        <v>757524870.35000002</v>
      </c>
      <c r="L44" s="32">
        <f t="shared" si="12"/>
        <v>4.1315910083392711E-4</v>
      </c>
      <c r="M44" s="33">
        <v>10</v>
      </c>
      <c r="N44" s="33">
        <v>10</v>
      </c>
      <c r="O44" s="34">
        <v>412</v>
      </c>
      <c r="P44" s="53">
        <v>0.187</v>
      </c>
      <c r="Q44" s="53">
        <v>0.187</v>
      </c>
      <c r="R44" s="59">
        <f t="shared" si="14"/>
        <v>-3.5619865575560544E-2</v>
      </c>
      <c r="S44" s="59">
        <f t="shared" si="15"/>
        <v>0</v>
      </c>
      <c r="T44" s="59">
        <f t="shared" si="16"/>
        <v>7.3349633251833741E-3</v>
      </c>
      <c r="U44" s="60">
        <f t="shared" si="17"/>
        <v>2.7000000000000079E-3</v>
      </c>
      <c r="V44" s="61">
        <f t="shared" si="18"/>
        <v>2.7000000000000079E-3</v>
      </c>
    </row>
    <row r="45" spans="1:22">
      <c r="A45" s="167">
        <v>37</v>
      </c>
      <c r="B45" s="168" t="s">
        <v>82</v>
      </c>
      <c r="C45" s="169" t="s">
        <v>83</v>
      </c>
      <c r="D45" s="47">
        <v>4894403790.75</v>
      </c>
      <c r="E45" s="32">
        <f t="shared" si="13"/>
        <v>2.6694403688292509E-3</v>
      </c>
      <c r="F45" s="33">
        <v>100</v>
      </c>
      <c r="G45" s="33">
        <v>100</v>
      </c>
      <c r="H45" s="34">
        <v>729</v>
      </c>
      <c r="I45" s="53">
        <v>0.2084</v>
      </c>
      <c r="J45" s="53">
        <v>0.2084</v>
      </c>
      <c r="K45" s="47">
        <v>5169349973.1700001</v>
      </c>
      <c r="L45" s="32">
        <f t="shared" si="12"/>
        <v>2.8193978447519658E-3</v>
      </c>
      <c r="M45" s="33">
        <v>100</v>
      </c>
      <c r="N45" s="33">
        <v>100</v>
      </c>
      <c r="O45" s="34">
        <v>729</v>
      </c>
      <c r="P45" s="53">
        <v>0.20899999999999999</v>
      </c>
      <c r="Q45" s="53">
        <v>0.20899999999999999</v>
      </c>
      <c r="R45" s="59">
        <f t="shared" si="14"/>
        <v>5.6175623053337891E-2</v>
      </c>
      <c r="S45" s="59">
        <f t="shared" si="15"/>
        <v>0</v>
      </c>
      <c r="T45" s="59">
        <f t="shared" si="16"/>
        <v>0</v>
      </c>
      <c r="U45" s="60">
        <f t="shared" si="17"/>
        <v>5.9999999999998943E-4</v>
      </c>
      <c r="V45" s="61">
        <f t="shared" si="18"/>
        <v>5.9999999999998943E-4</v>
      </c>
    </row>
    <row r="46" spans="1:22">
      <c r="A46" s="167">
        <v>38</v>
      </c>
      <c r="B46" s="168" t="s">
        <v>84</v>
      </c>
      <c r="C46" s="168" t="s">
        <v>85</v>
      </c>
      <c r="D46" s="35">
        <v>77174059.422622606</v>
      </c>
      <c r="E46" s="32">
        <f>(D46/$D$179)</f>
        <v>1.4125436877268471E-3</v>
      </c>
      <c r="F46" s="35">
        <v>1</v>
      </c>
      <c r="G46" s="35">
        <v>1</v>
      </c>
      <c r="H46" s="34">
        <v>50</v>
      </c>
      <c r="I46" s="53">
        <v>0.15759635710559</v>
      </c>
      <c r="J46" s="53">
        <v>0.15759635710559</v>
      </c>
      <c r="K46" s="35">
        <v>77582822.500233784</v>
      </c>
      <c r="L46" s="57">
        <f>(K46/$K$179)</f>
        <v>1.4239718286148241E-3</v>
      </c>
      <c r="M46" s="35">
        <v>1</v>
      </c>
      <c r="N46" s="35">
        <v>1</v>
      </c>
      <c r="O46" s="34">
        <v>51</v>
      </c>
      <c r="P46" s="53">
        <v>0.15931202031105549</v>
      </c>
      <c r="Q46" s="53">
        <v>0.15931202031105549</v>
      </c>
      <c r="R46" s="60">
        <f t="shared" si="14"/>
        <v>5.2966382832435842E-3</v>
      </c>
      <c r="S46" s="60">
        <f t="shared" si="15"/>
        <v>0</v>
      </c>
      <c r="T46" s="60">
        <f t="shared" si="16"/>
        <v>0.02</v>
      </c>
      <c r="U46" s="60">
        <f t="shared" si="17"/>
        <v>1.7156632054654841E-3</v>
      </c>
      <c r="V46" s="61">
        <f t="shared" si="18"/>
        <v>1.7156632054654841E-3</v>
      </c>
    </row>
    <row r="47" spans="1:22">
      <c r="A47" s="167">
        <v>39</v>
      </c>
      <c r="B47" s="168" t="s">
        <v>292</v>
      </c>
      <c r="C47" s="169" t="s">
        <v>37</v>
      </c>
      <c r="D47" s="47">
        <v>162948003.91</v>
      </c>
      <c r="E47" s="32">
        <f t="shared" ref="E47" si="21">(D47/$K$65)</f>
        <v>8.887292472263428E-5</v>
      </c>
      <c r="F47" s="33">
        <v>1</v>
      </c>
      <c r="G47" s="33">
        <v>1</v>
      </c>
      <c r="H47" s="34">
        <v>463</v>
      </c>
      <c r="I47" s="53">
        <v>0.19831572</v>
      </c>
      <c r="J47" s="53">
        <v>0.19831572</v>
      </c>
      <c r="K47" s="47">
        <v>171575448.80000001</v>
      </c>
      <c r="L47" s="32">
        <f t="shared" ref="L47" si="22">(K47/$K$65)</f>
        <v>9.3578390526812756E-5</v>
      </c>
      <c r="M47" s="33">
        <v>1</v>
      </c>
      <c r="N47" s="33">
        <v>1</v>
      </c>
      <c r="O47" s="34">
        <v>607</v>
      </c>
      <c r="P47" s="53">
        <v>0.19204392000000001</v>
      </c>
      <c r="Q47" s="53">
        <v>0.19204392000000001</v>
      </c>
      <c r="R47" s="59">
        <f t="shared" ref="R47" si="23">((K47-D47)/D47)</f>
        <v>5.2945999232768486E-2</v>
      </c>
      <c r="S47" s="59">
        <f t="shared" ref="S47" si="24">((N47-G47)/G47)</f>
        <v>0</v>
      </c>
      <c r="T47" s="59">
        <f t="shared" ref="T47" si="25">((O47-H47)/H47)</f>
        <v>0.31101511879049676</v>
      </c>
      <c r="U47" s="60">
        <f t="shared" ref="U47" si="26">P47-I47</f>
        <v>-6.271799999999994E-3</v>
      </c>
      <c r="V47" s="61">
        <f t="shared" ref="V47" si="27">Q47-J47</f>
        <v>-6.271799999999994E-3</v>
      </c>
    </row>
    <row r="48" spans="1:22">
      <c r="A48" s="167">
        <v>40</v>
      </c>
      <c r="B48" s="168" t="s">
        <v>86</v>
      </c>
      <c r="C48" s="169" t="s">
        <v>37</v>
      </c>
      <c r="D48" s="47">
        <v>44577493429.910004</v>
      </c>
      <c r="E48" s="32">
        <f t="shared" si="13"/>
        <v>2.4312861298431573E-2</v>
      </c>
      <c r="F48" s="33">
        <v>100</v>
      </c>
      <c r="G48" s="33">
        <v>100</v>
      </c>
      <c r="H48" s="34">
        <v>13088</v>
      </c>
      <c r="I48" s="53">
        <v>0.19819999999999999</v>
      </c>
      <c r="J48" s="53">
        <v>0.19819999999999999</v>
      </c>
      <c r="K48" s="47">
        <v>46706888836.360001</v>
      </c>
      <c r="L48" s="32">
        <f t="shared" si="12"/>
        <v>2.5474247710790935E-2</v>
      </c>
      <c r="M48" s="33">
        <v>100</v>
      </c>
      <c r="N48" s="33">
        <v>100</v>
      </c>
      <c r="O48" s="34">
        <v>13184</v>
      </c>
      <c r="P48" s="53">
        <v>0.20808872</v>
      </c>
      <c r="Q48" s="53">
        <v>0.20808872</v>
      </c>
      <c r="R48" s="59">
        <f t="shared" si="14"/>
        <v>4.7768397067863039E-2</v>
      </c>
      <c r="S48" s="59">
        <f t="shared" si="15"/>
        <v>0</v>
      </c>
      <c r="T48" s="59">
        <f t="shared" si="16"/>
        <v>7.3349633251833741E-3</v>
      </c>
      <c r="U48" s="60">
        <f t="shared" si="17"/>
        <v>9.8887200000000175E-3</v>
      </c>
      <c r="V48" s="61">
        <f t="shared" si="18"/>
        <v>9.8887200000000175E-3</v>
      </c>
    </row>
    <row r="49" spans="1:22">
      <c r="A49" s="167">
        <v>41</v>
      </c>
      <c r="B49" s="168" t="s">
        <v>87</v>
      </c>
      <c r="C49" s="169" t="s">
        <v>41</v>
      </c>
      <c r="D49" s="47">
        <v>8944878575.3799992</v>
      </c>
      <c r="E49" s="32">
        <f t="shared" si="13"/>
        <v>4.8785962467016442E-3</v>
      </c>
      <c r="F49" s="33">
        <v>1</v>
      </c>
      <c r="G49" s="33">
        <v>1</v>
      </c>
      <c r="H49" s="34">
        <v>1187</v>
      </c>
      <c r="I49" s="53">
        <v>0.2218</v>
      </c>
      <c r="J49" s="53">
        <v>0.2218</v>
      </c>
      <c r="K49" s="47">
        <v>9442821588.5</v>
      </c>
      <c r="L49" s="32">
        <f t="shared" si="12"/>
        <v>5.1501776767240567E-3</v>
      </c>
      <c r="M49" s="33">
        <v>1</v>
      </c>
      <c r="N49" s="33">
        <v>1</v>
      </c>
      <c r="O49" s="34">
        <v>1198</v>
      </c>
      <c r="P49" s="53">
        <v>0.22450000000000001</v>
      </c>
      <c r="Q49" s="53">
        <v>0.22450000000000001</v>
      </c>
      <c r="R49" s="59">
        <f t="shared" si="14"/>
        <v>5.5667945509125828E-2</v>
      </c>
      <c r="S49" s="59">
        <f t="shared" si="15"/>
        <v>0</v>
      </c>
      <c r="T49" s="59">
        <f t="shared" si="16"/>
        <v>9.2670598146588033E-3</v>
      </c>
      <c r="U49" s="60">
        <f t="shared" si="17"/>
        <v>2.7000000000000079E-3</v>
      </c>
      <c r="V49" s="61">
        <f t="shared" si="18"/>
        <v>2.7000000000000079E-3</v>
      </c>
    </row>
    <row r="50" spans="1:22">
      <c r="A50" s="167">
        <v>42</v>
      </c>
      <c r="B50" s="168" t="s">
        <v>88</v>
      </c>
      <c r="C50" s="169" t="s">
        <v>43</v>
      </c>
      <c r="D50" s="50">
        <v>18642252325.169998</v>
      </c>
      <c r="E50" s="32">
        <f t="shared" si="13"/>
        <v>1.0167608364630669E-2</v>
      </c>
      <c r="F50" s="33">
        <v>10</v>
      </c>
      <c r="G50" s="33">
        <v>10</v>
      </c>
      <c r="H50" s="34">
        <v>3287</v>
      </c>
      <c r="I50" s="53">
        <v>0.23830000000000001</v>
      </c>
      <c r="J50" s="53">
        <v>0.23830000000000001</v>
      </c>
      <c r="K50" s="50">
        <v>19506484310.389999</v>
      </c>
      <c r="L50" s="32">
        <f t="shared" si="12"/>
        <v>1.0638966235376801E-2</v>
      </c>
      <c r="M50" s="33">
        <v>10</v>
      </c>
      <c r="N50" s="33">
        <v>10</v>
      </c>
      <c r="O50" s="34">
        <v>3336</v>
      </c>
      <c r="P50" s="53">
        <v>0.24110000000000001</v>
      </c>
      <c r="Q50" s="53">
        <v>0.24110000000000001</v>
      </c>
      <c r="R50" s="59">
        <f t="shared" si="14"/>
        <v>4.6358775224448118E-2</v>
      </c>
      <c r="S50" s="59">
        <f t="shared" si="15"/>
        <v>0</v>
      </c>
      <c r="T50" s="59">
        <f t="shared" si="16"/>
        <v>1.4907210222087009E-2</v>
      </c>
      <c r="U50" s="60">
        <f t="shared" si="17"/>
        <v>2.7999999999999969E-3</v>
      </c>
      <c r="V50" s="61">
        <f t="shared" si="18"/>
        <v>2.7999999999999969E-3</v>
      </c>
    </row>
    <row r="51" spans="1:22">
      <c r="A51" s="167">
        <v>43</v>
      </c>
      <c r="B51" s="168" t="s">
        <v>89</v>
      </c>
      <c r="C51" s="169" t="s">
        <v>90</v>
      </c>
      <c r="D51" s="47">
        <v>13019919357</v>
      </c>
      <c r="E51" s="32">
        <f t="shared" si="13"/>
        <v>7.1011505826639853E-3</v>
      </c>
      <c r="F51" s="33">
        <v>100</v>
      </c>
      <c r="G51" s="33">
        <v>100</v>
      </c>
      <c r="H51" s="34">
        <v>3279</v>
      </c>
      <c r="I51" s="53">
        <v>0.22220000000000001</v>
      </c>
      <c r="J51" s="53">
        <v>0.22220000000000001</v>
      </c>
      <c r="K51" s="47">
        <v>13766463956</v>
      </c>
      <c r="L51" s="32">
        <f t="shared" si="12"/>
        <v>7.5083209704992458E-3</v>
      </c>
      <c r="M51" s="33">
        <v>100</v>
      </c>
      <c r="N51" s="33">
        <v>100</v>
      </c>
      <c r="O51" s="34">
        <v>3337</v>
      </c>
      <c r="P51" s="53">
        <v>0.22370000000000001</v>
      </c>
      <c r="Q51" s="53">
        <v>0.22370000000000001</v>
      </c>
      <c r="R51" s="59">
        <f t="shared" si="14"/>
        <v>5.7338649996985541E-2</v>
      </c>
      <c r="S51" s="59">
        <f t="shared" si="15"/>
        <v>0</v>
      </c>
      <c r="T51" s="59">
        <f t="shared" si="16"/>
        <v>1.7688319609637085E-2</v>
      </c>
      <c r="U51" s="60">
        <f t="shared" si="17"/>
        <v>1.5000000000000013E-3</v>
      </c>
      <c r="V51" s="61">
        <f t="shared" si="18"/>
        <v>1.5000000000000013E-3</v>
      </c>
    </row>
    <row r="52" spans="1:22">
      <c r="A52" s="167">
        <v>44</v>
      </c>
      <c r="B52" s="168" t="s">
        <v>91</v>
      </c>
      <c r="C52" s="169" t="s">
        <v>92</v>
      </c>
      <c r="D52" s="47">
        <v>269347463.14999998</v>
      </c>
      <c r="E52" s="32">
        <f t="shared" si="13"/>
        <v>1.469038972087305E-4</v>
      </c>
      <c r="F52" s="33">
        <v>1</v>
      </c>
      <c r="G52" s="33">
        <v>1</v>
      </c>
      <c r="H52" s="34">
        <v>87</v>
      </c>
      <c r="I52" s="53">
        <v>0.17230000000000001</v>
      </c>
      <c r="J52" s="53">
        <v>0.17230000000000001</v>
      </c>
      <c r="K52" s="47">
        <v>278995349.57999998</v>
      </c>
      <c r="L52" s="32">
        <f t="shared" si="12"/>
        <v>1.5216591861342042E-4</v>
      </c>
      <c r="M52" s="33">
        <v>1</v>
      </c>
      <c r="N52" s="33">
        <v>1</v>
      </c>
      <c r="O52" s="34">
        <v>89</v>
      </c>
      <c r="P52" s="53">
        <v>0.1749</v>
      </c>
      <c r="Q52" s="53">
        <v>0.1749</v>
      </c>
      <c r="R52" s="59">
        <f t="shared" si="14"/>
        <v>3.5819481338968784E-2</v>
      </c>
      <c r="S52" s="59">
        <f t="shared" si="15"/>
        <v>0</v>
      </c>
      <c r="T52" s="59">
        <f t="shared" si="16"/>
        <v>2.2988505747126436E-2</v>
      </c>
      <c r="U52" s="60">
        <f t="shared" si="17"/>
        <v>2.5999999999999912E-3</v>
      </c>
      <c r="V52" s="61">
        <f t="shared" si="18"/>
        <v>2.5999999999999912E-3</v>
      </c>
    </row>
    <row r="53" spans="1:22">
      <c r="A53" s="167">
        <v>45</v>
      </c>
      <c r="B53" s="168" t="s">
        <v>93</v>
      </c>
      <c r="C53" s="169" t="s">
        <v>45</v>
      </c>
      <c r="D53" s="50">
        <v>951473751.24000001</v>
      </c>
      <c r="E53" s="32">
        <f t="shared" si="13"/>
        <v>5.189401099765517E-4</v>
      </c>
      <c r="F53" s="33">
        <v>10</v>
      </c>
      <c r="G53" s="33">
        <v>10</v>
      </c>
      <c r="H53" s="34">
        <v>746</v>
      </c>
      <c r="I53" s="53">
        <v>0.16400000000000001</v>
      </c>
      <c r="J53" s="53">
        <v>0.16400000000000001</v>
      </c>
      <c r="K53" s="50">
        <v>969643241.30999994</v>
      </c>
      <c r="L53" s="32">
        <f t="shared" si="12"/>
        <v>5.2884987066396483E-4</v>
      </c>
      <c r="M53" s="33">
        <v>10</v>
      </c>
      <c r="N53" s="33">
        <v>10</v>
      </c>
      <c r="O53" s="34">
        <v>742</v>
      </c>
      <c r="P53" s="53">
        <v>0.16400000000000001</v>
      </c>
      <c r="Q53" s="53">
        <v>0.16400000000000001</v>
      </c>
      <c r="R53" s="59">
        <f t="shared" si="14"/>
        <v>1.9096154829621629E-2</v>
      </c>
      <c r="S53" s="59">
        <f t="shared" si="15"/>
        <v>0</v>
      </c>
      <c r="T53" s="59">
        <f t="shared" si="16"/>
        <v>-5.3619302949061663E-3</v>
      </c>
      <c r="U53" s="60">
        <f t="shared" si="17"/>
        <v>0</v>
      </c>
      <c r="V53" s="61">
        <f t="shared" si="18"/>
        <v>0</v>
      </c>
    </row>
    <row r="54" spans="1:22">
      <c r="A54" s="167">
        <v>46</v>
      </c>
      <c r="B54" s="168" t="s">
        <v>94</v>
      </c>
      <c r="C54" s="169" t="s">
        <v>95</v>
      </c>
      <c r="D54" s="50">
        <v>745738104.24000001</v>
      </c>
      <c r="E54" s="32">
        <f t="shared" si="13"/>
        <v>4.0673052023102574E-4</v>
      </c>
      <c r="F54" s="33">
        <v>1</v>
      </c>
      <c r="G54" s="33">
        <v>1</v>
      </c>
      <c r="H54" s="34">
        <v>62</v>
      </c>
      <c r="I54" s="53">
        <v>0.21890000000000001</v>
      </c>
      <c r="J54" s="53">
        <v>0.21890000000000001</v>
      </c>
      <c r="K54" s="50">
        <v>744254680.92999995</v>
      </c>
      <c r="L54" s="32">
        <f t="shared" si="12"/>
        <v>4.0592145129493583E-4</v>
      </c>
      <c r="M54" s="33">
        <v>1</v>
      </c>
      <c r="N54" s="33">
        <v>1</v>
      </c>
      <c r="O54" s="34">
        <v>62</v>
      </c>
      <c r="P54" s="53">
        <v>0.21890000000000001</v>
      </c>
      <c r="Q54" s="53">
        <v>0.21890000000000001</v>
      </c>
      <c r="R54" s="59">
        <f t="shared" si="14"/>
        <v>-1.9892014389044197E-3</v>
      </c>
      <c r="S54" s="59">
        <f t="shared" si="15"/>
        <v>0</v>
      </c>
      <c r="T54" s="59">
        <f t="shared" si="16"/>
        <v>0</v>
      </c>
      <c r="U54" s="60">
        <f t="shared" si="17"/>
        <v>0</v>
      </c>
      <c r="V54" s="61">
        <f t="shared" si="18"/>
        <v>0</v>
      </c>
    </row>
    <row r="55" spans="1:22">
      <c r="A55" s="167">
        <v>47</v>
      </c>
      <c r="B55" s="168" t="s">
        <v>96</v>
      </c>
      <c r="C55" s="169" t="s">
        <v>97</v>
      </c>
      <c r="D55" s="50">
        <v>6072886093.8347998</v>
      </c>
      <c r="E55" s="32">
        <f t="shared" si="13"/>
        <v>3.3121924522905477E-3</v>
      </c>
      <c r="F55" s="33">
        <v>100</v>
      </c>
      <c r="G55" s="33">
        <v>100</v>
      </c>
      <c r="H55" s="34">
        <v>80</v>
      </c>
      <c r="I55" s="53">
        <v>0.2281</v>
      </c>
      <c r="J55" s="53">
        <v>0.2281</v>
      </c>
      <c r="K55" s="50">
        <v>6464721595.7467003</v>
      </c>
      <c r="L55" s="32">
        <f t="shared" si="12"/>
        <v>3.5259021402245334E-3</v>
      </c>
      <c r="M55" s="33">
        <v>100</v>
      </c>
      <c r="N55" s="33">
        <v>100</v>
      </c>
      <c r="O55" s="34">
        <v>82</v>
      </c>
      <c r="P55" s="53">
        <v>0.22869999999999999</v>
      </c>
      <c r="Q55" s="53">
        <v>0.22869999999999999</v>
      </c>
      <c r="R55" s="59">
        <f t="shared" si="14"/>
        <v>6.4522122736616505E-2</v>
      </c>
      <c r="S55" s="59">
        <f t="shared" si="15"/>
        <v>0</v>
      </c>
      <c r="T55" s="59">
        <f t="shared" si="16"/>
        <v>2.5000000000000001E-2</v>
      </c>
      <c r="U55" s="60">
        <f t="shared" si="17"/>
        <v>5.9999999999998943E-4</v>
      </c>
      <c r="V55" s="61">
        <f t="shared" si="18"/>
        <v>5.9999999999998943E-4</v>
      </c>
    </row>
    <row r="56" spans="1:22">
      <c r="A56" s="167">
        <v>48</v>
      </c>
      <c r="B56" s="168" t="s">
        <v>98</v>
      </c>
      <c r="C56" s="169" t="s">
        <v>99</v>
      </c>
      <c r="D56" s="50">
        <v>58312540.549999997</v>
      </c>
      <c r="E56" s="32">
        <f t="shared" si="13"/>
        <v>3.1804047317744824E-5</v>
      </c>
      <c r="F56" s="33">
        <v>1000</v>
      </c>
      <c r="G56" s="33">
        <v>1000</v>
      </c>
      <c r="H56" s="34">
        <v>21</v>
      </c>
      <c r="I56" s="53">
        <v>0.19</v>
      </c>
      <c r="J56" s="53">
        <v>0.19</v>
      </c>
      <c r="K56" s="50">
        <v>58335811.460000001</v>
      </c>
      <c r="L56" s="32">
        <f t="shared" si="12"/>
        <v>3.1816739426779803E-5</v>
      </c>
      <c r="M56" s="33">
        <v>1000</v>
      </c>
      <c r="N56" s="33">
        <v>1000</v>
      </c>
      <c r="O56" s="34">
        <v>21</v>
      </c>
      <c r="P56" s="53">
        <v>0.189</v>
      </c>
      <c r="Q56" s="53">
        <v>0.189</v>
      </c>
      <c r="R56" s="59">
        <f t="shared" si="14"/>
        <v>3.990721340643745E-4</v>
      </c>
      <c r="S56" s="59">
        <f t="shared" si="15"/>
        <v>0</v>
      </c>
      <c r="T56" s="59">
        <f t="shared" si="16"/>
        <v>0</v>
      </c>
      <c r="U56" s="60">
        <f t="shared" si="17"/>
        <v>-1.0000000000000009E-3</v>
      </c>
      <c r="V56" s="61">
        <f t="shared" si="18"/>
        <v>-1.0000000000000009E-3</v>
      </c>
    </row>
    <row r="57" spans="1:22">
      <c r="A57" s="167">
        <v>49</v>
      </c>
      <c r="B57" s="168" t="s">
        <v>100</v>
      </c>
      <c r="C57" s="169" t="s">
        <v>49</v>
      </c>
      <c r="D57" s="47">
        <v>817835090653.02002</v>
      </c>
      <c r="E57" s="32">
        <f t="shared" si="13"/>
        <v>0.44605269597091457</v>
      </c>
      <c r="F57" s="33">
        <v>100</v>
      </c>
      <c r="G57" s="33">
        <v>100</v>
      </c>
      <c r="H57" s="34">
        <v>149618</v>
      </c>
      <c r="I57" s="53">
        <v>0.21029999999999999</v>
      </c>
      <c r="J57" s="53">
        <v>0.21029999999999999</v>
      </c>
      <c r="K57" s="47">
        <v>840367961263.91003</v>
      </c>
      <c r="L57" s="32">
        <f t="shared" si="12"/>
        <v>0.45834227341607647</v>
      </c>
      <c r="M57" s="33">
        <v>100</v>
      </c>
      <c r="N57" s="33">
        <v>100</v>
      </c>
      <c r="O57" s="34">
        <v>151109</v>
      </c>
      <c r="P57" s="53">
        <v>0.21210000000000001</v>
      </c>
      <c r="Q57" s="53">
        <v>0.21210000000000001</v>
      </c>
      <c r="R57" s="59">
        <f t="shared" si="14"/>
        <v>2.7551851061927538E-2</v>
      </c>
      <c r="S57" s="59">
        <f t="shared" si="15"/>
        <v>0</v>
      </c>
      <c r="T57" s="59">
        <f t="shared" si="16"/>
        <v>9.965378497239637E-3</v>
      </c>
      <c r="U57" s="60">
        <f t="shared" si="17"/>
        <v>1.8000000000000238E-3</v>
      </c>
      <c r="V57" s="61">
        <f t="shared" si="18"/>
        <v>1.8000000000000238E-3</v>
      </c>
    </row>
    <row r="58" spans="1:22">
      <c r="A58" s="167">
        <v>50</v>
      </c>
      <c r="B58" s="168" t="s">
        <v>101</v>
      </c>
      <c r="C58" s="168" t="s">
        <v>102</v>
      </c>
      <c r="D58" s="47">
        <v>1709337155.1500001</v>
      </c>
      <c r="E58" s="32">
        <f t="shared" si="13"/>
        <v>9.3228384926490623E-4</v>
      </c>
      <c r="F58" s="33">
        <v>100</v>
      </c>
      <c r="G58" s="33">
        <v>100</v>
      </c>
      <c r="H58" s="34">
        <v>363</v>
      </c>
      <c r="I58" s="53">
        <v>0.21249999999999999</v>
      </c>
      <c r="J58" s="53">
        <v>0.21249999999999999</v>
      </c>
      <c r="K58" s="47">
        <v>1725643823.46</v>
      </c>
      <c r="L58" s="32">
        <f t="shared" si="12"/>
        <v>9.411776145790983E-4</v>
      </c>
      <c r="M58" s="33">
        <v>100</v>
      </c>
      <c r="N58" s="33">
        <v>100</v>
      </c>
      <c r="O58" s="34">
        <v>370</v>
      </c>
      <c r="P58" s="53">
        <v>0.21460000000000001</v>
      </c>
      <c r="Q58" s="53">
        <v>0.21460000000000001</v>
      </c>
      <c r="R58" s="59">
        <f t="shared" si="14"/>
        <v>9.5397612231561055E-3</v>
      </c>
      <c r="S58" s="59">
        <f t="shared" si="15"/>
        <v>0</v>
      </c>
      <c r="T58" s="59">
        <f t="shared" si="16"/>
        <v>1.928374655647383E-2</v>
      </c>
      <c r="U58" s="60">
        <f t="shared" si="17"/>
        <v>2.1000000000000185E-3</v>
      </c>
      <c r="V58" s="61">
        <f t="shared" si="18"/>
        <v>2.1000000000000185E-3</v>
      </c>
    </row>
    <row r="59" spans="1:22">
      <c r="A59" s="167">
        <v>51</v>
      </c>
      <c r="B59" s="168" t="s">
        <v>103</v>
      </c>
      <c r="C59" s="169" t="s">
        <v>104</v>
      </c>
      <c r="D59" s="47">
        <v>3670947802.77</v>
      </c>
      <c r="E59" s="32">
        <f t="shared" si="13"/>
        <v>2.0021593386102001E-3</v>
      </c>
      <c r="F59" s="33">
        <v>1</v>
      </c>
      <c r="G59" s="33">
        <v>1</v>
      </c>
      <c r="H59" s="34">
        <v>402</v>
      </c>
      <c r="I59" s="53">
        <v>0.20610137120000002</v>
      </c>
      <c r="J59" s="53">
        <v>0.20610137120000002</v>
      </c>
      <c r="K59" s="47">
        <v>3744410368.1799998</v>
      </c>
      <c r="L59" s="32">
        <f t="shared" si="12"/>
        <v>2.042226310214348E-3</v>
      </c>
      <c r="M59" s="33">
        <v>1</v>
      </c>
      <c r="N59" s="33">
        <v>1</v>
      </c>
      <c r="O59" s="34">
        <v>404</v>
      </c>
      <c r="P59" s="53">
        <v>0.20071979339999999</v>
      </c>
      <c r="Q59" s="53">
        <v>0.20071979339999999</v>
      </c>
      <c r="R59" s="59">
        <f t="shared" si="14"/>
        <v>2.0011879589943212E-2</v>
      </c>
      <c r="S59" s="59">
        <f t="shared" si="15"/>
        <v>0</v>
      </c>
      <c r="T59" s="59">
        <f t="shared" si="16"/>
        <v>4.9751243781094526E-3</v>
      </c>
      <c r="U59" s="60">
        <f t="shared" si="17"/>
        <v>-5.3815778000000369E-3</v>
      </c>
      <c r="V59" s="61">
        <f t="shared" si="18"/>
        <v>-5.3815778000000369E-3</v>
      </c>
    </row>
    <row r="60" spans="1:22">
      <c r="A60" s="167">
        <v>52</v>
      </c>
      <c r="B60" s="168" t="s">
        <v>105</v>
      </c>
      <c r="C60" s="169" t="s">
        <v>52</v>
      </c>
      <c r="D60" s="47">
        <v>80153213967.419998</v>
      </c>
      <c r="E60" s="32">
        <f t="shared" si="13"/>
        <v>4.3716095811386337E-2</v>
      </c>
      <c r="F60" s="33">
        <v>1</v>
      </c>
      <c r="G60" s="33">
        <v>1</v>
      </c>
      <c r="H60" s="34">
        <v>41199</v>
      </c>
      <c r="I60" s="53">
        <v>0.21479999999999999</v>
      </c>
      <c r="J60" s="53">
        <v>0.21479999999999999</v>
      </c>
      <c r="K60" s="47">
        <v>80153213967.419998</v>
      </c>
      <c r="L60" s="32">
        <f t="shared" si="12"/>
        <v>4.3716095811386337E-2</v>
      </c>
      <c r="M60" s="33">
        <v>1</v>
      </c>
      <c r="N60" s="33">
        <v>1</v>
      </c>
      <c r="O60" s="34">
        <v>41199</v>
      </c>
      <c r="P60" s="53">
        <v>0.20849999999999999</v>
      </c>
      <c r="Q60" s="53">
        <v>0.20849999999999999</v>
      </c>
      <c r="R60" s="59">
        <f t="shared" si="14"/>
        <v>0</v>
      </c>
      <c r="S60" s="59">
        <f t="shared" si="15"/>
        <v>0</v>
      </c>
      <c r="T60" s="59">
        <f t="shared" si="16"/>
        <v>0</v>
      </c>
      <c r="U60" s="60">
        <f t="shared" si="17"/>
        <v>-6.3E-3</v>
      </c>
      <c r="V60" s="61">
        <f t="shared" si="18"/>
        <v>-6.3E-3</v>
      </c>
    </row>
    <row r="61" spans="1:22">
      <c r="A61" s="167">
        <v>53</v>
      </c>
      <c r="B61" s="168" t="s">
        <v>106</v>
      </c>
      <c r="C61" s="169" t="s">
        <v>107</v>
      </c>
      <c r="D61" s="47">
        <v>1579244624.3800001</v>
      </c>
      <c r="E61" s="32">
        <f t="shared" si="13"/>
        <v>8.6133051803855378E-4</v>
      </c>
      <c r="F61" s="33">
        <v>1</v>
      </c>
      <c r="G61" s="33">
        <v>1</v>
      </c>
      <c r="H61" s="34">
        <v>141</v>
      </c>
      <c r="I61" s="53">
        <v>0.21840000000000001</v>
      </c>
      <c r="J61" s="53">
        <v>0.21840000000000001</v>
      </c>
      <c r="K61" s="47">
        <v>1477160571.55</v>
      </c>
      <c r="L61" s="32">
        <f t="shared" si="12"/>
        <v>8.0565319690025384E-4</v>
      </c>
      <c r="M61" s="33">
        <v>1</v>
      </c>
      <c r="N61" s="33">
        <v>1</v>
      </c>
      <c r="O61" s="34">
        <v>143</v>
      </c>
      <c r="P61" s="53">
        <v>0.2198</v>
      </c>
      <c r="Q61" s="53">
        <v>0.2198</v>
      </c>
      <c r="R61" s="59">
        <f t="shared" si="14"/>
        <v>-6.4641063996071932E-2</v>
      </c>
      <c r="S61" s="59">
        <f t="shared" si="15"/>
        <v>0</v>
      </c>
      <c r="T61" s="59">
        <f t="shared" si="16"/>
        <v>1.4184397163120567E-2</v>
      </c>
      <c r="U61" s="60">
        <f t="shared" si="17"/>
        <v>1.3999999999999846E-3</v>
      </c>
      <c r="V61" s="61">
        <f t="shared" si="18"/>
        <v>1.3999999999999846E-3</v>
      </c>
    </row>
    <row r="62" spans="1:22">
      <c r="A62" s="167">
        <v>54</v>
      </c>
      <c r="B62" s="168" t="s">
        <v>108</v>
      </c>
      <c r="C62" s="169" t="s">
        <v>109</v>
      </c>
      <c r="D62" s="47">
        <v>2748767584.3200002</v>
      </c>
      <c r="E62" s="32">
        <f t="shared" si="13"/>
        <v>1.4991961161808173E-3</v>
      </c>
      <c r="F62" s="33">
        <v>1</v>
      </c>
      <c r="G62" s="33">
        <v>1</v>
      </c>
      <c r="H62" s="34">
        <v>347</v>
      </c>
      <c r="I62" s="53">
        <v>0.20119999999999999</v>
      </c>
      <c r="J62" s="53">
        <v>0.20119999999999999</v>
      </c>
      <c r="K62" s="47">
        <v>2740044502.98</v>
      </c>
      <c r="L62" s="32">
        <f t="shared" si="12"/>
        <v>1.4944384896209521E-3</v>
      </c>
      <c r="M62" s="33">
        <v>1</v>
      </c>
      <c r="N62" s="33">
        <v>1</v>
      </c>
      <c r="O62" s="34">
        <v>347</v>
      </c>
      <c r="P62" s="53">
        <v>0.21460000000000001</v>
      </c>
      <c r="Q62" s="53">
        <v>0.21460000000000001</v>
      </c>
      <c r="R62" s="59">
        <f t="shared" si="14"/>
        <v>-3.1734517642596906E-3</v>
      </c>
      <c r="S62" s="59">
        <f t="shared" si="15"/>
        <v>0</v>
      </c>
      <c r="T62" s="59">
        <f t="shared" si="16"/>
        <v>0</v>
      </c>
      <c r="U62" s="60">
        <f t="shared" si="17"/>
        <v>1.3400000000000023E-2</v>
      </c>
      <c r="V62" s="61">
        <f t="shared" si="18"/>
        <v>1.3400000000000023E-2</v>
      </c>
    </row>
    <row r="63" spans="1:22">
      <c r="A63" s="167">
        <v>55</v>
      </c>
      <c r="B63" s="168" t="s">
        <v>110</v>
      </c>
      <c r="C63" s="169" t="s">
        <v>111</v>
      </c>
      <c r="D63" s="47">
        <v>3114131461.96</v>
      </c>
      <c r="E63" s="32">
        <f t="shared" si="13"/>
        <v>1.6984680042353892E-3</v>
      </c>
      <c r="F63" s="33">
        <v>1</v>
      </c>
      <c r="G63" s="33">
        <v>1</v>
      </c>
      <c r="H63" s="34">
        <v>1957</v>
      </c>
      <c r="I63" s="53">
        <v>0.23100000000000001</v>
      </c>
      <c r="J63" s="53">
        <v>0.23100000000000001</v>
      </c>
      <c r="K63" s="47">
        <v>3230836112.5300002</v>
      </c>
      <c r="L63" s="32">
        <f t="shared" si="12"/>
        <v>1.7621194965888494E-3</v>
      </c>
      <c r="M63" s="33">
        <v>1</v>
      </c>
      <c r="N63" s="33">
        <v>1</v>
      </c>
      <c r="O63" s="34">
        <v>2047</v>
      </c>
      <c r="P63" s="53">
        <v>0.2316</v>
      </c>
      <c r="Q63" s="53">
        <v>0.2316</v>
      </c>
      <c r="R63" s="59">
        <f t="shared" si="14"/>
        <v>3.7475826565313834E-2</v>
      </c>
      <c r="S63" s="59">
        <f t="shared" si="15"/>
        <v>0</v>
      </c>
      <c r="T63" s="59">
        <f t="shared" si="16"/>
        <v>4.5988758303525806E-2</v>
      </c>
      <c r="U63" s="60">
        <f t="shared" si="17"/>
        <v>5.9999999999998943E-4</v>
      </c>
      <c r="V63" s="61">
        <f t="shared" si="18"/>
        <v>5.9999999999998943E-4</v>
      </c>
    </row>
    <row r="64" spans="1:22">
      <c r="A64" s="167">
        <v>56</v>
      </c>
      <c r="B64" s="168" t="s">
        <v>112</v>
      </c>
      <c r="C64" s="169" t="s">
        <v>113</v>
      </c>
      <c r="D64" s="47">
        <v>59296750854.699997</v>
      </c>
      <c r="E64" s="32">
        <f t="shared" si="13"/>
        <v>3.2340842161633528E-2</v>
      </c>
      <c r="F64" s="33">
        <v>1</v>
      </c>
      <c r="G64" s="33">
        <v>1</v>
      </c>
      <c r="H64" s="34">
        <v>4343</v>
      </c>
      <c r="I64" s="53">
        <v>0.22309999999999999</v>
      </c>
      <c r="J64" s="53">
        <v>0.22309999999999999</v>
      </c>
      <c r="K64" s="47">
        <v>60428984663.339996</v>
      </c>
      <c r="L64" s="32">
        <f t="shared" si="12"/>
        <v>3.2958370008732911E-2</v>
      </c>
      <c r="M64" s="33">
        <v>1</v>
      </c>
      <c r="N64" s="33">
        <v>1</v>
      </c>
      <c r="O64" s="34">
        <v>4416</v>
      </c>
      <c r="P64" s="53">
        <v>0.224</v>
      </c>
      <c r="Q64" s="53">
        <v>0.224</v>
      </c>
      <c r="R64" s="59">
        <f t="shared" si="14"/>
        <v>1.909436507599566E-2</v>
      </c>
      <c r="S64" s="59">
        <f t="shared" si="15"/>
        <v>0</v>
      </c>
      <c r="T64" s="59">
        <f t="shared" si="16"/>
        <v>1.6808657609947042E-2</v>
      </c>
      <c r="U64" s="60">
        <f t="shared" si="17"/>
        <v>9.000000000000119E-4</v>
      </c>
      <c r="V64" s="61">
        <f t="shared" si="18"/>
        <v>9.000000000000119E-4</v>
      </c>
    </row>
    <row r="65" spans="1:22">
      <c r="A65" s="38"/>
      <c r="B65" s="39"/>
      <c r="C65" s="40" t="s">
        <v>53</v>
      </c>
      <c r="D65" s="51">
        <f>SUM(D27:D64)</f>
        <v>1796163520217.4673</v>
      </c>
      <c r="E65" s="42">
        <f>(D65/$D$210)</f>
        <v>0.45317021926534334</v>
      </c>
      <c r="F65" s="43"/>
      <c r="G65" s="48"/>
      <c r="H65" s="45">
        <f>SUM(H27:H64)</f>
        <v>357871</v>
      </c>
      <c r="I65" s="58"/>
      <c r="J65" s="58"/>
      <c r="K65" s="51">
        <f>SUM(K27:K64)</f>
        <v>1833494333831.687</v>
      </c>
      <c r="L65" s="42">
        <f>(K65/$K$210)</f>
        <v>0.45612651837576834</v>
      </c>
      <c r="M65" s="43"/>
      <c r="N65" s="48"/>
      <c r="O65" s="45">
        <f>SUM(O27:O64)</f>
        <v>360817</v>
      </c>
      <c r="P65" s="58"/>
      <c r="Q65" s="58"/>
      <c r="R65" s="59">
        <f t="shared" si="14"/>
        <v>2.0783638679901462E-2</v>
      </c>
      <c r="S65" s="59" t="e">
        <f t="shared" si="15"/>
        <v>#DIV/0!</v>
      </c>
      <c r="T65" s="59">
        <f t="shared" si="16"/>
        <v>8.232016564628037E-3</v>
      </c>
      <c r="U65" s="60">
        <f t="shared" si="17"/>
        <v>0</v>
      </c>
      <c r="V65" s="61">
        <f t="shared" si="18"/>
        <v>0</v>
      </c>
    </row>
    <row r="66" spans="1:22" ht="3" customHeight="1">
      <c r="A66" s="3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</row>
    <row r="67" spans="1:22" ht="15" customHeight="1">
      <c r="A67" s="177" t="s">
        <v>114</v>
      </c>
      <c r="B67" s="177"/>
      <c r="C67" s="177"/>
      <c r="D67" s="177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</row>
    <row r="68" spans="1:22">
      <c r="A68" s="167">
        <v>57</v>
      </c>
      <c r="B68" s="168" t="s">
        <v>115</v>
      </c>
      <c r="C68" s="169" t="s">
        <v>21</v>
      </c>
      <c r="D68" s="31">
        <v>500687264.13999999</v>
      </c>
      <c r="E68" s="32">
        <f>(D68/$D$104)</f>
        <v>2.5207764966794066E-3</v>
      </c>
      <c r="F68" s="63">
        <v>1.3101</v>
      </c>
      <c r="G68" s="63">
        <v>1.3101</v>
      </c>
      <c r="H68" s="34">
        <v>467</v>
      </c>
      <c r="I68" s="53">
        <v>-2.513E-3</v>
      </c>
      <c r="J68" s="53">
        <v>4.8999999999999998E-3</v>
      </c>
      <c r="K68" s="31">
        <v>499568396.68000001</v>
      </c>
      <c r="L68" s="32">
        <f t="shared" ref="L68:L89" si="28">(K68/$K$104)</f>
        <v>2.5031869772144696E-3</v>
      </c>
      <c r="M68" s="63">
        <v>1.3071999999999999</v>
      </c>
      <c r="N68" s="63">
        <v>1.3071999999999999</v>
      </c>
      <c r="O68" s="34">
        <v>467</v>
      </c>
      <c r="P68" s="53">
        <v>4.5899999999999999E-4</v>
      </c>
      <c r="Q68" s="53">
        <v>2.7000000000000001E-3</v>
      </c>
      <c r="R68" s="59">
        <f>((K68-D68)/D68)</f>
        <v>-2.2346633120812229E-3</v>
      </c>
      <c r="S68" s="59">
        <f>((N68-G68)/G68)</f>
        <v>-2.2135714830929889E-3</v>
      </c>
      <c r="T68" s="59">
        <f>((O68-H68)/H68)</f>
        <v>0</v>
      </c>
      <c r="U68" s="60">
        <f>P68-I68</f>
        <v>2.9719999999999998E-3</v>
      </c>
      <c r="V68" s="61">
        <f>Q68-J68</f>
        <v>-2.1999999999999997E-3</v>
      </c>
    </row>
    <row r="69" spans="1:22">
      <c r="A69" s="167">
        <v>58</v>
      </c>
      <c r="B69" s="168" t="s">
        <v>116</v>
      </c>
      <c r="C69" s="169" t="s">
        <v>23</v>
      </c>
      <c r="D69" s="31">
        <v>1314464545.75</v>
      </c>
      <c r="E69" s="32">
        <f>(D69/$D$104)</f>
        <v>6.6178462484687327E-3</v>
      </c>
      <c r="F69" s="63">
        <v>1.1855</v>
      </c>
      <c r="G69" s="63">
        <v>1.1855</v>
      </c>
      <c r="H69" s="34">
        <v>830</v>
      </c>
      <c r="I69" s="53">
        <v>0.11899999999999999</v>
      </c>
      <c r="J69" s="53">
        <v>0.13289999999999999</v>
      </c>
      <c r="K69" s="31">
        <v>1313373084.0599999</v>
      </c>
      <c r="L69" s="32">
        <f t="shared" si="28"/>
        <v>6.5809174921625212E-3</v>
      </c>
      <c r="M69" s="63">
        <v>1.1872</v>
      </c>
      <c r="N69" s="63">
        <v>1.1872</v>
      </c>
      <c r="O69" s="34">
        <v>842</v>
      </c>
      <c r="P69" s="53">
        <v>7.4800000000000005E-2</v>
      </c>
      <c r="Q69" s="53">
        <v>0.1091</v>
      </c>
      <c r="R69" s="59">
        <f t="shared" ref="R69:R104" si="29">((K69-D69)/D69)</f>
        <v>-8.3034699834927611E-4</v>
      </c>
      <c r="S69" s="59">
        <f t="shared" ref="S69:S104" si="30">((N69-G69)/G69)</f>
        <v>1.4339940953184604E-3</v>
      </c>
      <c r="T69" s="59">
        <f t="shared" ref="T69:T104" si="31">((O69-H69)/H69)</f>
        <v>1.4457831325301205E-2</v>
      </c>
      <c r="U69" s="60">
        <f t="shared" ref="U69:U104" si="32">P69-I69</f>
        <v>-4.4199999999999989E-2</v>
      </c>
      <c r="V69" s="61">
        <f t="shared" ref="V69:V104" si="33">Q69-J69</f>
        <v>-2.3799999999999988E-2</v>
      </c>
    </row>
    <row r="70" spans="1:22">
      <c r="A70" s="167">
        <v>59</v>
      </c>
      <c r="B70" s="168" t="s">
        <v>117</v>
      </c>
      <c r="C70" s="169" t="s">
        <v>23</v>
      </c>
      <c r="D70" s="31">
        <v>845503806.80999994</v>
      </c>
      <c r="E70" s="32">
        <f>(D70/$D$104)</f>
        <v>4.2568011545499615E-3</v>
      </c>
      <c r="F70" s="63">
        <v>1.0772999999999999</v>
      </c>
      <c r="G70" s="63">
        <v>1.0772999999999999</v>
      </c>
      <c r="H70" s="34">
        <v>204</v>
      </c>
      <c r="I70" s="53">
        <v>0.1164</v>
      </c>
      <c r="J70" s="53">
        <v>0.1394</v>
      </c>
      <c r="K70" s="31">
        <v>845257829.25999999</v>
      </c>
      <c r="L70" s="32">
        <f t="shared" si="28"/>
        <v>4.2353327485355526E-3</v>
      </c>
      <c r="M70" s="63">
        <v>1.0798000000000001</v>
      </c>
      <c r="N70" s="63">
        <v>1.0798000000000001</v>
      </c>
      <c r="O70" s="34">
        <v>207</v>
      </c>
      <c r="P70" s="53">
        <v>0.121</v>
      </c>
      <c r="Q70" s="53">
        <v>0.13200000000000001</v>
      </c>
      <c r="R70" s="59">
        <f t="shared" si="29"/>
        <v>-2.9092423714566191E-4</v>
      </c>
      <c r="S70" s="59">
        <f t="shared" si="30"/>
        <v>2.3206163557042319E-3</v>
      </c>
      <c r="T70" s="59">
        <f t="shared" si="31"/>
        <v>1.4705882352941176E-2</v>
      </c>
      <c r="U70" s="60">
        <f t="shared" si="32"/>
        <v>4.599999999999993E-3</v>
      </c>
      <c r="V70" s="61">
        <f t="shared" si="33"/>
        <v>-7.3999999999999899E-3</v>
      </c>
    </row>
    <row r="71" spans="1:22">
      <c r="A71" s="167">
        <v>60</v>
      </c>
      <c r="B71" s="168" t="s">
        <v>118</v>
      </c>
      <c r="C71" s="169" t="s">
        <v>119</v>
      </c>
      <c r="D71" s="31">
        <v>280462262.19</v>
      </c>
      <c r="E71" s="32">
        <f>(D71/$D$104)</f>
        <v>1.4120244898747933E-3</v>
      </c>
      <c r="F71" s="37">
        <v>1116.53</v>
      </c>
      <c r="G71" s="37">
        <v>1116.53</v>
      </c>
      <c r="H71" s="34">
        <v>111</v>
      </c>
      <c r="I71" s="53">
        <v>1.3270000000000001E-3</v>
      </c>
      <c r="J71" s="53">
        <v>3.3159999999999999E-3</v>
      </c>
      <c r="K71" s="31">
        <v>280886465.25</v>
      </c>
      <c r="L71" s="32">
        <f t="shared" si="28"/>
        <v>1.4074375932550929E-3</v>
      </c>
      <c r="M71" s="37">
        <v>1118.3599999999999</v>
      </c>
      <c r="N71" s="37">
        <v>1118.3599999999999</v>
      </c>
      <c r="O71" s="34">
        <v>111</v>
      </c>
      <c r="P71" s="53">
        <v>8.4099999999999995E-4</v>
      </c>
      <c r="Q71" s="53">
        <v>4.96E-3</v>
      </c>
      <c r="R71" s="59">
        <f t="shared" si="29"/>
        <v>1.512513864388018E-3</v>
      </c>
      <c r="S71" s="59">
        <f t="shared" si="30"/>
        <v>1.6390065649825149E-3</v>
      </c>
      <c r="T71" s="59">
        <f t="shared" si="31"/>
        <v>0</v>
      </c>
      <c r="U71" s="60">
        <f t="shared" si="32"/>
        <v>-4.860000000000001E-4</v>
      </c>
      <c r="V71" s="61">
        <f t="shared" si="33"/>
        <v>1.6440000000000001E-3</v>
      </c>
    </row>
    <row r="72" spans="1:22" ht="15" customHeight="1">
      <c r="A72" s="167">
        <v>61</v>
      </c>
      <c r="B72" s="168" t="s">
        <v>120</v>
      </c>
      <c r="C72" s="169" t="s">
        <v>27</v>
      </c>
      <c r="D72" s="31">
        <v>1671982125.3</v>
      </c>
      <c r="E72" s="32">
        <f>(D72/$K$104)</f>
        <v>8.3777995365612121E-3</v>
      </c>
      <c r="F72" s="37">
        <v>1.0521</v>
      </c>
      <c r="G72" s="37">
        <v>1.0521</v>
      </c>
      <c r="H72" s="34">
        <v>906</v>
      </c>
      <c r="I72" s="53">
        <v>1.2999999999999999E-3</v>
      </c>
      <c r="J72" s="53">
        <v>1.8E-3</v>
      </c>
      <c r="K72" s="31">
        <v>1710295256.5899999</v>
      </c>
      <c r="L72" s="32">
        <f t="shared" si="28"/>
        <v>8.5697751137570367E-3</v>
      </c>
      <c r="M72" s="37">
        <v>1.0521</v>
      </c>
      <c r="N72" s="37">
        <v>1.0521</v>
      </c>
      <c r="O72" s="34">
        <v>877</v>
      </c>
      <c r="P72" s="53">
        <v>1.2999999999999999E-3</v>
      </c>
      <c r="Q72" s="53">
        <v>3.0999999999999999E-3</v>
      </c>
      <c r="R72" s="59">
        <f t="shared" si="29"/>
        <v>2.2914797180098756E-2</v>
      </c>
      <c r="S72" s="59">
        <f t="shared" si="30"/>
        <v>0</v>
      </c>
      <c r="T72" s="59">
        <f t="shared" si="31"/>
        <v>-3.2008830022075052E-2</v>
      </c>
      <c r="U72" s="60">
        <f t="shared" si="32"/>
        <v>0</v>
      </c>
      <c r="V72" s="61">
        <f t="shared" si="33"/>
        <v>1.2999999999999999E-3</v>
      </c>
    </row>
    <row r="73" spans="1:22">
      <c r="A73" s="167">
        <v>62</v>
      </c>
      <c r="B73" s="168" t="s">
        <v>121</v>
      </c>
      <c r="C73" s="169" t="s">
        <v>122</v>
      </c>
      <c r="D73" s="31">
        <v>429430425.25114107</v>
      </c>
      <c r="E73" s="32">
        <f t="shared" ref="E73:E89" si="34">(D73/$D$104)</f>
        <v>2.1620244820715786E-3</v>
      </c>
      <c r="F73" s="37">
        <v>2.4716999999999998</v>
      </c>
      <c r="G73" s="37">
        <v>2.4716999999999998</v>
      </c>
      <c r="H73" s="34">
        <v>1390</v>
      </c>
      <c r="I73" s="53">
        <v>0.1329528897522595</v>
      </c>
      <c r="J73" s="53">
        <v>0.13041536400178533</v>
      </c>
      <c r="K73" s="31">
        <v>430651522.08523852</v>
      </c>
      <c r="L73" s="32">
        <f t="shared" si="28"/>
        <v>2.1578652472123362E-3</v>
      </c>
      <c r="M73" s="37">
        <v>2.4782000000000002</v>
      </c>
      <c r="N73" s="37">
        <v>2.4782000000000002</v>
      </c>
      <c r="O73" s="34">
        <v>1390</v>
      </c>
      <c r="P73" s="53">
        <v>0.1371</v>
      </c>
      <c r="Q73" s="53">
        <v>0.13339999999999999</v>
      </c>
      <c r="R73" s="59">
        <f t="shared" si="29"/>
        <v>2.8435265931223172E-3</v>
      </c>
      <c r="S73" s="59">
        <f t="shared" si="30"/>
        <v>2.6297689849093314E-3</v>
      </c>
      <c r="T73" s="59">
        <f t="shared" si="31"/>
        <v>0</v>
      </c>
      <c r="U73" s="60">
        <f t="shared" si="32"/>
        <v>4.1471102477405042E-3</v>
      </c>
      <c r="V73" s="61">
        <f t="shared" si="33"/>
        <v>2.9846359982146631E-3</v>
      </c>
    </row>
    <row r="74" spans="1:22">
      <c r="A74" s="167">
        <v>63</v>
      </c>
      <c r="B74" s="168" t="s">
        <v>123</v>
      </c>
      <c r="C74" s="169" t="s">
        <v>63</v>
      </c>
      <c r="D74" s="31">
        <v>137242254.59999999</v>
      </c>
      <c r="E74" s="32">
        <f t="shared" si="34"/>
        <v>6.9096434945514437E-4</v>
      </c>
      <c r="F74" s="37">
        <v>10.57</v>
      </c>
      <c r="G74" s="37">
        <v>10.61</v>
      </c>
      <c r="H74" s="34">
        <v>29</v>
      </c>
      <c r="I74" s="53">
        <v>-0.98699999999999999</v>
      </c>
      <c r="J74" s="53">
        <v>-0.72299999999999998</v>
      </c>
      <c r="K74" s="31">
        <v>145534907.06</v>
      </c>
      <c r="L74" s="32">
        <f t="shared" si="28"/>
        <v>7.2923164576414214E-4</v>
      </c>
      <c r="M74" s="37">
        <v>10.6</v>
      </c>
      <c r="N74" s="37">
        <v>10.65</v>
      </c>
      <c r="O74" s="34">
        <v>29</v>
      </c>
      <c r="P74" s="53">
        <v>-6.0000000000000001E-3</v>
      </c>
      <c r="Q74" s="53">
        <v>-0.435</v>
      </c>
      <c r="R74" s="59">
        <f t="shared" si="29"/>
        <v>6.0423464217848902E-2</v>
      </c>
      <c r="S74" s="59">
        <f t="shared" si="30"/>
        <v>3.7700282752121512E-3</v>
      </c>
      <c r="T74" s="59">
        <f t="shared" si="31"/>
        <v>0</v>
      </c>
      <c r="U74" s="60">
        <f t="shared" si="32"/>
        <v>0.98099999999999998</v>
      </c>
      <c r="V74" s="61">
        <f t="shared" si="33"/>
        <v>0.28799999999999998</v>
      </c>
    </row>
    <row r="75" spans="1:22">
      <c r="A75" s="167">
        <v>64</v>
      </c>
      <c r="B75" s="168" t="s">
        <v>124</v>
      </c>
      <c r="C75" s="169" t="s">
        <v>65</v>
      </c>
      <c r="D75" s="31">
        <v>1891403134.8831699</v>
      </c>
      <c r="E75" s="32">
        <f t="shared" si="34"/>
        <v>9.5225201630574959E-3</v>
      </c>
      <c r="F75" s="31">
        <v>4398.9970205807504</v>
      </c>
      <c r="G75" s="31">
        <v>4398.997020580754</v>
      </c>
      <c r="H75" s="34">
        <v>1044</v>
      </c>
      <c r="I75" s="53">
        <v>0.13330557020320036</v>
      </c>
      <c r="J75" s="53">
        <v>0.12251365724856272</v>
      </c>
      <c r="K75" s="31">
        <v>1880199083.4270799</v>
      </c>
      <c r="L75" s="32">
        <f t="shared" si="28"/>
        <v>9.4211120869201106E-3</v>
      </c>
      <c r="M75" s="31">
        <v>4406.99573159584</v>
      </c>
      <c r="N75" s="31">
        <v>4406.99573159584</v>
      </c>
      <c r="O75" s="34">
        <v>1048</v>
      </c>
      <c r="P75" s="53">
        <v>9.4811531773157154E-2</v>
      </c>
      <c r="Q75" s="53">
        <v>0.11123793910766162</v>
      </c>
      <c r="R75" s="59">
        <f t="shared" si="29"/>
        <v>-5.9236718230257328E-3</v>
      </c>
      <c r="S75" s="59">
        <f t="shared" si="30"/>
        <v>1.8183033490734182E-3</v>
      </c>
      <c r="T75" s="59">
        <f t="shared" si="31"/>
        <v>3.8314176245210726E-3</v>
      </c>
      <c r="U75" s="60">
        <f t="shared" si="32"/>
        <v>-3.8494038430043204E-2</v>
      </c>
      <c r="V75" s="61">
        <f t="shared" si="33"/>
        <v>-1.12757181409011E-2</v>
      </c>
    </row>
    <row r="76" spans="1:22">
      <c r="A76" s="167">
        <v>65</v>
      </c>
      <c r="B76" s="168" t="s">
        <v>125</v>
      </c>
      <c r="C76" s="169" t="s">
        <v>67</v>
      </c>
      <c r="D76" s="31">
        <v>360332942.64999998</v>
      </c>
      <c r="E76" s="32">
        <f t="shared" si="34"/>
        <v>1.8141440333450708E-3</v>
      </c>
      <c r="F76" s="63">
        <v>110.24</v>
      </c>
      <c r="G76" s="63">
        <v>110.24</v>
      </c>
      <c r="H76" s="34">
        <v>136</v>
      </c>
      <c r="I76" s="53">
        <v>2.3E-3</v>
      </c>
      <c r="J76" s="53">
        <v>0.1308</v>
      </c>
      <c r="K76" s="31">
        <v>360947587.00999999</v>
      </c>
      <c r="L76" s="32">
        <f t="shared" si="28"/>
        <v>1.8085997938720104E-3</v>
      </c>
      <c r="M76" s="63">
        <v>110.51</v>
      </c>
      <c r="N76" s="63">
        <v>110.51</v>
      </c>
      <c r="O76" s="34">
        <v>136</v>
      </c>
      <c r="P76" s="53">
        <v>2.3999999999999998E-3</v>
      </c>
      <c r="Q76" s="53">
        <v>0.13100000000000001</v>
      </c>
      <c r="R76" s="59">
        <f t="shared" si="29"/>
        <v>1.7057678808929581E-3</v>
      </c>
      <c r="S76" s="59">
        <f t="shared" si="30"/>
        <v>2.4492017416546646E-3</v>
      </c>
      <c r="T76" s="59">
        <f t="shared" si="31"/>
        <v>0</v>
      </c>
      <c r="U76" s="60">
        <f t="shared" si="32"/>
        <v>9.9999999999999829E-5</v>
      </c>
      <c r="V76" s="61">
        <f t="shared" si="33"/>
        <v>2.0000000000000573E-4</v>
      </c>
    </row>
    <row r="77" spans="1:22" ht="13.5" customHeight="1">
      <c r="A77" s="167">
        <v>66</v>
      </c>
      <c r="B77" s="168" t="s">
        <v>126</v>
      </c>
      <c r="C77" s="169" t="s">
        <v>127</v>
      </c>
      <c r="D77" s="31">
        <v>356523022.25</v>
      </c>
      <c r="E77" s="32">
        <f t="shared" si="34"/>
        <v>1.7949624833309408E-3</v>
      </c>
      <c r="F77" s="63">
        <v>1.3467</v>
      </c>
      <c r="G77" s="63">
        <v>1.3467</v>
      </c>
      <c r="H77" s="34">
        <v>374</v>
      </c>
      <c r="I77" s="53">
        <v>-3.7129596572653689E-3</v>
      </c>
      <c r="J77" s="53">
        <v>6.3095255082151858E-2</v>
      </c>
      <c r="K77" s="31">
        <v>357174920.56</v>
      </c>
      <c r="L77" s="32">
        <f t="shared" si="28"/>
        <v>1.7896960970213405E-3</v>
      </c>
      <c r="M77" s="63">
        <v>1.3524</v>
      </c>
      <c r="N77" s="63">
        <v>1.3524</v>
      </c>
      <c r="O77" s="34">
        <v>375</v>
      </c>
      <c r="P77" s="53">
        <v>-3.7129596572653689E-3</v>
      </c>
      <c r="Q77" s="53">
        <v>6.3095255082151858E-2</v>
      </c>
      <c r="R77" s="59">
        <f t="shared" si="29"/>
        <v>1.8284886790364977E-3</v>
      </c>
      <c r="S77" s="59">
        <f t="shared" si="30"/>
        <v>4.2325685007797119E-3</v>
      </c>
      <c r="T77" s="59">
        <f t="shared" si="31"/>
        <v>2.6737967914438501E-3</v>
      </c>
      <c r="U77" s="60">
        <f t="shared" si="32"/>
        <v>0</v>
      </c>
      <c r="V77" s="61">
        <f t="shared" si="33"/>
        <v>0</v>
      </c>
    </row>
    <row r="78" spans="1:22">
      <c r="A78" s="167">
        <v>67</v>
      </c>
      <c r="B78" s="168" t="s">
        <v>128</v>
      </c>
      <c r="C78" s="169" t="s">
        <v>29</v>
      </c>
      <c r="D78" s="31">
        <v>121802299.40000001</v>
      </c>
      <c r="E78" s="32">
        <f t="shared" si="34"/>
        <v>6.1322984537345057E-4</v>
      </c>
      <c r="F78" s="63">
        <v>131.16759999999999</v>
      </c>
      <c r="G78" s="63">
        <v>131.16759999999999</v>
      </c>
      <c r="H78" s="34">
        <v>161</v>
      </c>
      <c r="I78" s="53">
        <v>3.4600000000000001E-4</v>
      </c>
      <c r="J78" s="53">
        <v>3.2000000000000002E-3</v>
      </c>
      <c r="K78" s="31">
        <v>121802299.40000001</v>
      </c>
      <c r="L78" s="32">
        <f t="shared" si="28"/>
        <v>6.1031468699602011E-4</v>
      </c>
      <c r="M78" s="63">
        <v>131.16759999999999</v>
      </c>
      <c r="N78" s="63">
        <v>131.16759999999999</v>
      </c>
      <c r="O78" s="34">
        <v>161</v>
      </c>
      <c r="P78" s="53">
        <v>3.4600000000000001E-4</v>
      </c>
      <c r="Q78" s="53">
        <v>3.2000000000000002E-3</v>
      </c>
      <c r="R78" s="59">
        <f t="shared" si="29"/>
        <v>0</v>
      </c>
      <c r="S78" s="59">
        <f t="shared" si="30"/>
        <v>0</v>
      </c>
      <c r="T78" s="59">
        <f t="shared" si="31"/>
        <v>0</v>
      </c>
      <c r="U78" s="60">
        <f t="shared" si="32"/>
        <v>0</v>
      </c>
      <c r="V78" s="61">
        <f t="shared" si="33"/>
        <v>0</v>
      </c>
    </row>
    <row r="79" spans="1:22">
      <c r="A79" s="167">
        <v>68</v>
      </c>
      <c r="B79" s="168" t="s">
        <v>129</v>
      </c>
      <c r="C79" s="169" t="s">
        <v>99</v>
      </c>
      <c r="D79" s="31">
        <v>1564235797.8000002</v>
      </c>
      <c r="E79" s="32">
        <f t="shared" si="34"/>
        <v>7.875352773615292E-3</v>
      </c>
      <c r="F79" s="37">
        <v>1000</v>
      </c>
      <c r="G79" s="37">
        <v>1000</v>
      </c>
      <c r="H79" s="34">
        <v>333</v>
      </c>
      <c r="I79" s="53">
        <v>1.0500000000000001E-2</v>
      </c>
      <c r="J79" s="53">
        <v>0.2102</v>
      </c>
      <c r="K79" s="31">
        <v>1576277911.8700004</v>
      </c>
      <c r="L79" s="32">
        <f t="shared" si="28"/>
        <v>7.8982545086638944E-3</v>
      </c>
      <c r="M79" s="37">
        <v>1000</v>
      </c>
      <c r="N79" s="37">
        <v>1000</v>
      </c>
      <c r="O79" s="34">
        <v>334</v>
      </c>
      <c r="P79" s="53">
        <v>1.0800000000000001E-2</v>
      </c>
      <c r="Q79" s="53">
        <v>0.21290000000000001</v>
      </c>
      <c r="R79" s="59">
        <f t="shared" si="29"/>
        <v>7.6984007698434288E-3</v>
      </c>
      <c r="S79" s="59">
        <f t="shared" si="30"/>
        <v>0</v>
      </c>
      <c r="T79" s="59">
        <f t="shared" si="31"/>
        <v>3.003003003003003E-3</v>
      </c>
      <c r="U79" s="60">
        <f t="shared" si="32"/>
        <v>2.9999999999999992E-4</v>
      </c>
      <c r="V79" s="61">
        <f t="shared" si="33"/>
        <v>2.7000000000000079E-3</v>
      </c>
    </row>
    <row r="80" spans="1:22">
      <c r="A80" s="167">
        <v>69</v>
      </c>
      <c r="B80" s="168" t="s">
        <v>130</v>
      </c>
      <c r="C80" s="169" t="s">
        <v>73</v>
      </c>
      <c r="D80" s="31">
        <v>198845359.66</v>
      </c>
      <c r="E80" s="32">
        <f t="shared" si="34"/>
        <v>1.0011133595851471E-3</v>
      </c>
      <c r="F80" s="37">
        <v>1010.84</v>
      </c>
      <c r="G80" s="37">
        <v>1010.92</v>
      </c>
      <c r="H80" s="34">
        <v>73</v>
      </c>
      <c r="I80" s="53">
        <v>5.0000000000000001E-4</v>
      </c>
      <c r="J80" s="53">
        <v>8.0000000000000004E-4</v>
      </c>
      <c r="K80" s="31">
        <v>186017139.88999999</v>
      </c>
      <c r="L80" s="32">
        <f t="shared" si="28"/>
        <v>9.3207593836163848E-4</v>
      </c>
      <c r="M80" s="37">
        <v>1011.32</v>
      </c>
      <c r="N80" s="37">
        <v>1011.6</v>
      </c>
      <c r="O80" s="34">
        <v>73</v>
      </c>
      <c r="P80" s="53">
        <v>-1.1000000000000001E-3</v>
      </c>
      <c r="Q80" s="53">
        <v>-2.9999999999999997E-4</v>
      </c>
      <c r="R80" s="59">
        <f t="shared" si="29"/>
        <v>-6.4513548578325475E-2</v>
      </c>
      <c r="S80" s="59">
        <f t="shared" si="30"/>
        <v>6.7265461164094456E-4</v>
      </c>
      <c r="T80" s="59">
        <f t="shared" si="31"/>
        <v>0</v>
      </c>
      <c r="U80" s="60">
        <f t="shared" si="32"/>
        <v>-1.6000000000000001E-3</v>
      </c>
      <c r="V80" s="61">
        <f t="shared" si="33"/>
        <v>-1.1000000000000001E-3</v>
      </c>
    </row>
    <row r="81" spans="1:22">
      <c r="A81" s="167">
        <v>70</v>
      </c>
      <c r="B81" s="168" t="s">
        <v>131</v>
      </c>
      <c r="C81" s="169" t="s">
        <v>76</v>
      </c>
      <c r="D81" s="31">
        <v>688050546.15999997</v>
      </c>
      <c r="E81" s="32">
        <f t="shared" si="34"/>
        <v>3.4640818121600661E-3</v>
      </c>
      <c r="F81" s="64">
        <v>1.149</v>
      </c>
      <c r="G81" s="64">
        <v>1.149</v>
      </c>
      <c r="H81" s="34">
        <v>48</v>
      </c>
      <c r="I81" s="53">
        <v>1.6999999999999999E-3</v>
      </c>
      <c r="J81" s="53">
        <v>0.14299999999999999</v>
      </c>
      <c r="K81" s="31">
        <v>621481881.25999999</v>
      </c>
      <c r="L81" s="32">
        <f t="shared" si="28"/>
        <v>3.1140587797055547E-3</v>
      </c>
      <c r="M81" s="64">
        <v>1.1351</v>
      </c>
      <c r="N81" s="64">
        <v>1.1351</v>
      </c>
      <c r="O81" s="34">
        <v>46</v>
      </c>
      <c r="P81" s="53">
        <v>-1.3100000000000001E-2</v>
      </c>
      <c r="Q81" s="53">
        <v>-8.8000000000000005E-3</v>
      </c>
      <c r="R81" s="59">
        <f t="shared" si="29"/>
        <v>-9.6749672348228954E-2</v>
      </c>
      <c r="S81" s="59">
        <f t="shared" si="30"/>
        <v>-1.2097476066144494E-2</v>
      </c>
      <c r="T81" s="59">
        <f t="shared" si="31"/>
        <v>-4.1666666666666664E-2</v>
      </c>
      <c r="U81" s="60">
        <f t="shared" si="32"/>
        <v>-1.4800000000000001E-2</v>
      </c>
      <c r="V81" s="61">
        <f t="shared" si="33"/>
        <v>-0.15179999999999999</v>
      </c>
    </row>
    <row r="82" spans="1:22">
      <c r="A82" s="167">
        <v>71</v>
      </c>
      <c r="B82" s="168" t="s">
        <v>132</v>
      </c>
      <c r="C82" s="169" t="s">
        <v>31</v>
      </c>
      <c r="D82" s="31">
        <v>13550994995.43</v>
      </c>
      <c r="E82" s="32">
        <f t="shared" si="34"/>
        <v>6.8224283175592829E-2</v>
      </c>
      <c r="F82" s="64">
        <v>1694.7</v>
      </c>
      <c r="G82" s="64">
        <v>1694.7</v>
      </c>
      <c r="H82" s="34">
        <v>2180</v>
      </c>
      <c r="I82" s="53">
        <v>5.9999999999999995E-4</v>
      </c>
      <c r="J82" s="53">
        <v>1E-3</v>
      </c>
      <c r="K82" s="31">
        <v>13453701772.370001</v>
      </c>
      <c r="L82" s="32">
        <f t="shared" si="28"/>
        <v>6.7412453020913976E-2</v>
      </c>
      <c r="M82" s="64">
        <v>1695.24</v>
      </c>
      <c r="N82" s="64">
        <v>1695.24</v>
      </c>
      <c r="O82" s="34">
        <v>2171</v>
      </c>
      <c r="P82" s="53">
        <v>2.9999999999999997E-4</v>
      </c>
      <c r="Q82" s="53">
        <v>1.2999999999999999E-3</v>
      </c>
      <c r="R82" s="59">
        <f t="shared" si="29"/>
        <v>-7.179784443342432E-3</v>
      </c>
      <c r="S82" s="59">
        <f t="shared" si="30"/>
        <v>3.1864046733933062E-4</v>
      </c>
      <c r="T82" s="59">
        <f t="shared" si="31"/>
        <v>-4.1284403669724773E-3</v>
      </c>
      <c r="U82" s="60">
        <f t="shared" si="32"/>
        <v>-2.9999999999999997E-4</v>
      </c>
      <c r="V82" s="61">
        <f t="shared" si="33"/>
        <v>2.9999999999999992E-4</v>
      </c>
    </row>
    <row r="83" spans="1:22">
      <c r="A83" s="167">
        <v>72</v>
      </c>
      <c r="B83" s="168" t="s">
        <v>133</v>
      </c>
      <c r="C83" s="169" t="s">
        <v>81</v>
      </c>
      <c r="D83" s="31">
        <v>23550305.59</v>
      </c>
      <c r="E83" s="32">
        <f t="shared" si="34"/>
        <v>1.1856713975510718E-4</v>
      </c>
      <c r="F83" s="63">
        <v>0.71819999999999995</v>
      </c>
      <c r="G83" s="63">
        <v>0.71819999999999995</v>
      </c>
      <c r="H83" s="34">
        <v>746</v>
      </c>
      <c r="I83" s="53">
        <v>1.1000000000000001E-3</v>
      </c>
      <c r="J83" s="53">
        <v>2.0999999999999999E-3</v>
      </c>
      <c r="K83" s="31">
        <v>23615471.399999999</v>
      </c>
      <c r="L83" s="32">
        <f t="shared" si="28"/>
        <v>1.1833002420112328E-4</v>
      </c>
      <c r="M83" s="63">
        <v>0.72019999999999995</v>
      </c>
      <c r="N83" s="63">
        <v>0.72019999999999995</v>
      </c>
      <c r="O83" s="34">
        <v>746</v>
      </c>
      <c r="P83" s="53">
        <v>2.0999999999999999E-3</v>
      </c>
      <c r="Q83" s="53">
        <v>4.8999999999999998E-3</v>
      </c>
      <c r="R83" s="59">
        <f t="shared" si="29"/>
        <v>2.7670897836531497E-3</v>
      </c>
      <c r="S83" s="59">
        <f t="shared" si="30"/>
        <v>2.7847396268448929E-3</v>
      </c>
      <c r="T83" s="59">
        <f t="shared" si="31"/>
        <v>0</v>
      </c>
      <c r="U83" s="60">
        <f t="shared" si="32"/>
        <v>9.999999999999998E-4</v>
      </c>
      <c r="V83" s="61">
        <f t="shared" si="33"/>
        <v>2.8E-3</v>
      </c>
    </row>
    <row r="84" spans="1:22">
      <c r="A84" s="167">
        <v>73</v>
      </c>
      <c r="B84" s="168" t="s">
        <v>134</v>
      </c>
      <c r="C84" s="169" t="s">
        <v>37</v>
      </c>
      <c r="D84" s="31">
        <v>10733562496.57</v>
      </c>
      <c r="E84" s="32">
        <f t="shared" si="34"/>
        <v>5.4039545250800812E-2</v>
      </c>
      <c r="F84" s="63">
        <v>1</v>
      </c>
      <c r="G84" s="63">
        <v>1</v>
      </c>
      <c r="H84" s="34">
        <v>5250</v>
      </c>
      <c r="I84" s="53">
        <v>0.06</v>
      </c>
      <c r="J84" s="53">
        <v>0.06</v>
      </c>
      <c r="K84" s="31">
        <v>10746680324.32</v>
      </c>
      <c r="L84" s="32">
        <f t="shared" si="28"/>
        <v>5.3848382753795936E-2</v>
      </c>
      <c r="M84" s="63">
        <v>1</v>
      </c>
      <c r="N84" s="63">
        <v>1</v>
      </c>
      <c r="O84" s="34">
        <v>5251</v>
      </c>
      <c r="P84" s="53">
        <v>0.06</v>
      </c>
      <c r="Q84" s="53">
        <v>0.06</v>
      </c>
      <c r="R84" s="59">
        <f t="shared" si="29"/>
        <v>1.2221317716454264E-3</v>
      </c>
      <c r="S84" s="59">
        <f t="shared" si="30"/>
        <v>0</v>
      </c>
      <c r="T84" s="59">
        <f t="shared" si="31"/>
        <v>1.9047619047619048E-4</v>
      </c>
      <c r="U84" s="60">
        <f t="shared" si="32"/>
        <v>0</v>
      </c>
      <c r="V84" s="61">
        <f t="shared" si="33"/>
        <v>0</v>
      </c>
    </row>
    <row r="85" spans="1:22">
      <c r="A85" s="170">
        <v>74</v>
      </c>
      <c r="B85" s="168" t="s">
        <v>135</v>
      </c>
      <c r="C85" s="169" t="s">
        <v>136</v>
      </c>
      <c r="D85" s="31">
        <v>1115444765.1700001</v>
      </c>
      <c r="E85" s="32">
        <f t="shared" si="34"/>
        <v>5.6158547436077708E-3</v>
      </c>
      <c r="F85" s="31">
        <v>242.29</v>
      </c>
      <c r="G85" s="31">
        <v>243.9</v>
      </c>
      <c r="H85" s="34">
        <v>491</v>
      </c>
      <c r="I85" s="53">
        <v>1.4E-3</v>
      </c>
      <c r="J85" s="53">
        <v>0.17949999999999999</v>
      </c>
      <c r="K85" s="31">
        <v>1108909483.6600001</v>
      </c>
      <c r="L85" s="32">
        <f t="shared" si="28"/>
        <v>5.556411888451354E-3</v>
      </c>
      <c r="M85" s="31">
        <v>240.7955</v>
      </c>
      <c r="N85" s="31">
        <v>244.94489999999999</v>
      </c>
      <c r="O85" s="34">
        <v>491</v>
      </c>
      <c r="P85" s="53">
        <v>0.17979999999999999</v>
      </c>
      <c r="Q85" s="53">
        <v>0.17979999999999999</v>
      </c>
      <c r="R85" s="59">
        <f t="shared" si="29"/>
        <v>-5.8589019502045684E-3</v>
      </c>
      <c r="S85" s="59">
        <f t="shared" si="30"/>
        <v>4.2841328413283485E-3</v>
      </c>
      <c r="T85" s="59">
        <f t="shared" si="31"/>
        <v>0</v>
      </c>
      <c r="U85" s="60">
        <f t="shared" si="32"/>
        <v>0.17839999999999998</v>
      </c>
      <c r="V85" s="61">
        <f t="shared" si="33"/>
        <v>2.9999999999999472E-4</v>
      </c>
    </row>
    <row r="86" spans="1:22">
      <c r="A86" s="167">
        <v>75</v>
      </c>
      <c r="B86" s="168" t="s">
        <v>137</v>
      </c>
      <c r="C86" s="169" t="s">
        <v>41</v>
      </c>
      <c r="D86" s="31">
        <v>1088377327.3399999</v>
      </c>
      <c r="E86" s="32">
        <f t="shared" si="34"/>
        <v>5.4795801346971739E-3</v>
      </c>
      <c r="F86" s="63">
        <v>3.63</v>
      </c>
      <c r="G86" s="63">
        <v>3.63</v>
      </c>
      <c r="H86" s="49">
        <v>770</v>
      </c>
      <c r="I86" s="56">
        <v>8.9999999999999998E-4</v>
      </c>
      <c r="J86" s="56">
        <v>6.2E-2</v>
      </c>
      <c r="K86" s="31">
        <v>1090498512.26</v>
      </c>
      <c r="L86" s="32">
        <f t="shared" si="28"/>
        <v>5.4641600483577371E-3</v>
      </c>
      <c r="M86" s="63">
        <v>3.64</v>
      </c>
      <c r="N86" s="63">
        <v>3.64</v>
      </c>
      <c r="O86" s="49">
        <v>770</v>
      </c>
      <c r="P86" s="56">
        <v>1.9E-3</v>
      </c>
      <c r="Q86" s="56">
        <v>7.7399999999999997E-2</v>
      </c>
      <c r="R86" s="59">
        <f t="shared" si="29"/>
        <v>1.9489425833449359E-3</v>
      </c>
      <c r="S86" s="59">
        <f t="shared" si="30"/>
        <v>2.7548209366391823E-3</v>
      </c>
      <c r="T86" s="59">
        <f t="shared" si="31"/>
        <v>0</v>
      </c>
      <c r="U86" s="60">
        <f t="shared" si="32"/>
        <v>1E-3</v>
      </c>
      <c r="V86" s="61">
        <f t="shared" si="33"/>
        <v>1.5399999999999997E-2</v>
      </c>
    </row>
    <row r="87" spans="1:22">
      <c r="A87" s="167">
        <v>76</v>
      </c>
      <c r="B87" s="168" t="s">
        <v>138</v>
      </c>
      <c r="C87" s="169" t="s">
        <v>43</v>
      </c>
      <c r="D87" s="31">
        <v>554310586.67999995</v>
      </c>
      <c r="E87" s="32">
        <f t="shared" si="34"/>
        <v>2.7907502324101691E-3</v>
      </c>
      <c r="F87" s="63">
        <v>111.9781</v>
      </c>
      <c r="G87" s="63">
        <v>111.67827</v>
      </c>
      <c r="H87" s="49">
        <v>59</v>
      </c>
      <c r="I87" s="56">
        <v>0.14599999999999999</v>
      </c>
      <c r="J87" s="56">
        <v>0.16980000000000001</v>
      </c>
      <c r="K87" s="31">
        <v>555788692.20000005</v>
      </c>
      <c r="L87" s="32">
        <f t="shared" si="28"/>
        <v>2.7848899683085163E-3</v>
      </c>
      <c r="M87" s="63">
        <v>112.28</v>
      </c>
      <c r="N87" s="63">
        <v>112.28</v>
      </c>
      <c r="O87" s="49">
        <v>59</v>
      </c>
      <c r="P87" s="56">
        <v>0.1454</v>
      </c>
      <c r="Q87" s="56">
        <v>0.1691</v>
      </c>
      <c r="R87" s="59">
        <f t="shared" si="29"/>
        <v>2.6665655600285353E-3</v>
      </c>
      <c r="S87" s="59">
        <f t="shared" si="30"/>
        <v>5.3880669892182554E-3</v>
      </c>
      <c r="T87" s="59">
        <f t="shared" si="31"/>
        <v>0</v>
      </c>
      <c r="U87" s="60">
        <f t="shared" si="32"/>
        <v>-5.9999999999998943E-4</v>
      </c>
      <c r="V87" s="61">
        <f t="shared" si="33"/>
        <v>-7.0000000000000617E-4</v>
      </c>
    </row>
    <row r="88" spans="1:22">
      <c r="A88" s="167">
        <v>77</v>
      </c>
      <c r="B88" s="169" t="s">
        <v>139</v>
      </c>
      <c r="C88" s="188" t="s">
        <v>47</v>
      </c>
      <c r="D88" s="31">
        <v>1396217395.96</v>
      </c>
      <c r="E88" s="32">
        <f t="shared" si="34"/>
        <v>7.0294418254001579E-3</v>
      </c>
      <c r="F88" s="63">
        <v>97.41</v>
      </c>
      <c r="G88" s="63">
        <v>97.41</v>
      </c>
      <c r="H88" s="34">
        <v>289</v>
      </c>
      <c r="I88" s="53">
        <v>8.9999999999999998E-4</v>
      </c>
      <c r="J88" s="53">
        <v>1.9E-3</v>
      </c>
      <c r="K88" s="31">
        <v>1393911856.54</v>
      </c>
      <c r="L88" s="32">
        <f t="shared" si="28"/>
        <v>6.9844730568711369E-3</v>
      </c>
      <c r="M88" s="63">
        <v>97.61</v>
      </c>
      <c r="N88" s="63">
        <v>97.61</v>
      </c>
      <c r="O88" s="34">
        <v>289</v>
      </c>
      <c r="P88" s="53">
        <v>2E-3</v>
      </c>
      <c r="Q88" s="53">
        <v>3.8999999999999998E-3</v>
      </c>
      <c r="R88" s="59">
        <f t="shared" si="29"/>
        <v>-1.6512753863912803E-3</v>
      </c>
      <c r="S88" s="59">
        <f t="shared" si="30"/>
        <v>2.0531772918591811E-3</v>
      </c>
      <c r="T88" s="59">
        <f t="shared" si="31"/>
        <v>0</v>
      </c>
      <c r="U88" s="60">
        <f t="shared" si="32"/>
        <v>1.1000000000000001E-3</v>
      </c>
      <c r="V88" s="61">
        <f t="shared" si="33"/>
        <v>2E-3</v>
      </c>
    </row>
    <row r="89" spans="1:22">
      <c r="A89" s="167">
        <v>78</v>
      </c>
      <c r="B89" s="168" t="s">
        <v>140</v>
      </c>
      <c r="C89" s="169" t="s">
        <v>19</v>
      </c>
      <c r="D89" s="31">
        <v>1313719012.1400001</v>
      </c>
      <c r="E89" s="32">
        <f t="shared" si="34"/>
        <v>6.6140927605408935E-3</v>
      </c>
      <c r="F89" s="63">
        <v>343.87849999999997</v>
      </c>
      <c r="G89" s="63">
        <v>343.87849999999997</v>
      </c>
      <c r="H89" s="34">
        <v>105</v>
      </c>
      <c r="I89" s="53">
        <v>-3.1199999999999999E-2</v>
      </c>
      <c r="J89" s="53">
        <v>3.7000000000000002E-3</v>
      </c>
      <c r="K89" s="31">
        <v>1317203986.3199999</v>
      </c>
      <c r="L89" s="32">
        <f t="shared" si="28"/>
        <v>6.600112991141124E-3</v>
      </c>
      <c r="M89" s="63">
        <v>344.79070000000002</v>
      </c>
      <c r="N89" s="63">
        <v>344.79070000000002</v>
      </c>
      <c r="O89" s="34">
        <v>105</v>
      </c>
      <c r="P89" s="53">
        <v>2.7000000000000001E-3</v>
      </c>
      <c r="Q89" s="53">
        <v>6.1999999999999998E-3</v>
      </c>
      <c r="R89" s="59">
        <f t="shared" si="29"/>
        <v>2.652754620885735E-3</v>
      </c>
      <c r="S89" s="59">
        <f t="shared" si="30"/>
        <v>2.6526811068445432E-3</v>
      </c>
      <c r="T89" s="59">
        <f t="shared" si="31"/>
        <v>0</v>
      </c>
      <c r="U89" s="60">
        <f t="shared" si="32"/>
        <v>3.39E-2</v>
      </c>
      <c r="V89" s="61">
        <f t="shared" si="33"/>
        <v>2.4999999999999996E-3</v>
      </c>
    </row>
    <row r="90" spans="1:22">
      <c r="A90" s="167">
        <v>79</v>
      </c>
      <c r="B90" s="168" t="s">
        <v>141</v>
      </c>
      <c r="C90" s="169" t="s">
        <v>90</v>
      </c>
      <c r="D90" s="47">
        <v>1418003435</v>
      </c>
      <c r="E90" s="32">
        <f>(D90/$K$65)</f>
        <v>7.7338850130865546E-4</v>
      </c>
      <c r="F90" s="63">
        <v>101.15</v>
      </c>
      <c r="G90" s="63">
        <v>101.15</v>
      </c>
      <c r="H90" s="34">
        <v>383</v>
      </c>
      <c r="I90" s="53">
        <v>2.8E-3</v>
      </c>
      <c r="J90" s="53">
        <v>0.1472</v>
      </c>
      <c r="K90" s="47">
        <v>1415289189</v>
      </c>
      <c r="L90" s="32">
        <f>(K90/$K$65)</f>
        <v>7.7190813349408587E-4</v>
      </c>
      <c r="M90" s="63">
        <v>101.43</v>
      </c>
      <c r="N90" s="63">
        <v>101.43</v>
      </c>
      <c r="O90" s="34">
        <v>383</v>
      </c>
      <c r="P90" s="53">
        <v>2.8E-3</v>
      </c>
      <c r="Q90" s="53">
        <v>0.14630000000000001</v>
      </c>
      <c r="R90" s="59">
        <f t="shared" si="29"/>
        <v>-1.9141321755683899E-3</v>
      </c>
      <c r="S90" s="59">
        <f t="shared" si="30"/>
        <v>2.7681660899654091E-3</v>
      </c>
      <c r="T90" s="59">
        <f t="shared" si="31"/>
        <v>0</v>
      </c>
      <c r="U90" s="60">
        <f t="shared" si="32"/>
        <v>0</v>
      </c>
      <c r="V90" s="61">
        <f t="shared" si="33"/>
        <v>-8.9999999999998415E-4</v>
      </c>
    </row>
    <row r="91" spans="1:22">
      <c r="A91" s="167">
        <v>80</v>
      </c>
      <c r="B91" s="168" t="s">
        <v>142</v>
      </c>
      <c r="C91" s="169" t="s">
        <v>45</v>
      </c>
      <c r="D91" s="31">
        <v>58636109.469999999</v>
      </c>
      <c r="E91" s="32">
        <f t="shared" ref="E91:E103" si="35">(D91/$D$104)</f>
        <v>2.9521127696862526E-4</v>
      </c>
      <c r="F91" s="31">
        <v>12.187665000000001</v>
      </c>
      <c r="G91" s="31">
        <v>12.494018000000001</v>
      </c>
      <c r="H91" s="34">
        <v>56</v>
      </c>
      <c r="I91" s="53">
        <v>0</v>
      </c>
      <c r="J91" s="53">
        <v>4.4000000000000003E-3</v>
      </c>
      <c r="K91" s="31">
        <v>58759516.859999999</v>
      </c>
      <c r="L91" s="32">
        <f t="shared" ref="L91:L103" si="36">(K91/$K$104)</f>
        <v>2.9442626549009359E-4</v>
      </c>
      <c r="M91" s="31">
        <v>12.213315</v>
      </c>
      <c r="N91" s="31">
        <v>12.527165999999999</v>
      </c>
      <c r="O91" s="34">
        <v>56</v>
      </c>
      <c r="P91" s="53">
        <v>0</v>
      </c>
      <c r="Q91" s="53">
        <v>4.4000000000000003E-3</v>
      </c>
      <c r="R91" s="59">
        <f t="shared" si="29"/>
        <v>2.1046312778159257E-3</v>
      </c>
      <c r="S91" s="59">
        <f t="shared" si="30"/>
        <v>2.6531096721646185E-3</v>
      </c>
      <c r="T91" s="59">
        <f t="shared" si="31"/>
        <v>0</v>
      </c>
      <c r="U91" s="60">
        <f t="shared" si="32"/>
        <v>0</v>
      </c>
      <c r="V91" s="61">
        <f t="shared" si="33"/>
        <v>0</v>
      </c>
    </row>
    <row r="92" spans="1:22">
      <c r="A92" s="167">
        <v>81</v>
      </c>
      <c r="B92" s="168" t="s">
        <v>143</v>
      </c>
      <c r="C92" s="169" t="s">
        <v>144</v>
      </c>
      <c r="D92" s="31">
        <v>514758270.38</v>
      </c>
      <c r="E92" s="32">
        <f t="shared" si="35"/>
        <v>2.5916188454963786E-3</v>
      </c>
      <c r="F92" s="31">
        <v>131.69999999999999</v>
      </c>
      <c r="G92" s="31">
        <v>131.69999999999999</v>
      </c>
      <c r="H92" s="34">
        <v>115</v>
      </c>
      <c r="I92" s="53">
        <v>0.18779999999999999</v>
      </c>
      <c r="J92" s="53">
        <v>0.18720000000000001</v>
      </c>
      <c r="K92" s="31">
        <v>516643719.38</v>
      </c>
      <c r="L92" s="32">
        <f t="shared" si="36"/>
        <v>2.588746283404436E-3</v>
      </c>
      <c r="M92" s="31">
        <v>132.13</v>
      </c>
      <c r="N92" s="31">
        <v>132.13</v>
      </c>
      <c r="O92" s="34">
        <v>113</v>
      </c>
      <c r="P92" s="53">
        <v>0.1875</v>
      </c>
      <c r="Q92" s="53">
        <v>0.18729999999999999</v>
      </c>
      <c r="R92" s="59">
        <f t="shared" si="29"/>
        <v>3.6627852498768822E-3</v>
      </c>
      <c r="S92" s="59">
        <f t="shared" si="30"/>
        <v>3.2649962034928385E-3</v>
      </c>
      <c r="T92" s="59">
        <f t="shared" si="31"/>
        <v>-1.7391304347826087E-2</v>
      </c>
      <c r="U92" s="60">
        <f t="shared" si="32"/>
        <v>-2.9999999999999472E-4</v>
      </c>
      <c r="V92" s="61">
        <f t="shared" si="33"/>
        <v>9.9999999999988987E-5</v>
      </c>
    </row>
    <row r="93" spans="1:22">
      <c r="A93" s="167">
        <v>82</v>
      </c>
      <c r="B93" s="168" t="s">
        <v>145</v>
      </c>
      <c r="C93" s="169" t="s">
        <v>146</v>
      </c>
      <c r="D93" s="31">
        <v>7602847104.0036974</v>
      </c>
      <c r="E93" s="32">
        <f t="shared" si="35"/>
        <v>3.8277543009883223E-2</v>
      </c>
      <c r="F93" s="31">
        <v>1.0062825659122705</v>
      </c>
      <c r="G93" s="31">
        <v>1.0062825659122705</v>
      </c>
      <c r="H93" s="34">
        <v>4493</v>
      </c>
      <c r="I93" s="53">
        <v>0.19009999999999999</v>
      </c>
      <c r="J93" s="53">
        <v>0.19009999999999999</v>
      </c>
      <c r="K93" s="31">
        <v>7669417560.9582682</v>
      </c>
      <c r="L93" s="32">
        <f t="shared" si="36"/>
        <v>3.842914461562312E-2</v>
      </c>
      <c r="M93" s="31">
        <v>1.0083692255054701</v>
      </c>
      <c r="N93" s="31">
        <v>1.0083692255054701</v>
      </c>
      <c r="O93" s="34">
        <v>4498</v>
      </c>
      <c r="P93" s="53">
        <v>0.19020000000000001</v>
      </c>
      <c r="Q93" s="53">
        <v>0.19020000000000001</v>
      </c>
      <c r="R93" s="59">
        <f t="shared" si="29"/>
        <v>8.7559904919716769E-3</v>
      </c>
      <c r="S93" s="59">
        <f t="shared" si="30"/>
        <v>2.073631864334183E-3</v>
      </c>
      <c r="T93" s="59">
        <f t="shared" si="31"/>
        <v>1.1128421989761851E-3</v>
      </c>
      <c r="U93" s="60">
        <f t="shared" si="32"/>
        <v>1.0000000000001674E-4</v>
      </c>
      <c r="V93" s="61">
        <f t="shared" si="33"/>
        <v>1.0000000000001674E-4</v>
      </c>
    </row>
    <row r="94" spans="1:22" ht="14.25" customHeight="1">
      <c r="A94" s="167">
        <v>83</v>
      </c>
      <c r="B94" s="168" t="s">
        <v>147</v>
      </c>
      <c r="C94" s="169" t="s">
        <v>49</v>
      </c>
      <c r="D94" s="31">
        <v>11537104239.15</v>
      </c>
      <c r="E94" s="32">
        <f t="shared" si="35"/>
        <v>5.8085082822593531E-2</v>
      </c>
      <c r="F94" s="31">
        <v>5167.6499999999996</v>
      </c>
      <c r="G94" s="31">
        <v>5167.6499999999996</v>
      </c>
      <c r="H94" s="34">
        <v>288</v>
      </c>
      <c r="I94" s="53">
        <v>0</v>
      </c>
      <c r="J94" s="53">
        <v>1E-4</v>
      </c>
      <c r="K94" s="31">
        <v>11461448716.129999</v>
      </c>
      <c r="L94" s="32">
        <f t="shared" si="36"/>
        <v>5.7429872179455894E-2</v>
      </c>
      <c r="M94" s="31">
        <v>5167.8599999999997</v>
      </c>
      <c r="N94" s="31">
        <v>5167.8599999999997</v>
      </c>
      <c r="O94" s="34">
        <v>287</v>
      </c>
      <c r="P94" s="53">
        <v>0</v>
      </c>
      <c r="Q94" s="53">
        <v>1E-4</v>
      </c>
      <c r="R94" s="59">
        <f t="shared" si="29"/>
        <v>-6.5575833806953976E-3</v>
      </c>
      <c r="S94" s="59">
        <f t="shared" si="30"/>
        <v>4.0637427070338821E-5</v>
      </c>
      <c r="T94" s="59">
        <f t="shared" si="31"/>
        <v>-3.472222222222222E-3</v>
      </c>
      <c r="U94" s="60">
        <f t="shared" si="32"/>
        <v>0</v>
      </c>
      <c r="V94" s="61">
        <f t="shared" si="33"/>
        <v>0</v>
      </c>
    </row>
    <row r="95" spans="1:22" ht="13.5" customHeight="1">
      <c r="A95" s="167">
        <v>84</v>
      </c>
      <c r="B95" s="168" t="s">
        <v>148</v>
      </c>
      <c r="C95" s="169" t="s">
        <v>49</v>
      </c>
      <c r="D95" s="31">
        <v>21288342759.549999</v>
      </c>
      <c r="E95" s="32">
        <f t="shared" si="35"/>
        <v>0.10717898761356111</v>
      </c>
      <c r="F95" s="63">
        <v>258.95</v>
      </c>
      <c r="G95" s="63">
        <v>258.95</v>
      </c>
      <c r="H95" s="34">
        <v>6344</v>
      </c>
      <c r="I95" s="53">
        <v>1E-4</v>
      </c>
      <c r="J95" s="53">
        <v>4.0000000000000002E-4</v>
      </c>
      <c r="K95" s="31">
        <v>21255936056.93</v>
      </c>
      <c r="L95" s="32">
        <f t="shared" si="36"/>
        <v>0.10650710229032549</v>
      </c>
      <c r="M95" s="63">
        <v>258.95999999999998</v>
      </c>
      <c r="N95" s="63">
        <v>258.95999999999998</v>
      </c>
      <c r="O95" s="34">
        <v>6336</v>
      </c>
      <c r="P95" s="53">
        <v>0</v>
      </c>
      <c r="Q95" s="53">
        <v>4.0000000000000002E-4</v>
      </c>
      <c r="R95" s="59">
        <f t="shared" si="29"/>
        <v>-1.5222745605907352E-3</v>
      </c>
      <c r="S95" s="59">
        <f t="shared" si="30"/>
        <v>3.8617493724622146E-5</v>
      </c>
      <c r="T95" s="59">
        <f t="shared" si="31"/>
        <v>-1.2610340479192938E-3</v>
      </c>
      <c r="U95" s="60">
        <f t="shared" si="32"/>
        <v>-1E-4</v>
      </c>
      <c r="V95" s="61">
        <f t="shared" si="33"/>
        <v>0</v>
      </c>
    </row>
    <row r="96" spans="1:22" ht="13.5" customHeight="1">
      <c r="A96" s="167">
        <v>85</v>
      </c>
      <c r="B96" s="168" t="s">
        <v>149</v>
      </c>
      <c r="C96" s="169" t="s">
        <v>49</v>
      </c>
      <c r="D96" s="31">
        <v>397999177.83999997</v>
      </c>
      <c r="E96" s="32">
        <f t="shared" si="35"/>
        <v>2.0037796945365683E-3</v>
      </c>
      <c r="F96" s="37">
        <v>6884.33</v>
      </c>
      <c r="G96" s="37">
        <v>6914.72</v>
      </c>
      <c r="H96" s="34">
        <v>15</v>
      </c>
      <c r="I96" s="53">
        <v>6.7999999999999996E-3</v>
      </c>
      <c r="J96" s="53">
        <v>1.34E-2</v>
      </c>
      <c r="K96" s="31">
        <v>399956144.89999998</v>
      </c>
      <c r="L96" s="32">
        <f t="shared" si="36"/>
        <v>2.0040599445922971E-3</v>
      </c>
      <c r="M96" s="37">
        <v>6918.85</v>
      </c>
      <c r="N96" s="37">
        <v>6948.26</v>
      </c>
      <c r="O96" s="34">
        <v>15</v>
      </c>
      <c r="P96" s="53">
        <v>4.8999999999999998E-3</v>
      </c>
      <c r="Q96" s="53">
        <v>1.83E-2</v>
      </c>
      <c r="R96" s="59">
        <f t="shared" si="29"/>
        <v>4.9170128205308118E-3</v>
      </c>
      <c r="S96" s="59">
        <f t="shared" si="30"/>
        <v>4.8505217854085143E-3</v>
      </c>
      <c r="T96" s="59">
        <f t="shared" si="31"/>
        <v>0</v>
      </c>
      <c r="U96" s="60">
        <f t="shared" si="32"/>
        <v>-1.8999999999999998E-3</v>
      </c>
      <c r="V96" s="61">
        <f t="shared" si="33"/>
        <v>4.8999999999999998E-3</v>
      </c>
    </row>
    <row r="97" spans="1:28" ht="15" customHeight="1">
      <c r="A97" s="167">
        <v>86</v>
      </c>
      <c r="B97" s="168" t="s">
        <v>150</v>
      </c>
      <c r="C97" s="169" t="s">
        <v>49</v>
      </c>
      <c r="D97" s="31">
        <v>7812721777.8800001</v>
      </c>
      <c r="E97" s="32">
        <f t="shared" si="35"/>
        <v>3.9334184916012691E-2</v>
      </c>
      <c r="F97" s="63">
        <v>138.49</v>
      </c>
      <c r="G97" s="63">
        <v>138.49</v>
      </c>
      <c r="H97" s="34">
        <v>4461</v>
      </c>
      <c r="I97" s="53">
        <v>3.0000000000000001E-3</v>
      </c>
      <c r="J97" s="53">
        <v>4.4000000000000003E-3</v>
      </c>
      <c r="K97" s="31">
        <v>7796764988.5600004</v>
      </c>
      <c r="L97" s="32">
        <f t="shared" si="36"/>
        <v>3.9067244272192492E-2</v>
      </c>
      <c r="M97" s="63">
        <v>138.93</v>
      </c>
      <c r="N97" s="63">
        <v>138.93</v>
      </c>
      <c r="O97" s="34">
        <v>4469</v>
      </c>
      <c r="P97" s="53">
        <v>3.2000000000000002E-3</v>
      </c>
      <c r="Q97" s="53">
        <v>7.6E-3</v>
      </c>
      <c r="R97" s="59">
        <f t="shared" si="29"/>
        <v>-2.042411053875978E-3</v>
      </c>
      <c r="S97" s="59">
        <f t="shared" si="30"/>
        <v>3.1771247021445425E-3</v>
      </c>
      <c r="T97" s="59">
        <f t="shared" si="31"/>
        <v>1.7933198834342075E-3</v>
      </c>
      <c r="U97" s="60">
        <f t="shared" si="32"/>
        <v>2.0000000000000009E-4</v>
      </c>
      <c r="V97" s="61">
        <f t="shared" si="33"/>
        <v>3.1999999999999997E-3</v>
      </c>
    </row>
    <row r="98" spans="1:28" ht="15" customHeight="1">
      <c r="A98" s="167">
        <v>87</v>
      </c>
      <c r="B98" s="168" t="s">
        <v>151</v>
      </c>
      <c r="C98" s="169" t="s">
        <v>49</v>
      </c>
      <c r="D98" s="31">
        <v>7751542357.54</v>
      </c>
      <c r="E98" s="32">
        <f t="shared" si="35"/>
        <v>3.9026169002848943E-2</v>
      </c>
      <c r="F98" s="63">
        <v>355.16</v>
      </c>
      <c r="G98" s="63">
        <v>355.75</v>
      </c>
      <c r="H98" s="34">
        <v>10171</v>
      </c>
      <c r="I98" s="53">
        <v>1.1999999999999999E-3</v>
      </c>
      <c r="J98" s="53">
        <v>4.1999999999999997E-3</v>
      </c>
      <c r="K98" s="31">
        <v>7716260634.71</v>
      </c>
      <c r="L98" s="32">
        <f t="shared" si="36"/>
        <v>3.8663861168886482E-2</v>
      </c>
      <c r="M98" s="63">
        <v>356.03</v>
      </c>
      <c r="N98" s="63">
        <v>356.63</v>
      </c>
      <c r="O98" s="34">
        <v>10160</v>
      </c>
      <c r="P98" s="53">
        <v>2.5000000000000001E-3</v>
      </c>
      <c r="Q98" s="53">
        <v>6.7000000000000002E-3</v>
      </c>
      <c r="R98" s="59">
        <f t="shared" si="29"/>
        <v>-4.5515745386698492E-3</v>
      </c>
      <c r="S98" s="59">
        <f t="shared" si="30"/>
        <v>2.4736472241742671E-3</v>
      </c>
      <c r="T98" s="59">
        <f t="shared" si="31"/>
        <v>-1.081506243240586E-3</v>
      </c>
      <c r="U98" s="60">
        <f t="shared" si="32"/>
        <v>1.3000000000000002E-3</v>
      </c>
      <c r="V98" s="61">
        <f t="shared" si="33"/>
        <v>2.5000000000000005E-3</v>
      </c>
    </row>
    <row r="99" spans="1:28">
      <c r="A99" s="167">
        <v>88</v>
      </c>
      <c r="B99" s="168" t="s">
        <v>152</v>
      </c>
      <c r="C99" s="169" t="s">
        <v>52</v>
      </c>
      <c r="D99" s="31">
        <v>88171615972.570007</v>
      </c>
      <c r="E99" s="32">
        <f t="shared" si="35"/>
        <v>0.44391170524311435</v>
      </c>
      <c r="F99" s="31">
        <v>1.9674</v>
      </c>
      <c r="G99" s="31">
        <v>1.9674</v>
      </c>
      <c r="H99" s="34">
        <v>6380</v>
      </c>
      <c r="I99" s="53">
        <v>7.1400000000000005E-2</v>
      </c>
      <c r="J99" s="53">
        <v>7.51E-2</v>
      </c>
      <c r="K99" s="31">
        <v>88303446012.990005</v>
      </c>
      <c r="L99" s="32">
        <f t="shared" si="36"/>
        <v>0.44246200834930999</v>
      </c>
      <c r="M99" s="31">
        <v>1.9703999999999999</v>
      </c>
      <c r="N99" s="31">
        <v>1.9703999999999999</v>
      </c>
      <c r="O99" s="34">
        <v>6380</v>
      </c>
      <c r="P99" s="53">
        <v>8.2299999999999998E-2</v>
      </c>
      <c r="Q99" s="53">
        <v>7.8200000000000006E-2</v>
      </c>
      <c r="R99" s="59">
        <f t="shared" si="29"/>
        <v>1.4951528217540008E-3</v>
      </c>
      <c r="S99" s="59">
        <f t="shared" si="30"/>
        <v>1.5248551387617626E-3</v>
      </c>
      <c r="T99" s="59">
        <f t="shared" si="31"/>
        <v>0</v>
      </c>
      <c r="U99" s="60">
        <f t="shared" si="32"/>
        <v>1.0899999999999993E-2</v>
      </c>
      <c r="V99" s="61">
        <f t="shared" si="33"/>
        <v>3.1000000000000055E-3</v>
      </c>
    </row>
    <row r="100" spans="1:28">
      <c r="A100" s="167">
        <v>89</v>
      </c>
      <c r="B100" s="168" t="s">
        <v>153</v>
      </c>
      <c r="C100" s="169" t="s">
        <v>52</v>
      </c>
      <c r="D100" s="31">
        <v>9477249146.1299992</v>
      </c>
      <c r="E100" s="32">
        <f t="shared" si="35"/>
        <v>4.7714468914590663E-2</v>
      </c>
      <c r="F100" s="31">
        <v>109.40260000000001</v>
      </c>
      <c r="G100" s="31">
        <v>109.40260000000001</v>
      </c>
      <c r="H100" s="34">
        <v>184</v>
      </c>
      <c r="I100" s="53">
        <v>0.22070000000000001</v>
      </c>
      <c r="J100" s="53">
        <v>0.26540000000000002</v>
      </c>
      <c r="K100" s="31">
        <v>10500818264.5</v>
      </c>
      <c r="L100" s="32">
        <f t="shared" si="36"/>
        <v>5.2616441921624423E-2</v>
      </c>
      <c r="M100" s="31">
        <v>109.80840000000001</v>
      </c>
      <c r="N100" s="31">
        <v>109.80840000000001</v>
      </c>
      <c r="O100" s="34">
        <v>184</v>
      </c>
      <c r="P100" s="53">
        <v>0.21290000000000001</v>
      </c>
      <c r="Q100" s="53">
        <v>0.24349999999999999</v>
      </c>
      <c r="R100" s="59">
        <f t="shared" ref="R100:R102" si="37">((K100-D100)/D100)</f>
        <v>0.10800276563246959</v>
      </c>
      <c r="S100" s="59">
        <f t="shared" ref="S100:S102" si="38">((N100-G100)/G100)</f>
        <v>3.7092354295053249E-3</v>
      </c>
      <c r="T100" s="59">
        <f t="shared" ref="T100:T102" si="39">((O100-H100)/H100)</f>
        <v>0</v>
      </c>
      <c r="U100" s="60">
        <f t="shared" ref="U100:U102" si="40">P100-I100</f>
        <v>-7.8000000000000014E-3</v>
      </c>
      <c r="V100" s="61">
        <f t="shared" ref="V100:V102" si="41">Q100-J100</f>
        <v>-2.1900000000000031E-2</v>
      </c>
    </row>
    <row r="101" spans="1:28">
      <c r="A101" s="167">
        <v>90</v>
      </c>
      <c r="B101" s="168" t="s">
        <v>154</v>
      </c>
      <c r="C101" s="168" t="s">
        <v>155</v>
      </c>
      <c r="D101" s="31">
        <v>92743762.159999996</v>
      </c>
      <c r="E101" s="32">
        <f t="shared" si="35"/>
        <v>4.6693078216821307E-4</v>
      </c>
      <c r="F101" s="31">
        <v>110.69112616144881</v>
      </c>
      <c r="G101" s="31">
        <v>110.69112616144881</v>
      </c>
      <c r="H101" s="65">
        <v>54</v>
      </c>
      <c r="I101" s="66">
        <v>2.0285481887296853E-3</v>
      </c>
      <c r="J101" s="66">
        <v>2.606134969111551E-3</v>
      </c>
      <c r="K101" s="31">
        <v>92961955.909999996</v>
      </c>
      <c r="L101" s="67">
        <f t="shared" si="36"/>
        <v>4.6580440027185131E-4</v>
      </c>
      <c r="M101" s="31">
        <v>110.9157073154994</v>
      </c>
      <c r="N101" s="31">
        <v>110.9157073154994</v>
      </c>
      <c r="O101" s="65">
        <v>54</v>
      </c>
      <c r="P101" s="66">
        <v>2.0288993511822571E-3</v>
      </c>
      <c r="Q101" s="66">
        <v>4.6403219058417378E-3</v>
      </c>
      <c r="R101" s="59">
        <f t="shared" si="37"/>
        <v>2.3526514874776783E-3</v>
      </c>
      <c r="S101" s="59">
        <f t="shared" si="38"/>
        <v>2.0288993511822571E-3</v>
      </c>
      <c r="T101" s="59">
        <f t="shared" si="39"/>
        <v>0</v>
      </c>
      <c r="U101" s="60">
        <f t="shared" si="40"/>
        <v>3.5116245257179116E-7</v>
      </c>
      <c r="V101" s="61">
        <f t="shared" si="41"/>
        <v>2.0341869367301868E-3</v>
      </c>
    </row>
    <row r="102" spans="1:28">
      <c r="A102" s="167">
        <v>91</v>
      </c>
      <c r="B102" s="168" t="s">
        <v>156</v>
      </c>
      <c r="C102" s="169" t="s">
        <v>111</v>
      </c>
      <c r="D102" s="31">
        <v>258630553.66999999</v>
      </c>
      <c r="E102" s="32">
        <f t="shared" si="35"/>
        <v>1.3021098552093836E-3</v>
      </c>
      <c r="F102" s="31">
        <v>1.0887</v>
      </c>
      <c r="G102" s="31">
        <v>1.0887</v>
      </c>
      <c r="H102" s="34">
        <v>384</v>
      </c>
      <c r="I102" s="53">
        <v>-5.1999999999999997E-5</v>
      </c>
      <c r="J102" s="53">
        <v>1.1283E-2</v>
      </c>
      <c r="K102" s="31">
        <v>253975318.19999999</v>
      </c>
      <c r="L102" s="32">
        <f t="shared" si="36"/>
        <v>1.2725939296343663E-3</v>
      </c>
      <c r="M102" s="31">
        <v>1.0696000000000001</v>
      </c>
      <c r="N102" s="31">
        <v>1.0696000000000001</v>
      </c>
      <c r="O102" s="34">
        <v>388</v>
      </c>
      <c r="P102" s="53">
        <v>-1.176E-2</v>
      </c>
      <c r="Q102" s="53">
        <v>-6.4310000000000001E-3</v>
      </c>
      <c r="R102" s="59">
        <f t="shared" si="37"/>
        <v>-1.7999557298786332E-2</v>
      </c>
      <c r="S102" s="59">
        <f t="shared" si="38"/>
        <v>-1.7543859649122709E-2</v>
      </c>
      <c r="T102" s="59">
        <f t="shared" si="39"/>
        <v>1.0416666666666666E-2</v>
      </c>
      <c r="U102" s="60">
        <f t="shared" si="40"/>
        <v>-1.1708E-2</v>
      </c>
      <c r="V102" s="61">
        <f t="shared" si="41"/>
        <v>-1.7714000000000001E-2</v>
      </c>
    </row>
    <row r="103" spans="1:28">
      <c r="A103" s="167">
        <v>92</v>
      </c>
      <c r="B103" s="168" t="s">
        <v>157</v>
      </c>
      <c r="C103" s="169" t="s">
        <v>113</v>
      </c>
      <c r="D103" s="31">
        <v>2104882144.3299999</v>
      </c>
      <c r="E103" s="32">
        <f t="shared" si="35"/>
        <v>1.0597308575086086E-2</v>
      </c>
      <c r="F103" s="63">
        <v>28.1724</v>
      </c>
      <c r="G103" s="63">
        <v>28.1724</v>
      </c>
      <c r="H103" s="34">
        <v>1298</v>
      </c>
      <c r="I103" s="53">
        <v>0.1268</v>
      </c>
      <c r="J103" s="53">
        <v>0.1268</v>
      </c>
      <c r="K103" s="31">
        <v>2111488438.29</v>
      </c>
      <c r="L103" s="32">
        <f t="shared" si="36"/>
        <v>1.058003347768225E-2</v>
      </c>
      <c r="M103" s="63">
        <v>28.229900000000001</v>
      </c>
      <c r="N103" s="63">
        <v>28.229900000000001</v>
      </c>
      <c r="O103" s="34">
        <v>1299</v>
      </c>
      <c r="P103" s="53">
        <v>0.1265</v>
      </c>
      <c r="Q103" s="53">
        <v>0.1265</v>
      </c>
      <c r="R103" s="59">
        <f t="shared" si="29"/>
        <v>3.1385576516935452E-3</v>
      </c>
      <c r="S103" s="59">
        <f t="shared" si="30"/>
        <v>2.0410046712385525E-3</v>
      </c>
      <c r="T103" s="59">
        <f t="shared" si="31"/>
        <v>7.7041602465331282E-4</v>
      </c>
      <c r="U103" s="60">
        <f t="shared" si="32"/>
        <v>-2.9999999999999472E-4</v>
      </c>
      <c r="V103" s="61">
        <f t="shared" si="33"/>
        <v>-2.9999999999999472E-4</v>
      </c>
    </row>
    <row r="104" spans="1:28">
      <c r="A104" s="38"/>
      <c r="B104" s="39"/>
      <c r="C104" s="40" t="s">
        <v>53</v>
      </c>
      <c r="D104" s="51">
        <f>SUM(D68:D103)</f>
        <v>198624219481.39801</v>
      </c>
      <c r="E104" s="42">
        <f>(D104/$D$210)</f>
        <v>5.0112687447797039E-2</v>
      </c>
      <c r="F104" s="43"/>
      <c r="G104" s="48"/>
      <c r="H104" s="45">
        <f>SUM(H68:H103)</f>
        <v>50622</v>
      </c>
      <c r="I104" s="56"/>
      <c r="J104" s="56"/>
      <c r="K104" s="51">
        <f>SUM(K68:K103)</f>
        <v>199572944900.79062</v>
      </c>
      <c r="L104" s="42">
        <f>(K104/$K$210)</f>
        <v>4.9648646761486628E-2</v>
      </c>
      <c r="M104" s="43"/>
      <c r="N104" s="48"/>
      <c r="O104" s="45">
        <f>SUM(O68:O103)</f>
        <v>50600</v>
      </c>
      <c r="P104" s="56"/>
      <c r="Q104" s="56"/>
      <c r="R104" s="59">
        <f t="shared" si="29"/>
        <v>4.7764840655872822E-3</v>
      </c>
      <c r="S104" s="59" t="e">
        <f t="shared" si="30"/>
        <v>#DIV/0!</v>
      </c>
      <c r="T104" s="59">
        <f t="shared" si="31"/>
        <v>-4.3459365493263801E-4</v>
      </c>
      <c r="U104" s="60">
        <f t="shared" si="32"/>
        <v>0</v>
      </c>
      <c r="V104" s="61">
        <f t="shared" si="33"/>
        <v>0</v>
      </c>
    </row>
    <row r="105" spans="1:28" ht="3.75" customHeight="1">
      <c r="A105" s="3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78"/>
      <c r="N105" s="178"/>
      <c r="O105" s="178"/>
      <c r="P105" s="178"/>
      <c r="Q105" s="178"/>
      <c r="R105" s="178"/>
      <c r="S105" s="178"/>
      <c r="T105" s="178"/>
      <c r="U105" s="178"/>
      <c r="V105" s="178"/>
    </row>
    <row r="106" spans="1:28" ht="15" customHeight="1">
      <c r="A106" s="177" t="s">
        <v>158</v>
      </c>
      <c r="B106" s="177"/>
      <c r="C106" s="177"/>
      <c r="D106" s="177"/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</row>
    <row r="107" spans="1:28">
      <c r="A107" s="179" t="s">
        <v>159</v>
      </c>
      <c r="B107" s="179"/>
      <c r="C107" s="179"/>
      <c r="D107" s="179"/>
      <c r="E107" s="179"/>
      <c r="F107" s="179"/>
      <c r="G107" s="179"/>
      <c r="H107" s="179"/>
      <c r="I107" s="179"/>
      <c r="J107" s="179"/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Z107" s="68"/>
      <c r="AB107" s="71"/>
    </row>
    <row r="108" spans="1:28" ht="16.5" customHeight="1">
      <c r="A108" s="167">
        <v>93</v>
      </c>
      <c r="B108" s="168" t="s">
        <v>160</v>
      </c>
      <c r="C108" s="169" t="s">
        <v>19</v>
      </c>
      <c r="D108" s="31">
        <f>1814202.06*1542.0256</f>
        <v>2797546020.0927358</v>
      </c>
      <c r="E108" s="32">
        <f>(D108/$D$140)</f>
        <v>1.6252766032388401E-3</v>
      </c>
      <c r="F108" s="31">
        <f>109.8422*1542.0256</f>
        <v>169379.48436032</v>
      </c>
      <c r="G108" s="31">
        <f>109.8422*1542.0256</f>
        <v>169379.48436032</v>
      </c>
      <c r="H108" s="34">
        <v>251</v>
      </c>
      <c r="I108" s="53">
        <v>-2.0299999999999999E-2</v>
      </c>
      <c r="J108" s="53">
        <v>-2E-3</v>
      </c>
      <c r="K108" s="31">
        <f>1895161.79*1546.7212</f>
        <v>2931286918.0229478</v>
      </c>
      <c r="L108" s="32">
        <f t="shared" ref="L108:L123" si="42">(K108/$K$140)</f>
        <v>1.6861402152141549E-3</v>
      </c>
      <c r="M108" s="31">
        <f>110.3722*1546.7212</f>
        <v>170715.02163064</v>
      </c>
      <c r="N108" s="31">
        <f>110.3722*1546.7212</f>
        <v>170715.02163064</v>
      </c>
      <c r="O108" s="34">
        <v>251</v>
      </c>
      <c r="P108" s="53">
        <v>4.7999999999999996E-3</v>
      </c>
      <c r="Q108" s="53">
        <v>2.8E-3</v>
      </c>
      <c r="R108" s="60">
        <f>((K108-D108)/D108)</f>
        <v>4.7806505047512549E-2</v>
      </c>
      <c r="S108" s="60">
        <f>((N108-G108)/G108)</f>
        <v>7.8848821353058127E-3</v>
      </c>
      <c r="T108" s="60">
        <f>((O108-H108)/H108)</f>
        <v>0</v>
      </c>
      <c r="U108" s="60">
        <f>P108-I108</f>
        <v>2.5099999999999997E-2</v>
      </c>
      <c r="V108" s="61">
        <f>Q108-J108</f>
        <v>4.8000000000000004E-3</v>
      </c>
      <c r="X108" s="68"/>
      <c r="Y108" s="72"/>
      <c r="Z108" s="68"/>
      <c r="AA108" s="73"/>
    </row>
    <row r="109" spans="1:28" ht="16.5" customHeight="1">
      <c r="A109" s="167">
        <v>94</v>
      </c>
      <c r="B109" s="168" t="s">
        <v>161</v>
      </c>
      <c r="C109" s="169" t="s">
        <v>57</v>
      </c>
      <c r="D109" s="31">
        <f>1514341.09*1542.0256</f>
        <v>2335152727.9119039</v>
      </c>
      <c r="E109" s="32">
        <f>(D109/$D$140)</f>
        <v>1.3566422380207211E-3</v>
      </c>
      <c r="F109" s="31">
        <f>100*1542.0256</f>
        <v>154202.56</v>
      </c>
      <c r="G109" s="31">
        <f>100*1542.0256</f>
        <v>154202.56</v>
      </c>
      <c r="H109" s="34">
        <v>35</v>
      </c>
      <c r="I109" s="53">
        <v>4.1599999999999997E-4</v>
      </c>
      <c r="J109" s="53">
        <v>6.9622000000000003E-2</v>
      </c>
      <c r="K109" s="31">
        <f>1526324.36*1546.7212</f>
        <v>2360798245.6884322</v>
      </c>
      <c r="L109" s="32">
        <f t="shared" si="42"/>
        <v>1.3579826790709028E-3</v>
      </c>
      <c r="M109" s="31">
        <f>100*1546.7212</f>
        <v>154672.12</v>
      </c>
      <c r="N109" s="31">
        <f>100*1546.7212</f>
        <v>154672.12</v>
      </c>
      <c r="O109" s="34">
        <v>36</v>
      </c>
      <c r="P109" s="53">
        <v>-3.4780000000000002E-3</v>
      </c>
      <c r="Q109" s="53">
        <v>6.6143999999999994E-2</v>
      </c>
      <c r="R109" s="60">
        <f>((K109-D109)/D109)</f>
        <v>1.098237278872145E-2</v>
      </c>
      <c r="S109" s="60">
        <f>((N109-G109)/G109)</f>
        <v>3.0450856328195696E-3</v>
      </c>
      <c r="T109" s="60">
        <f>((O109-H109)/H109)</f>
        <v>2.8571428571428571E-2</v>
      </c>
      <c r="U109" s="60">
        <f>P109-I109</f>
        <v>-3.8940000000000003E-3</v>
      </c>
      <c r="V109" s="61">
        <f>Q109-J109</f>
        <v>-3.4780000000000089E-3</v>
      </c>
      <c r="X109" s="68"/>
      <c r="Y109" s="72"/>
      <c r="Z109" s="68"/>
      <c r="AA109" s="73"/>
    </row>
    <row r="110" spans="1:28">
      <c r="A110" s="167">
        <v>95</v>
      </c>
      <c r="B110" s="168" t="s">
        <v>162</v>
      </c>
      <c r="C110" s="169" t="s">
        <v>23</v>
      </c>
      <c r="D110" s="31">
        <f>10151207.97*1551.47</f>
        <v>15749294629.2159</v>
      </c>
      <c r="E110" s="32">
        <f>(D110/$D$140)</f>
        <v>9.1497905287474812E-3</v>
      </c>
      <c r="F110" s="31">
        <f>1.1383*1551.47</f>
        <v>1766.0383010000003</v>
      </c>
      <c r="G110" s="31">
        <f>1.1383*1551.47</f>
        <v>1766.0383010000003</v>
      </c>
      <c r="H110" s="34">
        <v>308</v>
      </c>
      <c r="I110" s="53">
        <v>6.4199999999999993E-2</v>
      </c>
      <c r="J110" s="53">
        <v>7.7100000000000002E-2</v>
      </c>
      <c r="K110" s="31">
        <f>10242835.33*1553.35</f>
        <v>15910708259.855499</v>
      </c>
      <c r="L110" s="32">
        <f t="shared" si="42"/>
        <v>9.152186667409799E-3</v>
      </c>
      <c r="M110" s="31">
        <f>1.1396*1553.35</f>
        <v>1770.1976599999998</v>
      </c>
      <c r="N110" s="31">
        <f>1.1396*1553.35</f>
        <v>1770.1976599999998</v>
      </c>
      <c r="O110" s="34">
        <v>313</v>
      </c>
      <c r="P110" s="53">
        <v>5.9499999999999997E-2</v>
      </c>
      <c r="Q110" s="53">
        <v>6.9900000000000004E-2</v>
      </c>
      <c r="R110" s="60">
        <f t="shared" ref="R110:R121" si="43">((K110-D110)/D110)</f>
        <v>1.0248943488565306E-2</v>
      </c>
      <c r="S110" s="60">
        <f t="shared" ref="S110:S121" si="44">((N110-G110)/G110)</f>
        <v>2.3551918424670336E-3</v>
      </c>
      <c r="T110" s="60">
        <f t="shared" ref="T110:T121" si="45">((O110-H110)/H110)</f>
        <v>1.6233766233766232E-2</v>
      </c>
      <c r="U110" s="60">
        <f t="shared" ref="U110:U121" si="46">P110-I110</f>
        <v>-4.6999999999999958E-3</v>
      </c>
      <c r="V110" s="61">
        <f t="shared" ref="V110:V121" si="47">Q110-J110</f>
        <v>-7.1999999999999981E-3</v>
      </c>
    </row>
    <row r="111" spans="1:28">
      <c r="A111" s="167">
        <v>96</v>
      </c>
      <c r="B111" s="168" t="s">
        <v>298</v>
      </c>
      <c r="C111" s="169" t="s">
        <v>23</v>
      </c>
      <c r="D111" s="31">
        <f>562129.39*1551.47</f>
        <v>872126884.7033</v>
      </c>
      <c r="E111" s="32"/>
      <c r="F111" s="31">
        <f>1.0002*1551.47</f>
        <v>1551.7802939999999</v>
      </c>
      <c r="G111" s="31">
        <f>1.0002*1551.47</f>
        <v>1551.7802939999999</v>
      </c>
      <c r="H111" s="34">
        <v>5</v>
      </c>
      <c r="I111" s="53">
        <v>1.04E-2</v>
      </c>
      <c r="J111" s="53">
        <v>7.3000000000000001E-3</v>
      </c>
      <c r="K111" s="31">
        <f>612380.45*1553.35</f>
        <v>951241172.00749981</v>
      </c>
      <c r="L111" s="32">
        <f t="shared" si="42"/>
        <v>5.4717468447990883E-4</v>
      </c>
      <c r="M111" s="31">
        <f>1.0007*1553.35</f>
        <v>1554.4373449999998</v>
      </c>
      <c r="N111" s="31">
        <f>1.0007*1553.35</f>
        <v>1554.4373449999998</v>
      </c>
      <c r="O111" s="34">
        <v>6</v>
      </c>
      <c r="P111" s="53">
        <v>2.6100000000000002E-2</v>
      </c>
      <c r="Q111" s="53">
        <v>1.4999999999999999E-2</v>
      </c>
      <c r="R111" s="60"/>
      <c r="S111" s="60"/>
      <c r="T111" s="60"/>
      <c r="U111" s="60"/>
      <c r="V111" s="61"/>
    </row>
    <row r="112" spans="1:28">
      <c r="A112" s="167">
        <v>97</v>
      </c>
      <c r="B112" s="168" t="s">
        <v>163</v>
      </c>
      <c r="C112" s="169" t="s">
        <v>27</v>
      </c>
      <c r="D112" s="31">
        <f>3319321.26*1542.0256</f>
        <v>5118478357.5442553</v>
      </c>
      <c r="E112" s="32">
        <f>(D112/$D$140)</f>
        <v>2.9736572906941061E-3</v>
      </c>
      <c r="F112" s="31">
        <f>1.0775*1542.0256</f>
        <v>1661.5325839999998</v>
      </c>
      <c r="G112" s="31">
        <f>1.0775*1542.0256</f>
        <v>1661.5325839999998</v>
      </c>
      <c r="H112" s="34">
        <v>291</v>
      </c>
      <c r="I112" s="53">
        <v>5.7999999999999996E-3</v>
      </c>
      <c r="J112" s="53">
        <v>6.4999999999999997E-3</v>
      </c>
      <c r="K112" s="31">
        <f>3394843.86*1546.7212</f>
        <v>5250876968.9518318</v>
      </c>
      <c r="L112" s="32">
        <f t="shared" si="42"/>
        <v>3.020419041225421E-3</v>
      </c>
      <c r="M112" s="31">
        <f>1.0792*1546.7212</f>
        <v>1669.2215190399997</v>
      </c>
      <c r="N112" s="31">
        <f>1.0792*1546.7212</f>
        <v>1669.2215190399997</v>
      </c>
      <c r="O112" s="34">
        <v>291</v>
      </c>
      <c r="P112" s="53">
        <v>1.6000000000000001E-3</v>
      </c>
      <c r="Q112" s="53">
        <v>8.0999999999999996E-3</v>
      </c>
      <c r="R112" s="60">
        <f t="shared" si="43"/>
        <v>2.5866791292070403E-2</v>
      </c>
      <c r="S112" s="60">
        <f t="shared" ref="S112:T115" si="48">((N112-G112)/G112)</f>
        <v>4.6276161623562441E-3</v>
      </c>
      <c r="T112" s="60">
        <f t="shared" si="48"/>
        <v>0</v>
      </c>
      <c r="U112" s="60">
        <f t="shared" si="46"/>
        <v>-4.1999999999999997E-3</v>
      </c>
      <c r="V112" s="61">
        <f t="shared" si="47"/>
        <v>1.5999999999999999E-3</v>
      </c>
    </row>
    <row r="113" spans="1:24">
      <c r="A113" s="167">
        <v>98</v>
      </c>
      <c r="B113" s="168" t="s">
        <v>164</v>
      </c>
      <c r="C113" s="169" t="s">
        <v>63</v>
      </c>
      <c r="D113" s="31">
        <f>426237.39*1542.0256</f>
        <v>657268967.05718398</v>
      </c>
      <c r="E113" s="32">
        <f>(D113/$D$140)</f>
        <v>3.8185033115472749E-4</v>
      </c>
      <c r="F113" s="31">
        <f>1.07*1542.0256</f>
        <v>1649.967392</v>
      </c>
      <c r="G113" s="31">
        <f>1.08*1542.0256</f>
        <v>1665.3876480000001</v>
      </c>
      <c r="H113" s="34">
        <v>18</v>
      </c>
      <c r="I113" s="53">
        <v>-5.8999999999999997E-2</v>
      </c>
      <c r="J113" s="53">
        <v>0.253</v>
      </c>
      <c r="K113" s="31">
        <f>421586.48*1546.7212</f>
        <v>652076746.24937594</v>
      </c>
      <c r="L113" s="32">
        <f t="shared" si="42"/>
        <v>3.7508877704767256E-4</v>
      </c>
      <c r="M113" s="31">
        <f>1.06*1546.7212</f>
        <v>1639.5244720000001</v>
      </c>
      <c r="N113" s="31">
        <f>1.06*1546.7212</f>
        <v>1639.5244720000001</v>
      </c>
      <c r="O113" s="34">
        <v>18</v>
      </c>
      <c r="P113" s="53">
        <v>0.129</v>
      </c>
      <c r="Q113" s="53">
        <v>0.16</v>
      </c>
      <c r="R113" s="60">
        <f t="shared" si="43"/>
        <v>-7.8996895761797095E-3</v>
      </c>
      <c r="S113" s="60">
        <f t="shared" si="48"/>
        <v>-1.5529823360380817E-2</v>
      </c>
      <c r="T113" s="60">
        <f t="shared" si="48"/>
        <v>0</v>
      </c>
      <c r="U113" s="60">
        <f t="shared" si="46"/>
        <v>0.188</v>
      </c>
      <c r="V113" s="61">
        <f t="shared" si="47"/>
        <v>-9.2999999999999999E-2</v>
      </c>
    </row>
    <row r="114" spans="1:24">
      <c r="A114" s="167">
        <v>99</v>
      </c>
      <c r="B114" s="168" t="s">
        <v>165</v>
      </c>
      <c r="C114" s="169" t="s">
        <v>29</v>
      </c>
      <c r="D114" s="31">
        <f>226215.93*1542.0256</f>
        <v>348830755.18780798</v>
      </c>
      <c r="E114" s="32">
        <v>0</v>
      </c>
      <c r="F114" s="31">
        <f>1.2058*1542.0256</f>
        <v>1859.3744684799999</v>
      </c>
      <c r="G114" s="31">
        <f>1.2058*1542.0256</f>
        <v>1859.3744684799999</v>
      </c>
      <c r="H114" s="34">
        <v>38</v>
      </c>
      <c r="I114" s="53">
        <v>4.15E-4</v>
      </c>
      <c r="J114" s="53">
        <v>3.8E-3</v>
      </c>
      <c r="K114" s="31">
        <f>226215.93*1542.0256</f>
        <v>348830755.18780798</v>
      </c>
      <c r="L114" s="32">
        <f t="shared" si="42"/>
        <v>2.0065506416628513E-4</v>
      </c>
      <c r="M114" s="31">
        <f>1.2058*1542.0256</f>
        <v>1859.3744684799999</v>
      </c>
      <c r="N114" s="31">
        <f>1.2058*1542.0256</f>
        <v>1859.3744684799999</v>
      </c>
      <c r="O114" s="34">
        <v>38</v>
      </c>
      <c r="P114" s="53">
        <v>4.15E-4</v>
      </c>
      <c r="Q114" s="53">
        <v>3.8E-3</v>
      </c>
      <c r="R114" s="60">
        <f t="shared" si="43"/>
        <v>0</v>
      </c>
      <c r="S114" s="60">
        <f t="shared" si="48"/>
        <v>0</v>
      </c>
      <c r="T114" s="60">
        <f t="shared" si="48"/>
        <v>0</v>
      </c>
      <c r="U114" s="60">
        <f t="shared" si="46"/>
        <v>0</v>
      </c>
      <c r="V114" s="61">
        <f t="shared" si="47"/>
        <v>0</v>
      </c>
    </row>
    <row r="115" spans="1:24">
      <c r="A115" s="167">
        <v>100</v>
      </c>
      <c r="B115" s="168" t="s">
        <v>166</v>
      </c>
      <c r="C115" s="169" t="s">
        <v>73</v>
      </c>
      <c r="D115" s="31">
        <f>423116.65*1542.0256</f>
        <v>652456706.08624005</v>
      </c>
      <c r="E115" s="32">
        <f t="shared" ref="E115:E123" si="49">(D115/$D$140)</f>
        <v>3.7905457547865272E-4</v>
      </c>
      <c r="F115" s="31">
        <f>102.87*1542.0256</f>
        <v>158628.17347199999</v>
      </c>
      <c r="G115" s="31">
        <f>102.97*1542.0256</f>
        <v>158782.376032</v>
      </c>
      <c r="H115" s="34">
        <v>44</v>
      </c>
      <c r="I115" s="53">
        <v>4.0000000000000002E-4</v>
      </c>
      <c r="J115" s="53">
        <v>9.1000000000000004E-3</v>
      </c>
      <c r="K115" s="31">
        <f>415879.86*1546.7212</f>
        <v>643250196.11503196</v>
      </c>
      <c r="L115" s="32">
        <f t="shared" si="42"/>
        <v>3.7001155275699849E-4</v>
      </c>
      <c r="M115" s="31">
        <f>105.25*1546.7212</f>
        <v>162792.4063</v>
      </c>
      <c r="N115" s="31">
        <f>105.28*1546.7212</f>
        <v>162838.807936</v>
      </c>
      <c r="O115" s="34">
        <v>44</v>
      </c>
      <c r="P115" s="53">
        <v>-9.4000000000000004E-3</v>
      </c>
      <c r="Q115" s="53">
        <v>-2.9999999999999997E-4</v>
      </c>
      <c r="R115" s="60">
        <f t="shared" si="43"/>
        <v>-1.4110530070927347E-2</v>
      </c>
      <c r="S115" s="60">
        <f t="shared" si="48"/>
        <v>2.5547116785697235E-2</v>
      </c>
      <c r="T115" s="60">
        <f t="shared" si="48"/>
        <v>0</v>
      </c>
      <c r="U115" s="60">
        <f t="shared" si="46"/>
        <v>-9.7999999999999997E-3</v>
      </c>
      <c r="V115" s="61">
        <f t="shared" si="47"/>
        <v>-9.4000000000000004E-3</v>
      </c>
    </row>
    <row r="116" spans="1:24">
      <c r="A116" s="167">
        <v>101</v>
      </c>
      <c r="B116" s="168" t="s">
        <v>167</v>
      </c>
      <c r="C116" s="169" t="s">
        <v>76</v>
      </c>
      <c r="D116" s="31">
        <v>5020732393.1982002</v>
      </c>
      <c r="E116" s="32">
        <f t="shared" si="49"/>
        <v>2.9168702967459618E-3</v>
      </c>
      <c r="F116" s="31">
        <v>171815.912457</v>
      </c>
      <c r="G116" s="31">
        <v>171815.912457</v>
      </c>
      <c r="H116" s="34">
        <v>57</v>
      </c>
      <c r="I116" s="53" t="s">
        <v>296</v>
      </c>
      <c r="J116" s="53">
        <v>7.6499999999999999E-2</v>
      </c>
      <c r="K116" s="31">
        <v>5045236053.5248003</v>
      </c>
      <c r="L116" s="32">
        <f t="shared" si="42"/>
        <v>2.9021298982339753E-3</v>
      </c>
      <c r="M116" s="31">
        <v>172548.52574399998</v>
      </c>
      <c r="N116" s="31">
        <v>172548.52574399998</v>
      </c>
      <c r="O116" s="34">
        <v>57</v>
      </c>
      <c r="P116" s="53" t="s">
        <v>310</v>
      </c>
      <c r="Q116" s="53">
        <v>7.2400000000000006E-2</v>
      </c>
      <c r="R116" s="60">
        <f t="shared" si="43"/>
        <v>4.8804951962379481E-3</v>
      </c>
      <c r="S116" s="60">
        <f t="shared" si="44"/>
        <v>4.2639431733852654E-3</v>
      </c>
      <c r="T116" s="60">
        <f t="shared" si="45"/>
        <v>0</v>
      </c>
      <c r="U116" s="60">
        <f t="shared" si="46"/>
        <v>-1.9999999999999998E-4</v>
      </c>
      <c r="V116" s="61">
        <f t="shared" si="47"/>
        <v>-4.0999999999999925E-3</v>
      </c>
      <c r="X116" s="69"/>
    </row>
    <row r="117" spans="1:24">
      <c r="A117" s="167">
        <v>102</v>
      </c>
      <c r="B117" s="168" t="s">
        <v>168</v>
      </c>
      <c r="C117" s="169" t="s">
        <v>31</v>
      </c>
      <c r="D117" s="31">
        <v>50190620168.18</v>
      </c>
      <c r="E117" s="32">
        <f t="shared" si="49"/>
        <v>2.9158998663652486E-2</v>
      </c>
      <c r="F117" s="31">
        <v>195409.32</v>
      </c>
      <c r="G117" s="31">
        <v>195409.32</v>
      </c>
      <c r="H117" s="34" t="s">
        <v>295</v>
      </c>
      <c r="I117" s="53">
        <v>1.5E-3</v>
      </c>
      <c r="J117" s="53">
        <v>2E-3</v>
      </c>
      <c r="K117" s="31">
        <v>51459245129.949997</v>
      </c>
      <c r="L117" s="32">
        <f t="shared" si="42"/>
        <v>2.9600480978059132E-2</v>
      </c>
      <c r="M117" s="31">
        <v>196279.57</v>
      </c>
      <c r="N117" s="31">
        <v>196279.57</v>
      </c>
      <c r="O117" s="34">
        <v>2296</v>
      </c>
      <c r="P117" s="53">
        <v>1.5E-3</v>
      </c>
      <c r="Q117" s="53">
        <v>3.5000000000000001E-3</v>
      </c>
      <c r="R117" s="60">
        <f t="shared" si="43"/>
        <v>2.5276136407939492E-2</v>
      </c>
      <c r="S117" s="60">
        <f t="shared" si="44"/>
        <v>4.453472331821225E-3</v>
      </c>
      <c r="T117" s="60" t="e">
        <f t="shared" si="45"/>
        <v>#VALUE!</v>
      </c>
      <c r="U117" s="60">
        <f t="shared" si="46"/>
        <v>0</v>
      </c>
      <c r="V117" s="61">
        <f t="shared" si="47"/>
        <v>1.5E-3</v>
      </c>
    </row>
    <row r="118" spans="1:24">
      <c r="A118" s="167">
        <v>103</v>
      </c>
      <c r="B118" s="173" t="s">
        <v>169</v>
      </c>
      <c r="C118" s="173" t="s">
        <v>31</v>
      </c>
      <c r="D118" s="31">
        <v>109104783082.89999</v>
      </c>
      <c r="E118" s="32">
        <f t="shared" si="49"/>
        <v>6.3386071211156705E-2</v>
      </c>
      <c r="F118" s="31">
        <v>183605.14</v>
      </c>
      <c r="G118" s="31">
        <v>183605.14</v>
      </c>
      <c r="H118" s="34">
        <v>651</v>
      </c>
      <c r="I118" s="53">
        <v>1.6999999999999999E-3</v>
      </c>
      <c r="J118" s="53">
        <v>2.2000000000000001E-3</v>
      </c>
      <c r="K118" s="31">
        <v>110316674151.99001</v>
      </c>
      <c r="L118" s="32">
        <f t="shared" si="42"/>
        <v>6.3456558807898328E-2</v>
      </c>
      <c r="M118" s="31">
        <v>184456.06</v>
      </c>
      <c r="N118" s="31">
        <v>184456.06</v>
      </c>
      <c r="O118" s="34">
        <v>660</v>
      </c>
      <c r="P118" s="53">
        <v>1.6999999999999999E-3</v>
      </c>
      <c r="Q118" s="53">
        <v>3.8999999999999998E-3</v>
      </c>
      <c r="R118" s="60">
        <f t="shared" si="43"/>
        <v>1.1107588822840082E-2</v>
      </c>
      <c r="S118" s="60">
        <f t="shared" si="44"/>
        <v>4.6345107767679248E-3</v>
      </c>
      <c r="T118" s="60">
        <f t="shared" si="45"/>
        <v>1.3824884792626729E-2</v>
      </c>
      <c r="U118" s="60">
        <f t="shared" si="46"/>
        <v>0</v>
      </c>
      <c r="V118" s="61">
        <f t="shared" si="47"/>
        <v>1.6999999999999997E-3</v>
      </c>
    </row>
    <row r="119" spans="1:24">
      <c r="A119" s="167">
        <v>104</v>
      </c>
      <c r="B119" s="168" t="s">
        <v>170</v>
      </c>
      <c r="C119" s="169" t="s">
        <v>35</v>
      </c>
      <c r="D119" s="31">
        <f>137649.58*1542.0256</f>
        <v>212259176.18924797</v>
      </c>
      <c r="E119" s="32">
        <f t="shared" si="49"/>
        <v>1.2331517351471476E-4</v>
      </c>
      <c r="F119" s="31">
        <f>114.01*1542.0256</f>
        <v>175806.33865600001</v>
      </c>
      <c r="G119" s="31">
        <f>114.01*1542.0256</f>
        <v>175806.33865600001</v>
      </c>
      <c r="H119" s="34">
        <v>7</v>
      </c>
      <c r="I119" s="53">
        <v>2.2000000000000001E-3</v>
      </c>
      <c r="J119" s="53">
        <v>4.4000000000000003E-3</v>
      </c>
      <c r="K119" s="31">
        <f>137964.6*1546.7212</f>
        <v>213392771.66951999</v>
      </c>
      <c r="L119" s="32">
        <f t="shared" si="42"/>
        <v>1.2274817989863272E-4</v>
      </c>
      <c r="M119" s="31">
        <f>114*1546.7212</f>
        <v>176326.21679999999</v>
      </c>
      <c r="N119" s="31">
        <f>114*1546.7212</f>
        <v>176326.21679999999</v>
      </c>
      <c r="O119" s="34">
        <v>7</v>
      </c>
      <c r="P119" s="53">
        <v>-1E-4</v>
      </c>
      <c r="Q119" s="53">
        <v>4.4000000000000003E-3</v>
      </c>
      <c r="R119" s="60">
        <f t="shared" si="43"/>
        <v>5.3406194286805464E-3</v>
      </c>
      <c r="S119" s="60">
        <f t="shared" si="44"/>
        <v>2.9571069392283532E-3</v>
      </c>
      <c r="T119" s="60">
        <f t="shared" si="45"/>
        <v>0</v>
      </c>
      <c r="U119" s="60">
        <f t="shared" si="46"/>
        <v>-2.3E-3</v>
      </c>
      <c r="V119" s="61">
        <f t="shared" si="47"/>
        <v>0</v>
      </c>
    </row>
    <row r="120" spans="1:24">
      <c r="A120" s="167">
        <v>105</v>
      </c>
      <c r="B120" s="168" t="s">
        <v>171</v>
      </c>
      <c r="C120" s="169" t="s">
        <v>41</v>
      </c>
      <c r="D120" s="31">
        <f>10176318.25*1542.0256</f>
        <v>15692143255.2472</v>
      </c>
      <c r="E120" s="32">
        <f t="shared" si="49"/>
        <v>9.1165875750562307E-3</v>
      </c>
      <c r="F120" s="31">
        <f>1.39*1542.0256</f>
        <v>2143.4155839999999</v>
      </c>
      <c r="G120" s="31">
        <f>1.39*1542.0256</f>
        <v>2143.4155839999999</v>
      </c>
      <c r="H120" s="49">
        <v>112</v>
      </c>
      <c r="I120" s="56">
        <v>8.9999999999999998E-4</v>
      </c>
      <c r="J120" s="56">
        <v>4.9099999999999998E-2</v>
      </c>
      <c r="K120" s="31">
        <f>10189248.87*1546.7212</f>
        <v>15759927239.305042</v>
      </c>
      <c r="L120" s="32">
        <f t="shared" si="42"/>
        <v>9.0654541333552233E-3</v>
      </c>
      <c r="M120" s="31">
        <f>1.39*1546.7212</f>
        <v>2149.9424679999997</v>
      </c>
      <c r="N120" s="31">
        <f>1.39*1546.7212</f>
        <v>2149.9424679999997</v>
      </c>
      <c r="O120" s="49">
        <v>112</v>
      </c>
      <c r="P120" s="56">
        <v>8.9999999999999998E-4</v>
      </c>
      <c r="Q120" s="56">
        <v>4.9200000000000001E-2</v>
      </c>
      <c r="R120" s="60">
        <f t="shared" si="43"/>
        <v>4.3196128760280327E-3</v>
      </c>
      <c r="S120" s="60">
        <f t="shared" si="44"/>
        <v>3.0450856328195297E-3</v>
      </c>
      <c r="T120" s="60">
        <f t="shared" si="45"/>
        <v>0</v>
      </c>
      <c r="U120" s="60">
        <f t="shared" si="46"/>
        <v>0</v>
      </c>
      <c r="V120" s="61">
        <f t="shared" si="47"/>
        <v>1.0000000000000286E-4</v>
      </c>
    </row>
    <row r="121" spans="1:24">
      <c r="A121" s="167">
        <v>106</v>
      </c>
      <c r="B121" s="168" t="s">
        <v>172</v>
      </c>
      <c r="C121" s="169" t="s">
        <v>90</v>
      </c>
      <c r="D121" s="31">
        <f>19924520*1542.0256</f>
        <v>30724119907.711998</v>
      </c>
      <c r="E121" s="32">
        <f t="shared" si="49"/>
        <v>1.7849641393728952E-2</v>
      </c>
      <c r="F121" s="31">
        <f>103.41*1542.0256</f>
        <v>159460.86729599998</v>
      </c>
      <c r="G121" s="31">
        <f>103.41*1542.0256</f>
        <v>159460.86729599998</v>
      </c>
      <c r="H121" s="34">
        <v>494</v>
      </c>
      <c r="I121" s="56">
        <v>1.6000000000000001E-3</v>
      </c>
      <c r="J121" s="53">
        <v>9.6500000000000002E-2</v>
      </c>
      <c r="K121" s="31">
        <f>20018916*1546.7212</f>
        <v>30963681778.2192</v>
      </c>
      <c r="L121" s="32">
        <f t="shared" si="42"/>
        <v>1.7810985590097875E-2</v>
      </c>
      <c r="M121" s="31">
        <f>103.61*1546.7212</f>
        <v>160255.783532</v>
      </c>
      <c r="N121" s="31">
        <f>103.61*1546.7212</f>
        <v>160255.783532</v>
      </c>
      <c r="O121" s="34">
        <v>501</v>
      </c>
      <c r="P121" s="56">
        <v>2E-3</v>
      </c>
      <c r="Q121" s="53">
        <v>9.9099999999999994E-2</v>
      </c>
      <c r="R121" s="60">
        <f t="shared" si="43"/>
        <v>7.7971922784701216E-3</v>
      </c>
      <c r="S121" s="60">
        <f t="shared" si="44"/>
        <v>4.9850239088719628E-3</v>
      </c>
      <c r="T121" s="60">
        <f t="shared" si="45"/>
        <v>1.417004048582996E-2</v>
      </c>
      <c r="U121" s="60">
        <f t="shared" si="46"/>
        <v>3.9999999999999996E-4</v>
      </c>
      <c r="V121" s="61">
        <f t="shared" si="47"/>
        <v>2.5999999999999912E-3</v>
      </c>
    </row>
    <row r="122" spans="1:24">
      <c r="A122" s="167">
        <v>107</v>
      </c>
      <c r="B122" s="168" t="s">
        <v>173</v>
      </c>
      <c r="C122" s="169" t="s">
        <v>45</v>
      </c>
      <c r="D122" s="31">
        <f>1701670.89*1542.0256</f>
        <v>2624020075.1547837</v>
      </c>
      <c r="E122" s="32">
        <f t="shared" si="49"/>
        <v>1.5244640852902645E-3</v>
      </c>
      <c r="F122" s="31">
        <f>136.80742*1542.0256</f>
        <v>210960.54390995202</v>
      </c>
      <c r="G122" s="31">
        <f>140.732873*1542.0256</f>
        <v>217013.69292754881</v>
      </c>
      <c r="H122" s="34">
        <v>48</v>
      </c>
      <c r="I122" s="53">
        <v>-6.6E-3</v>
      </c>
      <c r="J122" s="53">
        <v>3.9300000000000002E-2</v>
      </c>
      <c r="K122" s="31">
        <f>1714291.95*1546.7212</f>
        <v>2651531702.0543399</v>
      </c>
      <c r="L122" s="32">
        <f t="shared" si="42"/>
        <v>1.5252189088895115E-3</v>
      </c>
      <c r="M122" s="31">
        <f>137.744584*1546.7212</f>
        <v>213052.4682579808</v>
      </c>
      <c r="N122" s="31">
        <f>141.708771*1546.7212</f>
        <v>219183.96033164521</v>
      </c>
      <c r="O122" s="34">
        <v>49</v>
      </c>
      <c r="P122" s="53">
        <v>6.6E-3</v>
      </c>
      <c r="Q122" s="53">
        <v>4.6399999999999997E-2</v>
      </c>
      <c r="R122" s="60">
        <f t="shared" ref="R122:R123" si="50">((K122-D122)/D122)</f>
        <v>1.0484533696996706E-2</v>
      </c>
      <c r="S122" s="60">
        <f t="shared" ref="S122:S123" si="51">((N122-G122)/G122)</f>
        <v>1.0000601228517687E-2</v>
      </c>
      <c r="T122" s="60">
        <f t="shared" ref="T122:T123" si="52">((O122-H122)/H122)</f>
        <v>2.0833333333333332E-2</v>
      </c>
      <c r="U122" s="60">
        <f t="shared" ref="U122:U123" si="53">P122-I122</f>
        <v>1.32E-2</v>
      </c>
      <c r="V122" s="61">
        <f t="shared" ref="V122:V123" si="54">Q122-J122</f>
        <v>7.0999999999999952E-3</v>
      </c>
    </row>
    <row r="123" spans="1:24">
      <c r="A123" s="167">
        <v>108</v>
      </c>
      <c r="B123" s="168" t="s">
        <v>174</v>
      </c>
      <c r="C123" s="169" t="s">
        <v>52</v>
      </c>
      <c r="D123" s="35">
        <f>124287716.11*1543.03</f>
        <v>191779674589.21329</v>
      </c>
      <c r="E123" s="32">
        <f t="shared" si="49"/>
        <v>0.11141729782027832</v>
      </c>
      <c r="F123" s="31">
        <f>124.7422*1543.03</f>
        <v>192480.95686599999</v>
      </c>
      <c r="G123" s="31">
        <f>124.7422*1543.03</f>
        <v>192480.95686599999</v>
      </c>
      <c r="H123" s="34">
        <v>3450</v>
      </c>
      <c r="I123" s="53">
        <v>5.6000000000000001E-2</v>
      </c>
      <c r="J123" s="53">
        <v>5.9799999999999999E-2</v>
      </c>
      <c r="K123" s="35">
        <f>124633643.89*1547.58</f>
        <v>192880534611.28619</v>
      </c>
      <c r="L123" s="32">
        <f t="shared" si="42"/>
        <v>0.11094909343076095</v>
      </c>
      <c r="M123" s="31">
        <f>124.8847*1547.58</f>
        <v>193269.06402599998</v>
      </c>
      <c r="N123" s="31">
        <f>124.8847*1547.58</f>
        <v>193269.06402599998</v>
      </c>
      <c r="O123" s="34">
        <v>3450</v>
      </c>
      <c r="P123" s="53">
        <v>6.13E-2</v>
      </c>
      <c r="Q123" s="53">
        <v>6.0499999999999998E-2</v>
      </c>
      <c r="R123" s="60">
        <f t="shared" si="50"/>
        <v>5.740233027461945E-3</v>
      </c>
      <c r="S123" s="60">
        <f t="shared" si="51"/>
        <v>4.0944682156201237E-3</v>
      </c>
      <c r="T123" s="60">
        <f t="shared" si="52"/>
        <v>0</v>
      </c>
      <c r="U123" s="60">
        <f t="shared" si="53"/>
        <v>5.2999999999999992E-3</v>
      </c>
      <c r="V123" s="61">
        <f t="shared" si="54"/>
        <v>6.9999999999999923E-4</v>
      </c>
    </row>
    <row r="124" spans="1:24" ht="6" customHeight="1">
      <c r="A124" s="3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78"/>
      <c r="N124" s="178"/>
      <c r="O124" s="178"/>
      <c r="P124" s="178"/>
      <c r="Q124" s="178"/>
      <c r="R124" s="178"/>
      <c r="S124" s="178"/>
      <c r="T124" s="178"/>
      <c r="U124" s="178"/>
      <c r="V124" s="178"/>
    </row>
    <row r="125" spans="1:24">
      <c r="A125" s="179" t="s">
        <v>175</v>
      </c>
      <c r="B125" s="179"/>
      <c r="C125" s="179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</row>
    <row r="126" spans="1:24">
      <c r="A126" s="167">
        <v>109</v>
      </c>
      <c r="B126" s="168" t="s">
        <v>176</v>
      </c>
      <c r="C126" s="169" t="s">
        <v>119</v>
      </c>
      <c r="D126" s="35">
        <f>1184540.05*1542.0256</f>
        <v>1826591081.32528</v>
      </c>
      <c r="E126" s="32">
        <f t="shared" ref="E126:E137" si="55">(D126/$D$140)</f>
        <v>1.0611856701697087E-3</v>
      </c>
      <c r="F126" s="31">
        <f>109.07*1542.0256</f>
        <v>168188.732192</v>
      </c>
      <c r="G126" s="31">
        <f>109.07*1542.0256</f>
        <v>168188.732192</v>
      </c>
      <c r="H126" s="34">
        <v>22</v>
      </c>
      <c r="I126" s="53">
        <v>-6.4000000000000005E-4</v>
      </c>
      <c r="J126" s="53">
        <v>6.6E-3</v>
      </c>
      <c r="K126" s="35">
        <f>1184540.05*1546.7212</f>
        <v>1832153207.58406</v>
      </c>
      <c r="L126" s="32">
        <f t="shared" ref="L126:L139" si="56">(K126/$K$140)</f>
        <v>1.0538945146402439E-3</v>
      </c>
      <c r="M126" s="31">
        <f>110.3*1546.7212</f>
        <v>170603.34836</v>
      </c>
      <c r="N126" s="31">
        <f>110.3*1546.7212</f>
        <v>170603.34836</v>
      </c>
      <c r="O126" s="34">
        <v>22</v>
      </c>
      <c r="P126" s="53">
        <v>1.0999E-2</v>
      </c>
      <c r="Q126" s="53">
        <v>1.54E-2</v>
      </c>
      <c r="R126" s="60">
        <f>((K126-D126)/D126)</f>
        <v>3.0450856328195866E-3</v>
      </c>
      <c r="S126" s="60">
        <f>((N126-G126)/G126)</f>
        <v>1.4356587011093842E-2</v>
      </c>
      <c r="T126" s="60">
        <f>((O126-H126)/H126)</f>
        <v>0</v>
      </c>
      <c r="U126" s="60">
        <f>P126-I126</f>
        <v>1.1639E-2</v>
      </c>
      <c r="V126" s="61">
        <f>Q126-J126</f>
        <v>8.8000000000000005E-3</v>
      </c>
    </row>
    <row r="127" spans="1:24">
      <c r="A127" s="167">
        <v>110</v>
      </c>
      <c r="B127" s="169" t="s">
        <v>177</v>
      </c>
      <c r="C127" s="169" t="s">
        <v>25</v>
      </c>
      <c r="D127" s="31">
        <f>10926436.82*1542.0256</f>
        <v>16848845293.222591</v>
      </c>
      <c r="E127" s="32">
        <f t="shared" si="55"/>
        <v>9.7885910901861686E-3</v>
      </c>
      <c r="F127" s="35">
        <f>133.94*1542.0256</f>
        <v>206538.908864</v>
      </c>
      <c r="G127" s="35">
        <f>133.94*1542.0256</f>
        <v>206538.908864</v>
      </c>
      <c r="H127" s="34">
        <v>509</v>
      </c>
      <c r="I127" s="53">
        <v>5.0000000000000001E-4</v>
      </c>
      <c r="J127" s="53">
        <v>1.4E-3</v>
      </c>
      <c r="K127" s="31">
        <f>11124393.13*1546.7212</f>
        <v>17206334691.305355</v>
      </c>
      <c r="L127" s="32">
        <f t="shared" si="56"/>
        <v>9.8974592698732426E-3</v>
      </c>
      <c r="M127" s="35">
        <f>134.08*1546.7212</f>
        <v>207384.37849600002</v>
      </c>
      <c r="N127" s="35">
        <f>134.08*1546.7212</f>
        <v>207384.37849600002</v>
      </c>
      <c r="O127" s="34">
        <v>513</v>
      </c>
      <c r="P127" s="53">
        <v>5.0000000000000001E-4</v>
      </c>
      <c r="Q127" s="53">
        <v>2.5000000000000001E-3</v>
      </c>
      <c r="R127" s="60">
        <f t="shared" ref="R127:R140" si="57">((K127-D127)/D127)</f>
        <v>2.1217442018211359E-2</v>
      </c>
      <c r="S127" s="60">
        <f t="shared" ref="S127:S140" si="58">((N127-G127)/G127)</f>
        <v>4.093512629897449E-3</v>
      </c>
      <c r="T127" s="60">
        <f t="shared" ref="T127:T140" si="59">((O127-H127)/H127)</f>
        <v>7.8585461689587421E-3</v>
      </c>
      <c r="U127" s="60">
        <f t="shared" ref="U127:U140" si="60">P127-I127</f>
        <v>0</v>
      </c>
      <c r="V127" s="61">
        <f t="shared" ref="V127:V140" si="61">Q127-J127</f>
        <v>1.1000000000000001E-3</v>
      </c>
    </row>
    <row r="128" spans="1:24">
      <c r="A128" s="167">
        <v>111</v>
      </c>
      <c r="B128" s="168" t="s">
        <v>178</v>
      </c>
      <c r="C128" s="169" t="s">
        <v>67</v>
      </c>
      <c r="D128" s="35">
        <v>16018212116.370001</v>
      </c>
      <c r="E128" s="32">
        <f t="shared" si="55"/>
        <v>9.3060222035561239E-3</v>
      </c>
      <c r="F128" s="35" t="s">
        <v>300</v>
      </c>
      <c r="G128" s="35" t="s">
        <v>301</v>
      </c>
      <c r="H128" s="34">
        <v>650</v>
      </c>
      <c r="I128" s="53">
        <v>1.2999999999999999E-3</v>
      </c>
      <c r="J128" s="53">
        <v>6.4699999999999994E-2</v>
      </c>
      <c r="K128" s="35">
        <v>16083041316.629999</v>
      </c>
      <c r="L128" s="32">
        <f t="shared" si="56"/>
        <v>9.2513164031076799E-3</v>
      </c>
      <c r="M128" s="35">
        <v>181252.72</v>
      </c>
      <c r="N128" s="35">
        <v>181252.72</v>
      </c>
      <c r="O128" s="34">
        <v>654</v>
      </c>
      <c r="P128" s="53">
        <v>1.5E-3</v>
      </c>
      <c r="Q128" s="53">
        <v>6.2399999999999997E-2</v>
      </c>
      <c r="R128" s="60">
        <f t="shared" si="57"/>
        <v>4.047218240651549E-3</v>
      </c>
      <c r="S128" s="60" t="e">
        <f t="shared" si="58"/>
        <v>#VALUE!</v>
      </c>
      <c r="T128" s="60">
        <f t="shared" si="59"/>
        <v>6.1538461538461538E-3</v>
      </c>
      <c r="U128" s="60">
        <f t="shared" si="60"/>
        <v>2.0000000000000009E-4</v>
      </c>
      <c r="V128" s="61">
        <f t="shared" si="61"/>
        <v>-2.2999999999999965E-3</v>
      </c>
    </row>
    <row r="129" spans="1:24">
      <c r="A129" s="167">
        <v>112</v>
      </c>
      <c r="B129" s="168" t="s">
        <v>179</v>
      </c>
      <c r="C129" s="169" t="s">
        <v>65</v>
      </c>
      <c r="D129" s="35">
        <v>6505003520.1904087</v>
      </c>
      <c r="E129" s="32">
        <f t="shared" si="55"/>
        <v>3.7791800204242214E-3</v>
      </c>
      <c r="F129" s="35">
        <v>1960.495222518507</v>
      </c>
      <c r="G129" s="35">
        <v>1960.495222518507</v>
      </c>
      <c r="H129" s="34">
        <v>225</v>
      </c>
      <c r="I129" s="53">
        <v>5.6903819247432132E-2</v>
      </c>
      <c r="J129" s="53">
        <v>5.6961825781649329E-2</v>
      </c>
      <c r="K129" s="35">
        <v>6595477421.7017374</v>
      </c>
      <c r="L129" s="32">
        <f t="shared" si="56"/>
        <v>3.7938625696760288E-3</v>
      </c>
      <c r="M129" s="35">
        <v>1968.9777620981233</v>
      </c>
      <c r="N129" s="35">
        <v>1968.9777620981233</v>
      </c>
      <c r="O129" s="34">
        <v>344</v>
      </c>
      <c r="P129" s="53">
        <v>5.6060227180928443E-2</v>
      </c>
      <c r="Q129" s="53">
        <v>5.6626603554049262E-2</v>
      </c>
      <c r="R129" s="60">
        <f t="shared" si="57"/>
        <v>1.3908355503653966E-2</v>
      </c>
      <c r="S129" s="60">
        <f t="shared" si="58"/>
        <v>4.3267331040569325E-3</v>
      </c>
      <c r="T129" s="60">
        <f t="shared" si="59"/>
        <v>0.52888888888888885</v>
      </c>
      <c r="U129" s="60">
        <f t="shared" si="60"/>
        <v>-8.4359206650368862E-4</v>
      </c>
      <c r="V129" s="61">
        <f t="shared" si="61"/>
        <v>-3.3522222760006687E-4</v>
      </c>
    </row>
    <row r="130" spans="1:24">
      <c r="A130" s="167">
        <v>113</v>
      </c>
      <c r="B130" s="168" t="s">
        <v>180</v>
      </c>
      <c r="C130" s="169" t="s">
        <v>37</v>
      </c>
      <c r="D130" s="35">
        <v>74712613319.099991</v>
      </c>
      <c r="E130" s="32">
        <f t="shared" si="55"/>
        <v>4.3405420866084093E-2</v>
      </c>
      <c r="F130" s="35">
        <f>100*1535</f>
        <v>153500</v>
      </c>
      <c r="G130" s="35">
        <f>100*1535</f>
        <v>153500</v>
      </c>
      <c r="H130" s="34">
        <v>1863</v>
      </c>
      <c r="I130" s="53">
        <v>4.87E-2</v>
      </c>
      <c r="J130" s="53">
        <v>4.4180900000000002E-2</v>
      </c>
      <c r="K130" s="35">
        <v>75340592640.850006</v>
      </c>
      <c r="L130" s="32">
        <f t="shared" si="56"/>
        <v>4.3337553314462103E-2</v>
      </c>
      <c r="M130" s="35">
        <f>100*1535</f>
        <v>153500</v>
      </c>
      <c r="N130" s="35">
        <f>100*1535</f>
        <v>153500</v>
      </c>
      <c r="O130" s="34">
        <v>1879</v>
      </c>
      <c r="P130" s="53">
        <v>5.0299999999999997E-2</v>
      </c>
      <c r="Q130" s="53">
        <v>4.6716500000000001E-2</v>
      </c>
      <c r="R130" s="60">
        <f t="shared" si="57"/>
        <v>8.4052651065476078E-3</v>
      </c>
      <c r="S130" s="60">
        <f t="shared" si="58"/>
        <v>0</v>
      </c>
      <c r="T130" s="60">
        <f t="shared" si="59"/>
        <v>8.5882984433709071E-3</v>
      </c>
      <c r="U130" s="60">
        <f t="shared" si="60"/>
        <v>1.5999999999999973E-3</v>
      </c>
      <c r="V130" s="61">
        <f t="shared" si="61"/>
        <v>2.535599999999999E-3</v>
      </c>
    </row>
    <row r="131" spans="1:24" ht="15.6">
      <c r="A131" s="170">
        <v>114</v>
      </c>
      <c r="B131" s="168" t="s">
        <v>181</v>
      </c>
      <c r="C131" s="169" t="s">
        <v>136</v>
      </c>
      <c r="D131" s="35">
        <f>1047966.96*1542.0256</f>
        <v>1615991880.2741759</v>
      </c>
      <c r="E131" s="32">
        <f t="shared" si="55"/>
        <v>9.388348842770763E-4</v>
      </c>
      <c r="F131" s="35">
        <f>1.1*1542.0256</f>
        <v>1696.2281600000001</v>
      </c>
      <c r="G131" s="35">
        <f>1.1*1542.0256</f>
        <v>1696.2281600000001</v>
      </c>
      <c r="H131" s="34">
        <v>38</v>
      </c>
      <c r="I131" s="53">
        <v>1.8E-3</v>
      </c>
      <c r="J131" s="53">
        <v>0.1028</v>
      </c>
      <c r="K131" s="35">
        <f>1072881.29*1546.7212</f>
        <v>1659448236.3263481</v>
      </c>
      <c r="L131" s="32">
        <f t="shared" si="56"/>
        <v>9.5455084561399926E-4</v>
      </c>
      <c r="M131" s="35">
        <f>1.1013*1546.7212</f>
        <v>1703.40405756</v>
      </c>
      <c r="N131" s="35">
        <f>1.1013*1546.7212</f>
        <v>1703.40405756</v>
      </c>
      <c r="O131" s="34">
        <v>38</v>
      </c>
      <c r="P131" s="53">
        <v>9.9599999999999994E-2</v>
      </c>
      <c r="Q131" s="53">
        <v>9.9599999999999994E-2</v>
      </c>
      <c r="R131" s="60">
        <f t="shared" si="57"/>
        <v>2.689144455651547E-2</v>
      </c>
      <c r="S131" s="60">
        <f t="shared" si="58"/>
        <v>4.2305025522037312E-3</v>
      </c>
      <c r="T131" s="60">
        <f t="shared" si="59"/>
        <v>0</v>
      </c>
      <c r="U131" s="60">
        <f t="shared" si="60"/>
        <v>9.7799999999999998E-2</v>
      </c>
      <c r="V131" s="61">
        <f t="shared" si="61"/>
        <v>-3.2000000000000084E-3</v>
      </c>
      <c r="X131" s="70"/>
    </row>
    <row r="132" spans="1:24" ht="15.6">
      <c r="A132" s="167">
        <v>115</v>
      </c>
      <c r="B132" s="168" t="s">
        <v>182</v>
      </c>
      <c r="C132" s="169" t="s">
        <v>43</v>
      </c>
      <c r="D132" s="31">
        <f>2638856.19*1542.0256</f>
        <v>4069183799.6984639</v>
      </c>
      <c r="E132" s="32">
        <f t="shared" si="55"/>
        <v>2.3640537729953783E-3</v>
      </c>
      <c r="F132" s="35">
        <f>10.64755*1542.0256</f>
        <v>16418.794677279999</v>
      </c>
      <c r="G132" s="35">
        <f>10.63713*1542.0256</f>
        <v>16402.726770527999</v>
      </c>
      <c r="H132" s="34">
        <v>68</v>
      </c>
      <c r="I132" s="53">
        <v>7.7399999999999997E-2</v>
      </c>
      <c r="J132" s="53">
        <v>9.5600000000000004E-2</v>
      </c>
      <c r="K132" s="31">
        <f>2703911.43*1546.7212</f>
        <v>4182197131.7033162</v>
      </c>
      <c r="L132" s="32">
        <f t="shared" si="56"/>
        <v>2.4056910732145006E-3</v>
      </c>
      <c r="M132" s="35">
        <f>10.66*1546.7212</f>
        <v>16488.047992</v>
      </c>
      <c r="N132" s="35">
        <f>10.66*1546.7212</f>
        <v>16488.047992</v>
      </c>
      <c r="O132" s="34">
        <v>68</v>
      </c>
      <c r="P132" s="53">
        <v>7.46E-2</v>
      </c>
      <c r="Q132" s="53">
        <v>9.4299999999999995E-2</v>
      </c>
      <c r="R132" s="60">
        <f t="shared" si="57"/>
        <v>2.7772973050081161E-2</v>
      </c>
      <c r="S132" s="60">
        <f t="shared" si="58"/>
        <v>5.2016486444987674E-3</v>
      </c>
      <c r="T132" s="60">
        <f t="shared" si="59"/>
        <v>0</v>
      </c>
      <c r="U132" s="60">
        <f t="shared" si="60"/>
        <v>-2.7999999999999969E-3</v>
      </c>
      <c r="V132" s="61">
        <f t="shared" si="61"/>
        <v>-1.3000000000000095E-3</v>
      </c>
      <c r="X132" s="70"/>
    </row>
    <row r="133" spans="1:24" ht="15.6">
      <c r="A133" s="167">
        <v>116</v>
      </c>
      <c r="B133" s="169" t="s">
        <v>183</v>
      </c>
      <c r="C133" s="188" t="s">
        <v>47</v>
      </c>
      <c r="D133" s="35">
        <v>24505445231.849998</v>
      </c>
      <c r="E133" s="32">
        <f t="shared" si="55"/>
        <v>1.4236808438974789E-2</v>
      </c>
      <c r="F133" s="35">
        <f>1.049*1542.0256</f>
        <v>1617.5848543999998</v>
      </c>
      <c r="G133" s="35">
        <f>1.049*1542.0256</f>
        <v>1617.5848543999998</v>
      </c>
      <c r="H133" s="34">
        <v>460</v>
      </c>
      <c r="I133" s="53">
        <v>6.4000000000000003E-3</v>
      </c>
      <c r="J133" s="53">
        <v>7.1000000000000004E-3</v>
      </c>
      <c r="K133" s="35">
        <v>24954276708.630001</v>
      </c>
      <c r="L133" s="32">
        <f t="shared" si="56"/>
        <v>1.4354244629311844E-2</v>
      </c>
      <c r="M133" s="35">
        <f>1.0632*1546.7212</f>
        <v>1644.4739798399999</v>
      </c>
      <c r="N133" s="35">
        <f>1.0632*1546.7212</f>
        <v>1644.4739798399999</v>
      </c>
      <c r="O133" s="34">
        <v>460</v>
      </c>
      <c r="P133" s="53">
        <v>3.85E-2</v>
      </c>
      <c r="Q133" s="53">
        <v>2.0299999999999999E-2</v>
      </c>
      <c r="R133" s="60">
        <f t="shared" si="57"/>
        <v>1.8315581395625953E-2</v>
      </c>
      <c r="S133" s="60">
        <f t="shared" si="58"/>
        <v>1.662300766903128E-2</v>
      </c>
      <c r="T133" s="60">
        <f t="shared" si="59"/>
        <v>0</v>
      </c>
      <c r="U133" s="60">
        <f t="shared" si="60"/>
        <v>3.2099999999999997E-2</v>
      </c>
      <c r="V133" s="61">
        <f t="shared" si="61"/>
        <v>1.3199999999999998E-2</v>
      </c>
      <c r="X133" s="70"/>
    </row>
    <row r="134" spans="1:24">
      <c r="A134" s="167">
        <v>117</v>
      </c>
      <c r="B134" s="168" t="s">
        <v>184</v>
      </c>
      <c r="C134" s="169" t="s">
        <v>92</v>
      </c>
      <c r="D134" s="31">
        <f>340186.3*1551.67</f>
        <v>527856876.12099999</v>
      </c>
      <c r="E134" s="32">
        <f t="shared" si="55"/>
        <v>3.0666642280642988E-4</v>
      </c>
      <c r="F134" s="35">
        <f>1.12*1551.67</f>
        <v>1737.8704000000002</v>
      </c>
      <c r="G134" s="35">
        <f>1.12*1551.67</f>
        <v>1737.8704000000002</v>
      </c>
      <c r="H134" s="34">
        <v>3</v>
      </c>
      <c r="I134" s="53">
        <v>6.5779999999999996E-3</v>
      </c>
      <c r="J134" s="53">
        <v>8.6479999999999994E-3</v>
      </c>
      <c r="K134" s="31">
        <f>341076.69*1556.71</f>
        <v>530957494.08990002</v>
      </c>
      <c r="L134" s="32">
        <f t="shared" si="56"/>
        <v>3.0541833958653918E-4</v>
      </c>
      <c r="M134" s="35">
        <f>1.12*1556.71</f>
        <v>1743.5152000000003</v>
      </c>
      <c r="N134" s="35">
        <f>1.12*1556.71</f>
        <v>1743.5152000000003</v>
      </c>
      <c r="O134" s="34">
        <v>3</v>
      </c>
      <c r="P134" s="53">
        <v>2.617E-3</v>
      </c>
      <c r="Q134" s="53">
        <v>1.1287999999999999E-2</v>
      </c>
      <c r="R134" s="60">
        <f t="shared" si="57"/>
        <v>5.8739747631690866E-3</v>
      </c>
      <c r="S134" s="60">
        <f t="shared" si="58"/>
        <v>3.2481133230648448E-3</v>
      </c>
      <c r="T134" s="60">
        <f t="shared" si="59"/>
        <v>0</v>
      </c>
      <c r="U134" s="60">
        <f t="shared" si="60"/>
        <v>-3.9609999999999992E-3</v>
      </c>
      <c r="V134" s="61">
        <f t="shared" si="61"/>
        <v>2.64E-3</v>
      </c>
    </row>
    <row r="135" spans="1:24">
      <c r="A135" s="167">
        <v>118</v>
      </c>
      <c r="B135" s="168" t="s">
        <v>185</v>
      </c>
      <c r="C135" s="169" t="s">
        <v>49</v>
      </c>
      <c r="D135" s="31">
        <v>980564540874.93005</v>
      </c>
      <c r="E135" s="32">
        <f t="shared" si="55"/>
        <v>0.56967377651818929</v>
      </c>
      <c r="F135" s="35">
        <v>2447.91</v>
      </c>
      <c r="G135" s="35">
        <v>2447.91</v>
      </c>
      <c r="H135" s="34">
        <v>9403</v>
      </c>
      <c r="I135" s="53">
        <v>1.2999999999999999E-3</v>
      </c>
      <c r="J135" s="53">
        <v>1.9E-3</v>
      </c>
      <c r="K135" s="31">
        <v>987260522944.62</v>
      </c>
      <c r="L135" s="32">
        <f t="shared" si="56"/>
        <v>0.56789380131817202</v>
      </c>
      <c r="M135" s="35">
        <v>2458.98</v>
      </c>
      <c r="N135" s="35">
        <v>2458.98</v>
      </c>
      <c r="O135" s="34">
        <v>9494</v>
      </c>
      <c r="P135" s="53">
        <v>1.2999999999999999E-3</v>
      </c>
      <c r="Q135" s="53">
        <v>3.2000000000000002E-3</v>
      </c>
      <c r="R135" s="60">
        <f t="shared" si="57"/>
        <v>6.8287010090282334E-3</v>
      </c>
      <c r="S135" s="60">
        <f t="shared" si="58"/>
        <v>4.5222250818045453E-3</v>
      </c>
      <c r="T135" s="60">
        <f t="shared" si="59"/>
        <v>9.6777624162501328E-3</v>
      </c>
      <c r="U135" s="60">
        <f t="shared" si="60"/>
        <v>0</v>
      </c>
      <c r="V135" s="61">
        <f t="shared" si="61"/>
        <v>1.3000000000000002E-3</v>
      </c>
    </row>
    <row r="136" spans="1:24">
      <c r="A136" s="167">
        <v>119</v>
      </c>
      <c r="B136" s="168" t="s">
        <v>297</v>
      </c>
      <c r="C136" s="168" t="s">
        <v>102</v>
      </c>
      <c r="D136" s="31">
        <f>202933.76*1542.0256</f>
        <v>312929053.02425599</v>
      </c>
      <c r="E136" s="32">
        <f t="shared" si="55"/>
        <v>1.8180085857431229E-4</v>
      </c>
      <c r="F136" s="35">
        <f>100.11*1542.0256</f>
        <v>154372.18281599999</v>
      </c>
      <c r="G136" s="35">
        <f>100.11*1542.0256</f>
        <v>154372.18281599999</v>
      </c>
      <c r="H136" s="34">
        <v>2</v>
      </c>
      <c r="I136" s="53">
        <v>0</v>
      </c>
      <c r="J136" s="53">
        <v>8.4000000000000005E-2</v>
      </c>
      <c r="K136" s="31">
        <f>203260.93*1546.7212</f>
        <v>314387989.56271601</v>
      </c>
      <c r="L136" s="32">
        <f t="shared" si="56"/>
        <v>1.808428336109654E-4</v>
      </c>
      <c r="M136" s="35">
        <f>100.2765*1546.7212</f>
        <v>155099.78841179999</v>
      </c>
      <c r="N136" s="35">
        <f>100.2765*1546.7212</f>
        <v>155099.78841179999</v>
      </c>
      <c r="O136" s="34">
        <v>2</v>
      </c>
      <c r="P136" s="53">
        <v>0</v>
      </c>
      <c r="Q136" s="53">
        <v>0</v>
      </c>
      <c r="R136" s="60">
        <f t="shared" ref="R136" si="62">((K136-D136)/D136)</f>
        <v>4.6621958695120909E-3</v>
      </c>
      <c r="S136" s="60">
        <f t="shared" ref="S136" si="63">((N136-G136)/G136)</f>
        <v>4.7133206418882995E-3</v>
      </c>
      <c r="T136" s="60">
        <f t="shared" ref="T136" si="64">((O136-H136)/H136)</f>
        <v>0</v>
      </c>
      <c r="U136" s="60">
        <f t="shared" ref="U136" si="65">P136-I136</f>
        <v>0</v>
      </c>
      <c r="V136" s="61">
        <f t="shared" ref="V136" si="66">Q136-J136</f>
        <v>-8.4000000000000005E-2</v>
      </c>
    </row>
    <row r="137" spans="1:24" ht="16.5" customHeight="1">
      <c r="A137" s="167">
        <v>120</v>
      </c>
      <c r="B137" s="168" t="s">
        <v>186</v>
      </c>
      <c r="C137" s="169" t="s">
        <v>52</v>
      </c>
      <c r="D137" s="31">
        <f>102046898.14*1543.03</f>
        <v>157461425236.9642</v>
      </c>
      <c r="E137" s="32">
        <f t="shared" si="55"/>
        <v>9.1479592654492348E-2</v>
      </c>
      <c r="F137" s="35">
        <f>1.1717*1543.03</f>
        <v>1807.968251</v>
      </c>
      <c r="G137" s="35">
        <f>1.1717*1543.03</f>
        <v>1807.968251</v>
      </c>
      <c r="H137" s="34">
        <v>513</v>
      </c>
      <c r="I137" s="53">
        <v>9.8000000000000004E-2</v>
      </c>
      <c r="J137" s="53">
        <v>9.8100000000000007E-2</v>
      </c>
      <c r="K137" s="31">
        <f>104500878.29*1547.58</f>
        <v>161723469224.03821</v>
      </c>
      <c r="L137" s="32">
        <f t="shared" si="56"/>
        <v>9.3026869367846987E-2</v>
      </c>
      <c r="M137" s="35">
        <f>1.1738*1547.58</f>
        <v>1816.5494039999999</v>
      </c>
      <c r="N137" s="35">
        <f>1.1738*1547.58</f>
        <v>1816.5494039999999</v>
      </c>
      <c r="O137" s="34">
        <v>513</v>
      </c>
      <c r="P137" s="53">
        <v>9.7799999999999998E-2</v>
      </c>
      <c r="Q137" s="53">
        <v>9.2299999999999993E-2</v>
      </c>
      <c r="R137" s="60">
        <f t="shared" si="57"/>
        <v>2.7067226024786971E-2</v>
      </c>
      <c r="S137" s="60">
        <f t="shared" si="58"/>
        <v>4.7462962888057143E-3</v>
      </c>
      <c r="T137" s="60">
        <f t="shared" si="59"/>
        <v>0</v>
      </c>
      <c r="U137" s="60">
        <f t="shared" si="60"/>
        <v>-2.0000000000000573E-4</v>
      </c>
      <c r="V137" s="61">
        <f t="shared" si="61"/>
        <v>-5.8000000000000135E-3</v>
      </c>
    </row>
    <row r="138" spans="1:24" ht="16.5" customHeight="1">
      <c r="A138" s="167">
        <v>121</v>
      </c>
      <c r="B138" s="168" t="s">
        <v>187</v>
      </c>
      <c r="C138" s="169" t="s">
        <v>97</v>
      </c>
      <c r="D138" s="35">
        <v>711203233.78292584</v>
      </c>
      <c r="E138" s="32">
        <v>0</v>
      </c>
      <c r="F138" s="35">
        <v>160054.7605</v>
      </c>
      <c r="G138" s="35">
        <v>160054.7605</v>
      </c>
      <c r="H138" s="34">
        <v>21</v>
      </c>
      <c r="I138" s="53">
        <v>1E-3</v>
      </c>
      <c r="J138" s="53">
        <v>7.1300000000000002E-2</v>
      </c>
      <c r="K138" s="35">
        <v>714215591.1982559</v>
      </c>
      <c r="L138" s="32">
        <f t="shared" si="56"/>
        <v>4.1083239694071616E-4</v>
      </c>
      <c r="M138" s="35">
        <v>160730.3075</v>
      </c>
      <c r="N138" s="35">
        <v>160730.3075</v>
      </c>
      <c r="O138" s="34">
        <v>21</v>
      </c>
      <c r="P138" s="53">
        <v>1E-3</v>
      </c>
      <c r="Q138" s="53">
        <v>7.1400000000000005E-2</v>
      </c>
      <c r="R138" s="60">
        <f t="shared" si="57"/>
        <v>4.2355789066188176E-3</v>
      </c>
      <c r="S138" s="60">
        <f t="shared" si="58"/>
        <v>4.2207241939548022E-3</v>
      </c>
      <c r="T138" s="60">
        <f t="shared" si="59"/>
        <v>0</v>
      </c>
      <c r="U138" s="60">
        <f t="shared" si="60"/>
        <v>0</v>
      </c>
      <c r="V138" s="61">
        <f t="shared" si="61"/>
        <v>1.0000000000000286E-4</v>
      </c>
    </row>
    <row r="139" spans="1:24">
      <c r="A139" s="167">
        <v>122</v>
      </c>
      <c r="B139" s="168" t="s">
        <v>188</v>
      </c>
      <c r="C139" s="169" t="s">
        <v>111</v>
      </c>
      <c r="D139" s="35">
        <f>1111811.42*1542.0256</f>
        <v>1714441672.0123518</v>
      </c>
      <c r="E139" s="32">
        <f>(D139/$D$140)</f>
        <v>9.9603077737644681E-4</v>
      </c>
      <c r="F139" s="35">
        <f>1.2587*1542.0256</f>
        <v>1940.9476227199998</v>
      </c>
      <c r="G139" s="35">
        <f>1.2587*1542.0256</f>
        <v>1940.9476227199998</v>
      </c>
      <c r="H139" s="34">
        <v>70</v>
      </c>
      <c r="I139" s="53">
        <v>8.0920000000000002E-3</v>
      </c>
      <c r="J139" s="53">
        <v>1.2161E-2</v>
      </c>
      <c r="K139" s="35">
        <f>1114224.83*1546.7212</f>
        <v>1723395166.1273961</v>
      </c>
      <c r="L139" s="32">
        <f t="shared" si="56"/>
        <v>9.913345153783179E-4</v>
      </c>
      <c r="M139" s="35">
        <f>1.2598*1546.7212</f>
        <v>1948.55936776</v>
      </c>
      <c r="N139" s="35">
        <f>1.2598*1546.7212</f>
        <v>1948.55936776</v>
      </c>
      <c r="O139" s="34">
        <v>71</v>
      </c>
      <c r="P139" s="53">
        <v>1.2509999999999999E-3</v>
      </c>
      <c r="Q139" s="53">
        <v>1.3091999999999999E-2</v>
      </c>
      <c r="R139" s="60">
        <f t="shared" si="57"/>
        <v>5.2223964578130304E-3</v>
      </c>
      <c r="S139" s="60">
        <f t="shared" si="58"/>
        <v>3.9216643205102365E-3</v>
      </c>
      <c r="T139" s="60">
        <f t="shared" si="59"/>
        <v>1.4285714285714285E-2</v>
      </c>
      <c r="U139" s="60">
        <f t="shared" si="60"/>
        <v>-6.8409999999999999E-3</v>
      </c>
      <c r="V139" s="61">
        <f t="shared" si="61"/>
        <v>9.3099999999999954E-4</v>
      </c>
    </row>
    <row r="140" spans="1:24">
      <c r="A140" s="38"/>
      <c r="B140" s="39"/>
      <c r="C140" s="74" t="s">
        <v>53</v>
      </c>
      <c r="D140" s="51">
        <f>SUM(D108:D139)</f>
        <v>1721273790884.4595</v>
      </c>
      <c r="E140" s="42">
        <f>(D140/$D$210)</f>
        <v>0.43427561714222906</v>
      </c>
      <c r="F140" s="43"/>
      <c r="G140" s="48"/>
      <c r="H140" s="45">
        <f>SUM(H108:H139)</f>
        <v>19656</v>
      </c>
      <c r="I140" s="83"/>
      <c r="J140" s="83"/>
      <c r="K140" s="51">
        <f>SUM(K108:K139)</f>
        <v>1738459762464.4448</v>
      </c>
      <c r="L140" s="42">
        <f>(K140/$K$210)</f>
        <v>0.43248434650579354</v>
      </c>
      <c r="M140" s="43"/>
      <c r="N140" s="48"/>
      <c r="O140" s="45">
        <f>SUM(O108:O139)</f>
        <v>22211</v>
      </c>
      <c r="P140" s="83"/>
      <c r="Q140" s="83"/>
      <c r="R140" s="60">
        <f t="shared" si="57"/>
        <v>9.9844496970784118E-3</v>
      </c>
      <c r="S140" s="60" t="e">
        <f t="shared" si="58"/>
        <v>#DIV/0!</v>
      </c>
      <c r="T140" s="60">
        <f t="shared" si="59"/>
        <v>0.12998575498575499</v>
      </c>
      <c r="U140" s="60">
        <f t="shared" si="60"/>
        <v>0</v>
      </c>
      <c r="V140" s="61">
        <f t="shared" si="61"/>
        <v>0</v>
      </c>
    </row>
    <row r="141" spans="1:24" ht="6" customHeight="1">
      <c r="A141" s="3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78"/>
      <c r="N141" s="178"/>
      <c r="O141" s="178"/>
      <c r="P141" s="178"/>
      <c r="Q141" s="178"/>
      <c r="R141" s="178"/>
      <c r="S141" s="178"/>
      <c r="T141" s="178"/>
      <c r="U141" s="178"/>
      <c r="V141" s="178"/>
    </row>
    <row r="142" spans="1:24">
      <c r="A142" s="180" t="s">
        <v>189</v>
      </c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  <c r="S142" s="180"/>
      <c r="T142" s="180"/>
      <c r="U142" s="180"/>
      <c r="V142" s="180"/>
    </row>
    <row r="143" spans="1:24">
      <c r="A143" s="167">
        <v>123</v>
      </c>
      <c r="B143" s="168" t="s">
        <v>190</v>
      </c>
      <c r="C143" s="169" t="s">
        <v>191</v>
      </c>
      <c r="D143" s="75">
        <v>2247123303.6224866</v>
      </c>
      <c r="E143" s="32">
        <f>(D143/$D$148)</f>
        <v>2.2289677827863504E-2</v>
      </c>
      <c r="F143" s="63">
        <v>105.89647990680898</v>
      </c>
      <c r="G143" s="63">
        <v>105.89647990680898</v>
      </c>
      <c r="H143" s="34">
        <v>7</v>
      </c>
      <c r="I143" s="53">
        <v>3.4520152677553801E-3</v>
      </c>
      <c r="J143" s="53">
        <v>4.88857070512436E-3</v>
      </c>
      <c r="K143" s="75">
        <v>2254764240.4400001</v>
      </c>
      <c r="L143" s="32">
        <f>(K143/$K$148)</f>
        <v>2.2358002489986064E-2</v>
      </c>
      <c r="M143" s="63">
        <v>106.25656175494697</v>
      </c>
      <c r="N143" s="63">
        <v>106.25656175494697</v>
      </c>
      <c r="O143" s="34">
        <v>7</v>
      </c>
      <c r="P143" s="53">
        <v>3.4003193350229388E-3</v>
      </c>
      <c r="Q143" s="53">
        <v>8.2888900401472988E-3</v>
      </c>
      <c r="R143" s="60">
        <f t="shared" ref="R143:R148" si="67">((K143-D143)/D143)</f>
        <v>3.4003193350341989E-3</v>
      </c>
      <c r="S143" s="60">
        <f t="shared" ref="S143:T148" si="68">((N143-G143)/G143)</f>
        <v>3.4003193350229757E-3</v>
      </c>
      <c r="T143" s="60">
        <f t="shared" si="68"/>
        <v>0</v>
      </c>
      <c r="U143" s="60">
        <f t="shared" ref="U143:V148" si="69">P143-I143</f>
        <v>-5.1695932732441236E-5</v>
      </c>
      <c r="V143" s="61">
        <f t="shared" si="69"/>
        <v>3.4003193350229388E-3</v>
      </c>
    </row>
    <row r="144" spans="1:24">
      <c r="A144" s="167">
        <v>124</v>
      </c>
      <c r="B144" s="168" t="s">
        <v>192</v>
      </c>
      <c r="C144" s="169" t="s">
        <v>47</v>
      </c>
      <c r="D144" s="31">
        <v>54160728474</v>
      </c>
      <c r="E144" s="32">
        <f>(D144/$D$148)</f>
        <v>0.53723139565227229</v>
      </c>
      <c r="F144" s="63">
        <v>102.07</v>
      </c>
      <c r="G144" s="63">
        <v>102.07</v>
      </c>
      <c r="H144" s="34">
        <v>645</v>
      </c>
      <c r="I144" s="53">
        <v>8.3900000000000002E-2</v>
      </c>
      <c r="J144" s="53">
        <v>8.3900000000000002E-2</v>
      </c>
      <c r="K144" s="31">
        <v>54160728474</v>
      </c>
      <c r="L144" s="32">
        <f>(K144/$K$148)</f>
        <v>0.5370520253793134</v>
      </c>
      <c r="M144" s="63">
        <v>102.07</v>
      </c>
      <c r="N144" s="63">
        <v>102.07</v>
      </c>
      <c r="O144" s="34">
        <v>645</v>
      </c>
      <c r="P144" s="53">
        <v>8.3900000000000002E-2</v>
      </c>
      <c r="Q144" s="53">
        <v>8.3900000000000002E-2</v>
      </c>
      <c r="R144" s="60">
        <f t="shared" si="67"/>
        <v>0</v>
      </c>
      <c r="S144" s="60">
        <f t="shared" si="68"/>
        <v>0</v>
      </c>
      <c r="T144" s="60">
        <f t="shared" si="68"/>
        <v>0</v>
      </c>
      <c r="U144" s="60">
        <f t="shared" si="69"/>
        <v>0</v>
      </c>
      <c r="V144" s="61">
        <f t="shared" si="69"/>
        <v>0</v>
      </c>
    </row>
    <row r="145" spans="1:22" ht="15.75" customHeight="1">
      <c r="A145" s="167">
        <v>125</v>
      </c>
      <c r="B145" s="168" t="s">
        <v>193</v>
      </c>
      <c r="C145" s="169" t="s">
        <v>146</v>
      </c>
      <c r="D145" s="31">
        <v>2789979688.4400001</v>
      </c>
      <c r="E145" s="32">
        <f>(D145/$D$148)</f>
        <v>2.7674381864742588E-2</v>
      </c>
      <c r="F145" s="63">
        <v>179.45</v>
      </c>
      <c r="G145" s="63">
        <v>179.45</v>
      </c>
      <c r="H145" s="34">
        <v>3040</v>
      </c>
      <c r="I145" s="53">
        <v>0.1113224715113169</v>
      </c>
      <c r="J145" s="53">
        <v>4.1621064354287723E-2</v>
      </c>
      <c r="K145" s="31">
        <v>2795071757.3332071</v>
      </c>
      <c r="L145" s="32">
        <f>(K145/$K$148)</f>
        <v>2.7715634383996924E-2</v>
      </c>
      <c r="M145" s="63">
        <v>179.45</v>
      </c>
      <c r="N145" s="63">
        <v>179.45</v>
      </c>
      <c r="O145" s="34">
        <v>3040</v>
      </c>
      <c r="P145" s="53">
        <v>0.11447835007381447</v>
      </c>
      <c r="Q145" s="53">
        <v>4.328431713069119E-2</v>
      </c>
      <c r="R145" s="60">
        <f t="shared" si="67"/>
        <v>1.8251275858048529E-3</v>
      </c>
      <c r="S145" s="60">
        <f t="shared" si="68"/>
        <v>0</v>
      </c>
      <c r="T145" s="60">
        <f t="shared" si="68"/>
        <v>0</v>
      </c>
      <c r="U145" s="60">
        <f t="shared" si="69"/>
        <v>3.1558785624975771E-3</v>
      </c>
      <c r="V145" s="61">
        <f t="shared" si="69"/>
        <v>1.6632527764034663E-3</v>
      </c>
    </row>
    <row r="146" spans="1:22">
      <c r="A146" s="167">
        <v>126</v>
      </c>
      <c r="B146" s="168" t="s">
        <v>194</v>
      </c>
      <c r="C146" s="169" t="s">
        <v>146</v>
      </c>
      <c r="D146" s="31">
        <v>10752276206.129999</v>
      </c>
      <c r="E146" s="32">
        <f>(D146/$D$148)</f>
        <v>0.10665403725932054</v>
      </c>
      <c r="F146" s="63">
        <v>36.6</v>
      </c>
      <c r="G146" s="63">
        <v>36.6</v>
      </c>
      <c r="H146" s="34">
        <v>5260</v>
      </c>
      <c r="I146" s="53">
        <v>6.0601029387348744E-2</v>
      </c>
      <c r="J146" s="53">
        <v>0.13365512649800382</v>
      </c>
      <c r="K146" s="31">
        <v>10750679369.33</v>
      </c>
      <c r="L146" s="32">
        <f>(K146/$K$148)</f>
        <v>0.10660259365370138</v>
      </c>
      <c r="M146" s="63">
        <v>36.6</v>
      </c>
      <c r="N146" s="63">
        <v>36.6</v>
      </c>
      <c r="O146" s="34">
        <v>5260</v>
      </c>
      <c r="P146" s="53">
        <v>1E-3</v>
      </c>
      <c r="Q146" s="53">
        <v>7.8620662645884604E-2</v>
      </c>
      <c r="R146" s="60">
        <f t="shared" si="67"/>
        <v>-1.4851151229623935E-4</v>
      </c>
      <c r="S146" s="60">
        <f t="shared" si="68"/>
        <v>0</v>
      </c>
      <c r="T146" s="60">
        <f t="shared" si="68"/>
        <v>0</v>
      </c>
      <c r="U146" s="60">
        <f t="shared" si="69"/>
        <v>-5.9601029387348743E-2</v>
      </c>
      <c r="V146" s="61">
        <f t="shared" si="69"/>
        <v>-5.5034463852119214E-2</v>
      </c>
    </row>
    <row r="147" spans="1:22">
      <c r="A147" s="167">
        <v>127</v>
      </c>
      <c r="B147" s="168" t="s">
        <v>195</v>
      </c>
      <c r="C147" s="169" t="s">
        <v>49</v>
      </c>
      <c r="D147" s="31">
        <v>30864418270.099998</v>
      </c>
      <c r="E147" s="32">
        <f>(D147/$D$148)</f>
        <v>0.30615050739580113</v>
      </c>
      <c r="F147" s="63">
        <v>5.6</v>
      </c>
      <c r="G147" s="63">
        <v>5.6</v>
      </c>
      <c r="H147" s="34">
        <v>208048</v>
      </c>
      <c r="I147" s="53">
        <v>3.6999999999999998E-2</v>
      </c>
      <c r="J147" s="53">
        <v>0.12</v>
      </c>
      <c r="K147" s="31">
        <v>30886953194.830002</v>
      </c>
      <c r="L147" s="32">
        <f>(K147/$K$148)</f>
        <v>0.30627174409300223</v>
      </c>
      <c r="M147" s="63">
        <v>5.8</v>
      </c>
      <c r="N147" s="63">
        <v>5.8</v>
      </c>
      <c r="O147" s="34">
        <v>208048</v>
      </c>
      <c r="P147" s="53">
        <v>3.5700000000000003E-2</v>
      </c>
      <c r="Q147" s="53">
        <v>0.16</v>
      </c>
      <c r="R147" s="60">
        <f t="shared" si="67"/>
        <v>7.3012633942413018E-4</v>
      </c>
      <c r="S147" s="60">
        <f t="shared" si="68"/>
        <v>3.5714285714285747E-2</v>
      </c>
      <c r="T147" s="60">
        <f t="shared" si="68"/>
        <v>0</v>
      </c>
      <c r="U147" s="60">
        <f t="shared" si="69"/>
        <v>-1.2999999999999956E-3</v>
      </c>
      <c r="V147" s="61">
        <f t="shared" si="69"/>
        <v>4.0000000000000008E-2</v>
      </c>
    </row>
    <row r="148" spans="1:22">
      <c r="A148" s="38"/>
      <c r="B148" s="76"/>
      <c r="C148" s="40" t="s">
        <v>53</v>
      </c>
      <c r="D148" s="41">
        <f>SUM(D143:D147)</f>
        <v>100814525942.29248</v>
      </c>
      <c r="E148" s="42">
        <f>(D148/$D$210)</f>
        <v>2.5435401795082087E-2</v>
      </c>
      <c r="F148" s="43"/>
      <c r="G148" s="77"/>
      <c r="H148" s="45">
        <f>SUM(H143:H147)</f>
        <v>217000</v>
      </c>
      <c r="I148" s="84"/>
      <c r="J148" s="84"/>
      <c r="K148" s="41">
        <f>SUM(K143:K147)</f>
        <v>100848197035.93321</v>
      </c>
      <c r="L148" s="42">
        <f>(K148/$K$210)</f>
        <v>2.5088453315447446E-2</v>
      </c>
      <c r="M148" s="43"/>
      <c r="N148" s="77"/>
      <c r="O148" s="45">
        <f>SUM(O143:O147)</f>
        <v>217000</v>
      </c>
      <c r="P148" s="84"/>
      <c r="Q148" s="84"/>
      <c r="R148" s="60">
        <f t="shared" si="67"/>
        <v>3.3399049716313276E-4</v>
      </c>
      <c r="S148" s="60" t="e">
        <f t="shared" si="68"/>
        <v>#DIV/0!</v>
      </c>
      <c r="T148" s="60">
        <f t="shared" si="68"/>
        <v>0</v>
      </c>
      <c r="U148" s="60">
        <f t="shared" si="69"/>
        <v>0</v>
      </c>
      <c r="V148" s="61">
        <f t="shared" si="69"/>
        <v>0</v>
      </c>
    </row>
    <row r="149" spans="1:22" ht="5.25" customHeight="1">
      <c r="A149" s="3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78"/>
      <c r="N149" s="178"/>
      <c r="O149" s="178"/>
      <c r="P149" s="178"/>
      <c r="Q149" s="178"/>
      <c r="R149" s="178"/>
      <c r="S149" s="178"/>
      <c r="T149" s="178"/>
      <c r="U149" s="178"/>
      <c r="V149" s="178"/>
    </row>
    <row r="150" spans="1:22" ht="15" customHeight="1">
      <c r="A150" s="180" t="s">
        <v>196</v>
      </c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  <c r="S150" s="180"/>
      <c r="T150" s="180"/>
      <c r="U150" s="180"/>
      <c r="V150" s="180"/>
    </row>
    <row r="151" spans="1:22">
      <c r="A151" s="167">
        <v>128</v>
      </c>
      <c r="B151" s="168" t="s">
        <v>197</v>
      </c>
      <c r="C151" s="169" t="s">
        <v>57</v>
      </c>
      <c r="D151" s="35">
        <v>259653778.31999999</v>
      </c>
      <c r="E151" s="32">
        <f>(D151/$D$179)</f>
        <v>4.7525335365840218E-3</v>
      </c>
      <c r="F151" s="35">
        <v>5.81</v>
      </c>
      <c r="G151" s="35">
        <v>5.89</v>
      </c>
      <c r="H151" s="36">
        <v>11835</v>
      </c>
      <c r="I151" s="54">
        <v>9.5969999999999996E-3</v>
      </c>
      <c r="J151" s="54">
        <v>1.6400000000000001E-2</v>
      </c>
      <c r="K151" s="35">
        <v>258933065.88999999</v>
      </c>
      <c r="L151" s="57">
        <f>(K151/$K$179)</f>
        <v>4.7525132425172457E-3</v>
      </c>
      <c r="M151" s="35">
        <v>5.79</v>
      </c>
      <c r="N151" s="35">
        <v>5.87</v>
      </c>
      <c r="O151" s="36">
        <v>11835</v>
      </c>
      <c r="P151" s="54">
        <v>-2.7829999999999999E-3</v>
      </c>
      <c r="Q151" s="54">
        <v>1.3599999999999999E-2</v>
      </c>
      <c r="R151" s="60">
        <f>((K151-D151)/D151)</f>
        <v>-2.7756670234615022E-3</v>
      </c>
      <c r="S151" s="60">
        <f>((N151-G151)/G151)</f>
        <v>-3.3955857385398261E-3</v>
      </c>
      <c r="T151" s="60">
        <f>((O151-H151)/H151)</f>
        <v>0</v>
      </c>
      <c r="U151" s="60">
        <f>P151-I151</f>
        <v>-1.2379999999999999E-2</v>
      </c>
      <c r="V151" s="61">
        <f>Q151-J151</f>
        <v>-2.8000000000000021E-3</v>
      </c>
    </row>
    <row r="152" spans="1:22">
      <c r="A152" s="170">
        <v>129</v>
      </c>
      <c r="B152" s="168" t="s">
        <v>198</v>
      </c>
      <c r="C152" s="168" t="s">
        <v>199</v>
      </c>
      <c r="D152" s="35">
        <v>653030828.15890348</v>
      </c>
      <c r="E152" s="32">
        <f>(D152/$D$179)</f>
        <v>1.1952650684803738E-2</v>
      </c>
      <c r="F152" s="35">
        <v>1528.25730270127</v>
      </c>
      <c r="G152" s="35">
        <v>1547.2662517588878</v>
      </c>
      <c r="H152" s="36">
        <v>175</v>
      </c>
      <c r="I152" s="54">
        <v>-1.1591034713407432E-2</v>
      </c>
      <c r="J152" s="54">
        <v>0.36662078565781037</v>
      </c>
      <c r="K152" s="35">
        <v>656437552.96030045</v>
      </c>
      <c r="L152" s="57">
        <f>(K152/$K$179)</f>
        <v>1.2048396185347636E-2</v>
      </c>
      <c r="M152" s="35">
        <v>1535.8716628971374</v>
      </c>
      <c r="N152" s="35">
        <v>1554.9929009978862</v>
      </c>
      <c r="O152" s="36">
        <v>173</v>
      </c>
      <c r="P152" s="54">
        <v>4.9892884972030805E-3</v>
      </c>
      <c r="Q152" s="54">
        <v>0.37343925102373154</v>
      </c>
      <c r="R152" s="60">
        <f>((K152-D152)/D152)</f>
        <v>5.216790164411656E-3</v>
      </c>
      <c r="S152" s="60">
        <f>((N152-G152)/G152)</f>
        <v>4.9937424992078129E-3</v>
      </c>
      <c r="T152" s="60">
        <f>((O152-H152)/H152)</f>
        <v>-1.1428571428571429E-2</v>
      </c>
      <c r="U152" s="60">
        <f>P152-I152</f>
        <v>1.6580323210610513E-2</v>
      </c>
      <c r="V152" s="61">
        <f>Q152-J152</f>
        <v>6.818465365921178E-3</v>
      </c>
    </row>
    <row r="153" spans="1:22">
      <c r="A153" s="167">
        <v>130</v>
      </c>
      <c r="B153" s="168" t="s">
        <v>200</v>
      </c>
      <c r="C153" s="169" t="s">
        <v>23</v>
      </c>
      <c r="D153" s="35">
        <v>6889314357.1899996</v>
      </c>
      <c r="E153" s="32">
        <f>(D153/$D$179)</f>
        <v>0.12609752008408698</v>
      </c>
      <c r="F153" s="35">
        <v>805.71090000000004</v>
      </c>
      <c r="G153" s="35">
        <v>830.00369999999998</v>
      </c>
      <c r="H153" s="36">
        <v>21355</v>
      </c>
      <c r="I153" s="54">
        <v>0.40050000000000002</v>
      </c>
      <c r="J153" s="54">
        <v>0.49719999999999998</v>
      </c>
      <c r="K153" s="35">
        <v>6742896814.5699997</v>
      </c>
      <c r="L153" s="57">
        <f>(K153/$K$179)</f>
        <v>0.12376057995538099</v>
      </c>
      <c r="M153" s="35">
        <v>789.83410000000003</v>
      </c>
      <c r="N153" s="35">
        <v>813.64819999999997</v>
      </c>
      <c r="O153" s="36">
        <v>21361</v>
      </c>
      <c r="P153" s="54">
        <v>-1.0275000000000001</v>
      </c>
      <c r="Q153" s="54">
        <v>-0.13639999999999999</v>
      </c>
      <c r="R153" s="60">
        <f t="shared" ref="R153:R178" si="70">((K153-D153)/D153)</f>
        <v>-2.1252846804296559E-2</v>
      </c>
      <c r="S153" s="60">
        <f t="shared" ref="S153:T178" si="71">((N153-G153)/G153)</f>
        <v>-1.9705333843692514E-2</v>
      </c>
      <c r="T153" s="60">
        <f t="shared" si="71"/>
        <v>2.8096464528213532E-4</v>
      </c>
      <c r="U153" s="60">
        <f t="shared" ref="U153:V178" si="72">P153-I153</f>
        <v>-1.4280000000000002</v>
      </c>
      <c r="V153" s="61">
        <f t="shared" si="72"/>
        <v>-0.63359999999999994</v>
      </c>
    </row>
    <row r="154" spans="1:22">
      <c r="A154" s="170">
        <v>131</v>
      </c>
      <c r="B154" s="168" t="s">
        <v>201</v>
      </c>
      <c r="C154" s="169" t="s">
        <v>113</v>
      </c>
      <c r="D154" s="35">
        <v>3710948683.0599999</v>
      </c>
      <c r="E154" s="32">
        <f>(D154/$D$179)</f>
        <v>6.7922786192040965E-2</v>
      </c>
      <c r="F154" s="35">
        <v>21.909800000000001</v>
      </c>
      <c r="G154" s="35">
        <v>22.168299999999999</v>
      </c>
      <c r="H154" s="34">
        <v>6170</v>
      </c>
      <c r="I154" s="53">
        <v>2.58E-2</v>
      </c>
      <c r="J154" s="53">
        <v>3.0099999999999998E-2</v>
      </c>
      <c r="K154" s="35">
        <v>3699804129.5700002</v>
      </c>
      <c r="L154" s="57">
        <f>(K154/$K$179)</f>
        <v>6.7907001603152481E-2</v>
      </c>
      <c r="M154" s="35">
        <v>21.9575</v>
      </c>
      <c r="N154" s="35">
        <v>22.216699999999999</v>
      </c>
      <c r="O154" s="34">
        <v>6170</v>
      </c>
      <c r="P154" s="53">
        <v>7.0000000000000001E-3</v>
      </c>
      <c r="Q154" s="53">
        <v>3.2399999999999998E-2</v>
      </c>
      <c r="R154" s="60">
        <f t="shared" si="70"/>
        <v>-3.0031548377031495E-3</v>
      </c>
      <c r="S154" s="60">
        <f t="shared" si="71"/>
        <v>2.1832977720439048E-3</v>
      </c>
      <c r="T154" s="60">
        <f t="shared" si="71"/>
        <v>0</v>
      </c>
      <c r="U154" s="60">
        <f t="shared" si="72"/>
        <v>-1.8800000000000001E-2</v>
      </c>
      <c r="V154" s="61">
        <f t="shared" si="72"/>
        <v>2.3E-3</v>
      </c>
    </row>
    <row r="155" spans="1:22">
      <c r="A155" s="167">
        <v>132</v>
      </c>
      <c r="B155" s="168" t="s">
        <v>202</v>
      </c>
      <c r="C155" s="169" t="s">
        <v>122</v>
      </c>
      <c r="D155" s="31">
        <v>1964546803.2913284</v>
      </c>
      <c r="E155" s="32">
        <f>(D155/$D$179)</f>
        <v>3.5957784351300606E-2</v>
      </c>
      <c r="F155" s="35">
        <v>4.6238999999999999</v>
      </c>
      <c r="G155" s="35">
        <v>4.7259000000000002</v>
      </c>
      <c r="H155" s="34">
        <v>2743</v>
      </c>
      <c r="I155" s="53">
        <v>-3.8612897765719967E-2</v>
      </c>
      <c r="J155" s="53">
        <v>0.478080517921459</v>
      </c>
      <c r="K155" s="31">
        <v>1937338391.5503716</v>
      </c>
      <c r="L155" s="57">
        <f>(K155/$K$179)</f>
        <v>3.5558325969042591E-2</v>
      </c>
      <c r="M155" s="35">
        <v>4.5605000000000002</v>
      </c>
      <c r="N155" s="35">
        <v>4.6593999999999998</v>
      </c>
      <c r="O155" s="34">
        <v>2744</v>
      </c>
      <c r="P155" s="53">
        <v>-0.73370000000000002</v>
      </c>
      <c r="Q155" s="53">
        <v>-2.4899999999999999E-2</v>
      </c>
      <c r="R155" s="60">
        <f t="shared" si="70"/>
        <v>-1.3849714191269367E-2</v>
      </c>
      <c r="S155" s="60">
        <f t="shared" si="71"/>
        <v>-1.4071393808586819E-2</v>
      </c>
      <c r="T155" s="60">
        <f t="shared" si="71"/>
        <v>3.6456434560699962E-4</v>
      </c>
      <c r="U155" s="60">
        <f t="shared" si="72"/>
        <v>-0.69508710223428005</v>
      </c>
      <c r="V155" s="61">
        <f t="shared" si="72"/>
        <v>-0.50298051792145904</v>
      </c>
    </row>
    <row r="156" spans="1:22">
      <c r="A156" s="170">
        <v>133</v>
      </c>
      <c r="B156" s="168" t="s">
        <v>203</v>
      </c>
      <c r="C156" s="169" t="s">
        <v>65</v>
      </c>
      <c r="D156" s="35">
        <v>3563291840.14891</v>
      </c>
      <c r="E156" s="32">
        <f>(D156/$D$179)</f>
        <v>6.5220171570441896E-2</v>
      </c>
      <c r="F156" s="35">
        <v>7805.2413634594304</v>
      </c>
      <c r="G156" s="35">
        <v>7867.2711859604497</v>
      </c>
      <c r="H156" s="34">
        <v>952</v>
      </c>
      <c r="I156" s="53">
        <v>0.81861546931229245</v>
      </c>
      <c r="J156" s="53">
        <v>0.78226792181662608</v>
      </c>
      <c r="K156" s="35">
        <v>3565150378.2169299</v>
      </c>
      <c r="L156" s="57">
        <f>(K156/$K$179)</f>
        <v>6.5435537658366266E-2</v>
      </c>
      <c r="M156" s="35">
        <v>7788.8271057559696</v>
      </c>
      <c r="N156" s="35">
        <v>7850.4320791703703</v>
      </c>
      <c r="O156" s="34">
        <v>955</v>
      </c>
      <c r="P156" s="53">
        <v>-0.10965532706579328</v>
      </c>
      <c r="Q156" s="53">
        <v>0.4140377058565981</v>
      </c>
      <c r="R156" s="60">
        <f t="shared" si="70"/>
        <v>5.21578964450523E-4</v>
      </c>
      <c r="S156" s="60">
        <f t="shared" si="71"/>
        <v>-2.1403999419938092E-3</v>
      </c>
      <c r="T156" s="60">
        <f t="shared" si="71"/>
        <v>3.1512605042016808E-3</v>
      </c>
      <c r="U156" s="60">
        <f t="shared" si="72"/>
        <v>-0.92827079637808574</v>
      </c>
      <c r="V156" s="61">
        <f t="shared" si="72"/>
        <v>-0.36823021596002797</v>
      </c>
    </row>
    <row r="157" spans="1:22">
      <c r="A157" s="167">
        <v>134</v>
      </c>
      <c r="B157" s="168" t="s">
        <v>204</v>
      </c>
      <c r="C157" s="169" t="s">
        <v>67</v>
      </c>
      <c r="D157" s="35">
        <v>836607118.14999998</v>
      </c>
      <c r="E157" s="32">
        <f>(D157/$D$179)</f>
        <v>1.5312711456302086E-2</v>
      </c>
      <c r="F157" s="35">
        <v>208.04</v>
      </c>
      <c r="G157" s="35">
        <v>209.85339999999999</v>
      </c>
      <c r="H157" s="34">
        <v>681</v>
      </c>
      <c r="I157" s="53">
        <v>1.67E-2</v>
      </c>
      <c r="J157" s="53">
        <v>1.8700000000000001E-2</v>
      </c>
      <c r="K157" s="35">
        <v>832431191.90999997</v>
      </c>
      <c r="L157" s="57">
        <f>(K157/$K$179)</f>
        <v>1.5278621328020494E-2</v>
      </c>
      <c r="M157" s="35">
        <v>206.69</v>
      </c>
      <c r="N157" s="35">
        <v>208.48339999999999</v>
      </c>
      <c r="O157" s="34">
        <v>681</v>
      </c>
      <c r="P157" s="53">
        <v>-6.4999999999999997E-3</v>
      </c>
      <c r="Q157" s="53">
        <v>1.21E-2</v>
      </c>
      <c r="R157" s="60">
        <f t="shared" si="70"/>
        <v>-4.9915021632068925E-3</v>
      </c>
      <c r="S157" s="60">
        <f t="shared" si="71"/>
        <v>-6.5283669456868681E-3</v>
      </c>
      <c r="T157" s="60">
        <f t="shared" si="71"/>
        <v>0</v>
      </c>
      <c r="U157" s="60">
        <f t="shared" si="72"/>
        <v>-2.3199999999999998E-2</v>
      </c>
      <c r="V157" s="61">
        <f t="shared" si="72"/>
        <v>-6.6000000000000017E-3</v>
      </c>
    </row>
    <row r="158" spans="1:22">
      <c r="A158" s="170">
        <v>135</v>
      </c>
      <c r="B158" s="168" t="s">
        <v>205</v>
      </c>
      <c r="C158" s="169" t="s">
        <v>69</v>
      </c>
      <c r="D158" s="35">
        <v>3734808.11</v>
      </c>
      <c r="E158" s="32">
        <f>(D158/$D$179)</f>
        <v>6.835949359306433E-5</v>
      </c>
      <c r="F158" s="35">
        <v>102.747</v>
      </c>
      <c r="G158" s="35">
        <v>102.99</v>
      </c>
      <c r="H158" s="34">
        <v>0</v>
      </c>
      <c r="I158" s="53">
        <v>0</v>
      </c>
      <c r="J158" s="53">
        <v>0</v>
      </c>
      <c r="K158" s="35">
        <v>3734808.11</v>
      </c>
      <c r="L158" s="57">
        <f>(K158/$K$179)</f>
        <v>6.8549472196711444E-5</v>
      </c>
      <c r="M158" s="35">
        <v>102.747</v>
      </c>
      <c r="N158" s="35">
        <v>102.99</v>
      </c>
      <c r="O158" s="34">
        <v>0</v>
      </c>
      <c r="P158" s="53">
        <v>0</v>
      </c>
      <c r="Q158" s="53">
        <v>0</v>
      </c>
      <c r="R158" s="60">
        <f t="shared" si="70"/>
        <v>0</v>
      </c>
      <c r="S158" s="60">
        <f t="shared" si="71"/>
        <v>0</v>
      </c>
      <c r="T158" s="60" t="e">
        <f t="shared" si="71"/>
        <v>#DIV/0!</v>
      </c>
      <c r="U158" s="60">
        <f t="shared" si="72"/>
        <v>0</v>
      </c>
      <c r="V158" s="61">
        <f t="shared" si="72"/>
        <v>0</v>
      </c>
    </row>
    <row r="159" spans="1:22">
      <c r="A159" s="167">
        <v>136</v>
      </c>
      <c r="B159" s="168" t="s">
        <v>206</v>
      </c>
      <c r="C159" s="169" t="s">
        <v>127</v>
      </c>
      <c r="D159" s="35">
        <v>214323407.09999999</v>
      </c>
      <c r="E159" s="32">
        <f>(D159/$D$179)</f>
        <v>3.922835964521928E-3</v>
      </c>
      <c r="F159" s="35">
        <v>1.6749000000000001</v>
      </c>
      <c r="G159" s="35">
        <v>1.6904999999999999</v>
      </c>
      <c r="H159" s="34">
        <v>362</v>
      </c>
      <c r="I159" s="53">
        <v>1.1464174454828724E-2</v>
      </c>
      <c r="J159" s="53">
        <v>0.1089555297492999</v>
      </c>
      <c r="K159" s="35">
        <v>213466240.53</v>
      </c>
      <c r="L159" s="57">
        <f>(K159/$K$179)</f>
        <v>3.9180053403460539E-3</v>
      </c>
      <c r="M159" s="35">
        <v>1.5421</v>
      </c>
      <c r="N159" s="35">
        <v>1.5563</v>
      </c>
      <c r="O159" s="34">
        <v>364</v>
      </c>
      <c r="P159" s="53">
        <v>1.1464174454828724E-2</v>
      </c>
      <c r="Q159" s="53">
        <v>0.1089555297492999</v>
      </c>
      <c r="R159" s="60">
        <f t="shared" si="70"/>
        <v>-3.9994071650795108E-3</v>
      </c>
      <c r="S159" s="60">
        <f t="shared" si="71"/>
        <v>-7.9384797397219695E-2</v>
      </c>
      <c r="T159" s="60">
        <f t="shared" si="71"/>
        <v>5.5248618784530384E-3</v>
      </c>
      <c r="U159" s="60">
        <f t="shared" si="72"/>
        <v>0</v>
      </c>
      <c r="V159" s="61">
        <f t="shared" si="72"/>
        <v>0</v>
      </c>
    </row>
    <row r="160" spans="1:22">
      <c r="A160" s="170">
        <v>137</v>
      </c>
      <c r="B160" s="168" t="s">
        <v>207</v>
      </c>
      <c r="C160" s="169" t="s">
        <v>29</v>
      </c>
      <c r="D160" s="47">
        <v>136352595.31999999</v>
      </c>
      <c r="E160" s="32">
        <f>(D160/$D$179)</f>
        <v>2.4957090409057814E-3</v>
      </c>
      <c r="F160" s="35">
        <v>161.1001</v>
      </c>
      <c r="G160" s="35">
        <v>161.83189999999999</v>
      </c>
      <c r="H160" s="34">
        <v>98</v>
      </c>
      <c r="I160" s="53">
        <v>8.1099999999999998E-4</v>
      </c>
      <c r="J160" s="53">
        <v>7.9000000000000008E-3</v>
      </c>
      <c r="K160" s="47">
        <v>136352595.31999999</v>
      </c>
      <c r="L160" s="57">
        <f>(K160/$K$179)</f>
        <v>2.5026448927352755E-3</v>
      </c>
      <c r="M160" s="35">
        <v>161.1001</v>
      </c>
      <c r="N160" s="35">
        <v>161.83189999999999</v>
      </c>
      <c r="O160" s="34">
        <v>98</v>
      </c>
      <c r="P160" s="53">
        <v>8.1099999999999998E-4</v>
      </c>
      <c r="Q160" s="53">
        <v>7.9000000000000008E-3</v>
      </c>
      <c r="R160" s="60">
        <f t="shared" si="70"/>
        <v>0</v>
      </c>
      <c r="S160" s="60">
        <f t="shared" si="71"/>
        <v>0</v>
      </c>
      <c r="T160" s="60">
        <f t="shared" si="71"/>
        <v>0</v>
      </c>
      <c r="U160" s="60">
        <f t="shared" si="72"/>
        <v>0</v>
      </c>
      <c r="V160" s="61">
        <f t="shared" si="72"/>
        <v>0</v>
      </c>
    </row>
    <row r="161" spans="1:22">
      <c r="A161" s="167">
        <v>138</v>
      </c>
      <c r="B161" s="168" t="s">
        <v>208</v>
      </c>
      <c r="C161" s="169" t="s">
        <v>73</v>
      </c>
      <c r="D161" s="47">
        <v>230691571.27000001</v>
      </c>
      <c r="E161" s="32">
        <f>(D161/$D$179)</f>
        <v>4.2224281740154811E-3</v>
      </c>
      <c r="F161" s="35">
        <v>118.91</v>
      </c>
      <c r="G161" s="35">
        <v>119.81</v>
      </c>
      <c r="H161" s="34">
        <v>36</v>
      </c>
      <c r="I161" s="53">
        <v>8.9999999999999998E-4</v>
      </c>
      <c r="J161" s="53">
        <v>7.1000000000000004E-3</v>
      </c>
      <c r="K161" s="47">
        <v>222716197.69999999</v>
      </c>
      <c r="L161" s="57">
        <f>(K161/$K$179)</f>
        <v>4.0877810458630065E-3</v>
      </c>
      <c r="M161" s="35">
        <v>119.56</v>
      </c>
      <c r="N161" s="35">
        <v>119.6</v>
      </c>
      <c r="O161" s="34">
        <v>36</v>
      </c>
      <c r="P161" s="53">
        <v>-1.2800000000000001E-2</v>
      </c>
      <c r="Q161" s="53">
        <v>-5.7000000000000002E-3</v>
      </c>
      <c r="R161" s="60">
        <f t="shared" si="70"/>
        <v>-3.4571586322352861E-2</v>
      </c>
      <c r="S161" s="60">
        <f t="shared" si="71"/>
        <v>-1.7527752274435185E-3</v>
      </c>
      <c r="T161" s="60">
        <f t="shared" si="71"/>
        <v>0</v>
      </c>
      <c r="U161" s="60">
        <f t="shared" si="72"/>
        <v>-1.37E-2</v>
      </c>
      <c r="V161" s="61">
        <f t="shared" si="72"/>
        <v>-1.2800000000000001E-2</v>
      </c>
    </row>
    <row r="162" spans="1:22" ht="15.75" customHeight="1">
      <c r="A162" s="170">
        <v>139</v>
      </c>
      <c r="B162" s="168" t="s">
        <v>209</v>
      </c>
      <c r="C162" s="169" t="s">
        <v>76</v>
      </c>
      <c r="D162" s="31">
        <v>328348051.41000003</v>
      </c>
      <c r="E162" s="32">
        <f>(D162/$D$179)</f>
        <v>6.0098687417322371E-3</v>
      </c>
      <c r="F162" s="35">
        <v>1.3159000000000001</v>
      </c>
      <c r="G162" s="35">
        <v>1.3290999999999999</v>
      </c>
      <c r="H162" s="34">
        <v>100</v>
      </c>
      <c r="I162" s="53">
        <v>3.09E-2</v>
      </c>
      <c r="J162" s="53">
        <v>3.2500000000000001E-2</v>
      </c>
      <c r="K162" s="31">
        <v>319920745.06</v>
      </c>
      <c r="L162" s="57">
        <f>(K162/$K$179)</f>
        <v>5.8718942373298206E-3</v>
      </c>
      <c r="M162" s="35">
        <v>1.2834000000000001</v>
      </c>
      <c r="N162" s="35">
        <v>1.4134000000000002</v>
      </c>
      <c r="O162" s="34">
        <v>98</v>
      </c>
      <c r="P162" s="53">
        <v>-2.52E-2</v>
      </c>
      <c r="Q162" s="53">
        <v>7.0000000000000001E-3</v>
      </c>
      <c r="R162" s="60">
        <f t="shared" si="70"/>
        <v>-2.5665772383333126E-2</v>
      </c>
      <c r="S162" s="60">
        <f t="shared" si="71"/>
        <v>6.3426378752539508E-2</v>
      </c>
      <c r="T162" s="60">
        <f t="shared" si="71"/>
        <v>-0.02</v>
      </c>
      <c r="U162" s="60">
        <f t="shared" si="72"/>
        <v>-5.6099999999999997E-2</v>
      </c>
      <c r="V162" s="61">
        <f t="shared" si="72"/>
        <v>-2.5500000000000002E-2</v>
      </c>
    </row>
    <row r="163" spans="1:22">
      <c r="A163" s="167">
        <v>140</v>
      </c>
      <c r="B163" s="168" t="s">
        <v>210</v>
      </c>
      <c r="C163" s="169" t="s">
        <v>31</v>
      </c>
      <c r="D163" s="35">
        <v>9889145611.7800007</v>
      </c>
      <c r="E163" s="32">
        <f>(D163/$D$179)</f>
        <v>0.18100447631547936</v>
      </c>
      <c r="F163" s="35">
        <v>328.23</v>
      </c>
      <c r="G163" s="35">
        <v>330.61</v>
      </c>
      <c r="H163" s="34">
        <v>5469</v>
      </c>
      <c r="I163" s="53">
        <v>7.7999999999999996E-3</v>
      </c>
      <c r="J163" s="53">
        <v>1.2699999999999999E-2</v>
      </c>
      <c r="K163" s="35">
        <v>9870205906.8400002</v>
      </c>
      <c r="L163" s="57">
        <f>(K163/$K$179)</f>
        <v>0.18115988437937328</v>
      </c>
      <c r="M163" s="35">
        <v>327.49</v>
      </c>
      <c r="N163" s="35">
        <v>329.84</v>
      </c>
      <c r="O163" s="34">
        <v>5468</v>
      </c>
      <c r="P163" s="53">
        <v>-2.3E-3</v>
      </c>
      <c r="Q163" s="53">
        <v>1.04E-2</v>
      </c>
      <c r="R163" s="60">
        <f t="shared" si="70"/>
        <v>-1.9152013413008563E-3</v>
      </c>
      <c r="S163" s="60">
        <f t="shared" si="71"/>
        <v>-2.3290281600678703E-3</v>
      </c>
      <c r="T163" s="60">
        <f t="shared" si="71"/>
        <v>-1.8284878405558602E-4</v>
      </c>
      <c r="U163" s="60">
        <f t="shared" si="72"/>
        <v>-1.01E-2</v>
      </c>
      <c r="V163" s="61">
        <f t="shared" si="72"/>
        <v>-2.3E-3</v>
      </c>
    </row>
    <row r="164" spans="1:22">
      <c r="A164" s="170">
        <v>141</v>
      </c>
      <c r="B164" s="168" t="s">
        <v>211</v>
      </c>
      <c r="C164" s="169" t="s">
        <v>81</v>
      </c>
      <c r="D164" s="35">
        <v>3320663847.2600002</v>
      </c>
      <c r="E164" s="32">
        <f>(D164/$D$179)</f>
        <v>6.0779266914328924E-2</v>
      </c>
      <c r="F164" s="35">
        <v>2.3273999999999999</v>
      </c>
      <c r="G164" s="35">
        <v>2.3691</v>
      </c>
      <c r="H164" s="34">
        <v>10306</v>
      </c>
      <c r="I164" s="53">
        <v>4.0000000000000002E-4</v>
      </c>
      <c r="J164" s="53">
        <v>4.0000000000000001E-3</v>
      </c>
      <c r="K164" s="35">
        <v>3219960748.5100002</v>
      </c>
      <c r="L164" s="57">
        <f>(K164/$K$179)</f>
        <v>5.9099852871554469E-2</v>
      </c>
      <c r="M164" s="35">
        <v>2.2557999999999998</v>
      </c>
      <c r="N164" s="35">
        <v>2.2980999999999998</v>
      </c>
      <c r="O164" s="34">
        <v>10306</v>
      </c>
      <c r="P164" s="53">
        <v>-3.7999999999999999E-2</v>
      </c>
      <c r="Q164" s="53">
        <v>-2.64E-2</v>
      </c>
      <c r="R164" s="60">
        <f t="shared" si="70"/>
        <v>-3.0326194815863031E-2</v>
      </c>
      <c r="S164" s="60">
        <f t="shared" si="71"/>
        <v>-2.996918661094938E-2</v>
      </c>
      <c r="T164" s="60">
        <f t="shared" si="71"/>
        <v>0</v>
      </c>
      <c r="U164" s="60">
        <f t="shared" si="72"/>
        <v>-3.8399999999999997E-2</v>
      </c>
      <c r="V164" s="61">
        <f t="shared" si="72"/>
        <v>-3.04E-2</v>
      </c>
    </row>
    <row r="165" spans="1:22">
      <c r="A165" s="167">
        <v>142</v>
      </c>
      <c r="B165" s="168" t="s">
        <v>212</v>
      </c>
      <c r="C165" s="169" t="s">
        <v>83</v>
      </c>
      <c r="D165" s="35">
        <v>261294080.80559501</v>
      </c>
      <c r="E165" s="32">
        <f>(D165/$D$179)</f>
        <v>4.7825565642609967E-3</v>
      </c>
      <c r="F165" s="35">
        <v>339.99</v>
      </c>
      <c r="G165" s="35">
        <v>342.1</v>
      </c>
      <c r="H165" s="34">
        <v>40</v>
      </c>
      <c r="I165" s="53">
        <v>9.4415248953416686E-3</v>
      </c>
      <c r="J165" s="53">
        <v>6.4543270158761157E-3</v>
      </c>
      <c r="K165" s="35">
        <v>259513611.46563983</v>
      </c>
      <c r="L165" s="57">
        <f>(K165/$K$179)</f>
        <v>4.7631687010104657E-3</v>
      </c>
      <c r="M165" s="35">
        <v>337.66429787392707</v>
      </c>
      <c r="N165" s="35">
        <v>341.16827551578717</v>
      </c>
      <c r="O165" s="34">
        <v>40</v>
      </c>
      <c r="P165" s="53">
        <v>-6.840501562025203E-3</v>
      </c>
      <c r="Q165" s="53">
        <v>9.0071365873685139E-3</v>
      </c>
      <c r="R165" s="60">
        <f t="shared" si="70"/>
        <v>-6.814043909704426E-3</v>
      </c>
      <c r="S165" s="60">
        <f t="shared" si="71"/>
        <v>-2.7235442391489338E-3</v>
      </c>
      <c r="T165" s="60">
        <f t="shared" si="71"/>
        <v>0</v>
      </c>
      <c r="U165" s="60">
        <f t="shared" si="72"/>
        <v>-1.6282026457366872E-2</v>
      </c>
      <c r="V165" s="61">
        <f t="shared" si="72"/>
        <v>2.5528095714923982E-3</v>
      </c>
    </row>
    <row r="166" spans="1:22">
      <c r="A166" s="170">
        <v>143</v>
      </c>
      <c r="B166" s="168" t="s">
        <v>213</v>
      </c>
      <c r="C166" s="168" t="s">
        <v>85</v>
      </c>
      <c r="D166" s="35">
        <v>61238948.657911599</v>
      </c>
      <c r="E166" s="32">
        <f>(D166/$D$179)</f>
        <v>1.1208778055337638E-3</v>
      </c>
      <c r="F166" s="35">
        <v>1.1905256456817099</v>
      </c>
      <c r="G166" s="35">
        <v>1.2045620422341099</v>
      </c>
      <c r="H166" s="34">
        <v>29</v>
      </c>
      <c r="I166" s="53">
        <v>7.6517096510095002E-4</v>
      </c>
      <c r="J166" s="53">
        <v>2.2661541189542599E-3</v>
      </c>
      <c r="K166" s="35">
        <v>61296742.682047874</v>
      </c>
      <c r="L166" s="57">
        <f>(K166/$K$179)</f>
        <v>1.1250536130575171E-3</v>
      </c>
      <c r="M166" s="35">
        <v>1.1920477162317824</v>
      </c>
      <c r="N166" s="35">
        <v>1.2060827318743064</v>
      </c>
      <c r="O166" s="34">
        <v>29</v>
      </c>
      <c r="P166" s="53">
        <v>9.437461844605977E-4</v>
      </c>
      <c r="Q166" s="53">
        <v>3.2120389777180159E-3</v>
      </c>
      <c r="R166" s="60">
        <f t="shared" si="70"/>
        <v>9.4374618446047595E-4</v>
      </c>
      <c r="S166" s="60">
        <f t="shared" si="71"/>
        <v>1.2624419389606839E-3</v>
      </c>
      <c r="T166" s="60">
        <f t="shared" si="71"/>
        <v>0</v>
      </c>
      <c r="U166" s="60">
        <f t="shared" si="72"/>
        <v>1.7857521935964768E-4</v>
      </c>
      <c r="V166" s="61">
        <f t="shared" si="72"/>
        <v>9.4588485876375599E-4</v>
      </c>
    </row>
    <row r="167" spans="1:22" ht="13.5" customHeight="1">
      <c r="A167" s="167">
        <v>144</v>
      </c>
      <c r="B167" s="168" t="s">
        <v>214</v>
      </c>
      <c r="C167" s="169" t="s">
        <v>37</v>
      </c>
      <c r="D167" s="31">
        <v>3088722806.6500001</v>
      </c>
      <c r="E167" s="32">
        <f>(D167/$D$179)</f>
        <v>5.6533969267819326E-2</v>
      </c>
      <c r="F167" s="35">
        <v>4.3641649999999998</v>
      </c>
      <c r="G167" s="35">
        <v>4.4956120000000004</v>
      </c>
      <c r="H167" s="34">
        <v>2361</v>
      </c>
      <c r="I167" s="53">
        <v>2.1669148560856444E-2</v>
      </c>
      <c r="J167" s="53">
        <v>2.9457554880703896E-2</v>
      </c>
      <c r="K167" s="31">
        <v>3097312237.4400001</v>
      </c>
      <c r="L167" s="57">
        <f>(K167/$K$179)</f>
        <v>5.6848735691785619E-2</v>
      </c>
      <c r="M167" s="35">
        <v>4.3741320000000004</v>
      </c>
      <c r="N167" s="35">
        <v>4.5078709999999997</v>
      </c>
      <c r="O167" s="34">
        <v>2367</v>
      </c>
      <c r="P167" s="53">
        <v>2.2838274904821709E-3</v>
      </c>
      <c r="Q167" s="53">
        <v>3.1808658344825158E-2</v>
      </c>
      <c r="R167" s="60">
        <f t="shared" si="70"/>
        <v>2.7809004976124675E-3</v>
      </c>
      <c r="S167" s="60">
        <f t="shared" si="71"/>
        <v>2.7268812344124344E-3</v>
      </c>
      <c r="T167" s="60">
        <f t="shared" si="71"/>
        <v>2.5412960609911056E-3</v>
      </c>
      <c r="U167" s="60">
        <f t="shared" si="72"/>
        <v>-1.9385321070374273E-2</v>
      </c>
      <c r="V167" s="61">
        <f t="shared" si="72"/>
        <v>2.3511034641212625E-3</v>
      </c>
    </row>
    <row r="168" spans="1:22" ht="13.5" customHeight="1">
      <c r="A168" s="170">
        <v>145</v>
      </c>
      <c r="B168" s="168" t="s">
        <v>215</v>
      </c>
      <c r="C168" s="169" t="s">
        <v>216</v>
      </c>
      <c r="D168" s="31">
        <v>69466290.959999993</v>
      </c>
      <c r="E168" s="32">
        <f>(D168/$D$179)</f>
        <v>1.27146571710054E-3</v>
      </c>
      <c r="F168" s="35">
        <v>2.1509</v>
      </c>
      <c r="G168" s="35">
        <v>2.1616</v>
      </c>
      <c r="H168" s="34">
        <v>78</v>
      </c>
      <c r="I168" s="53">
        <v>1.09E-2</v>
      </c>
      <c r="J168" s="53">
        <v>1.9E-2</v>
      </c>
      <c r="K168" s="31">
        <v>69942804.060000002</v>
      </c>
      <c r="L168" s="57">
        <f>(K168/$K$179)</f>
        <v>1.283745285181735E-3</v>
      </c>
      <c r="M168" s="35">
        <v>2.1629999999999998</v>
      </c>
      <c r="N168" s="35">
        <v>2.1737000000000002</v>
      </c>
      <c r="O168" s="34">
        <v>77</v>
      </c>
      <c r="P168" s="53">
        <v>5.5999999999999999E-3</v>
      </c>
      <c r="Q168" s="53">
        <v>2.47E-2</v>
      </c>
      <c r="R168" s="60">
        <f t="shared" si="70"/>
        <v>6.8596306699949504E-3</v>
      </c>
      <c r="S168" s="60">
        <f t="shared" si="71"/>
        <v>5.5977054034049879E-3</v>
      </c>
      <c r="T168" s="60">
        <f t="shared" si="71"/>
        <v>-1.282051282051282E-2</v>
      </c>
      <c r="U168" s="60">
        <f t="shared" si="72"/>
        <v>-5.3E-3</v>
      </c>
      <c r="V168" s="61">
        <f t="shared" si="72"/>
        <v>5.7000000000000002E-3</v>
      </c>
    </row>
    <row r="169" spans="1:22">
      <c r="A169" s="167">
        <v>146</v>
      </c>
      <c r="B169" s="168" t="s">
        <v>217</v>
      </c>
      <c r="C169" s="169" t="s">
        <v>136</v>
      </c>
      <c r="D169" s="31">
        <v>440263677.57999998</v>
      </c>
      <c r="E169" s="32">
        <f>(D169/$D$179)</f>
        <v>8.0582994253991132E-3</v>
      </c>
      <c r="F169" s="35">
        <v>242.5</v>
      </c>
      <c r="G169" s="35">
        <v>244.5</v>
      </c>
      <c r="H169" s="34">
        <v>141</v>
      </c>
      <c r="I169" s="53">
        <v>5.9999999999999995E-4</v>
      </c>
      <c r="J169" s="53">
        <v>0.2059</v>
      </c>
      <c r="K169" s="31">
        <v>441675051.26999998</v>
      </c>
      <c r="L169" s="57">
        <f>(K169/$K$179)</f>
        <v>8.1065989885659648E-3</v>
      </c>
      <c r="M169" s="35">
        <v>243.21</v>
      </c>
      <c r="N169" s="35">
        <v>245.58</v>
      </c>
      <c r="O169" s="34">
        <v>141</v>
      </c>
      <c r="P169" s="53">
        <v>6.2331955721672827E-4</v>
      </c>
      <c r="Q169" s="53">
        <v>1.38E-2</v>
      </c>
      <c r="R169" s="60">
        <f t="shared" si="70"/>
        <v>3.2057463785291214E-3</v>
      </c>
      <c r="S169" s="60">
        <f t="shared" si="71"/>
        <v>4.4171779141104804E-3</v>
      </c>
      <c r="T169" s="60">
        <f t="shared" si="71"/>
        <v>0</v>
      </c>
      <c r="U169" s="60">
        <f t="shared" si="72"/>
        <v>2.3319557216728323E-5</v>
      </c>
      <c r="V169" s="61">
        <f t="shared" si="72"/>
        <v>-0.19209999999999999</v>
      </c>
    </row>
    <row r="170" spans="1:22">
      <c r="A170" s="170">
        <v>147</v>
      </c>
      <c r="B170" s="168" t="s">
        <v>218</v>
      </c>
      <c r="C170" s="169" t="s">
        <v>33</v>
      </c>
      <c r="D170" s="31">
        <v>2165971158.75</v>
      </c>
      <c r="E170" s="32">
        <f>(D170/$D$179)</f>
        <v>3.9644524481160764E-2</v>
      </c>
      <c r="F170" s="35">
        <v>552.22</v>
      </c>
      <c r="G170" s="35">
        <v>552.22</v>
      </c>
      <c r="H170" s="34">
        <v>823</v>
      </c>
      <c r="I170" s="53">
        <v>-3.27E-2</v>
      </c>
      <c r="J170" s="53">
        <v>0.38550000000000001</v>
      </c>
      <c r="K170" s="31">
        <v>2224463169.1700001</v>
      </c>
      <c r="L170" s="57">
        <f>(K170/$K$179)</f>
        <v>4.082827595863487E-2</v>
      </c>
      <c r="M170" s="35">
        <v>552.22</v>
      </c>
      <c r="N170" s="35">
        <v>552.22</v>
      </c>
      <c r="O170" s="34">
        <v>823</v>
      </c>
      <c r="P170" s="53">
        <v>2.7E-2</v>
      </c>
      <c r="Q170" s="53">
        <v>0.42292999999999997</v>
      </c>
      <c r="R170" s="60">
        <f t="shared" si="70"/>
        <v>2.7004981199175479E-2</v>
      </c>
      <c r="S170" s="60">
        <f t="shared" si="71"/>
        <v>0</v>
      </c>
      <c r="T170" s="60">
        <f t="shared" si="71"/>
        <v>0</v>
      </c>
      <c r="U170" s="60">
        <f t="shared" si="72"/>
        <v>5.9700000000000003E-2</v>
      </c>
      <c r="V170" s="61">
        <f t="shared" si="72"/>
        <v>3.7429999999999963E-2</v>
      </c>
    </row>
    <row r="171" spans="1:22">
      <c r="A171" s="167">
        <v>148</v>
      </c>
      <c r="B171" s="168" t="s">
        <v>219</v>
      </c>
      <c r="C171" s="169" t="s">
        <v>92</v>
      </c>
      <c r="D171" s="35">
        <v>30504863.199999999</v>
      </c>
      <c r="E171" s="32">
        <f>(D171/$D$179)</f>
        <v>5.5834113535693916E-4</v>
      </c>
      <c r="F171" s="35">
        <v>1.81</v>
      </c>
      <c r="G171" s="35">
        <v>1.81</v>
      </c>
      <c r="H171" s="34">
        <v>8</v>
      </c>
      <c r="I171" s="53">
        <v>-3.1028E-2</v>
      </c>
      <c r="J171" s="53">
        <v>-3.2280999999999997E-2</v>
      </c>
      <c r="K171" s="35">
        <v>32097950.25</v>
      </c>
      <c r="L171" s="57">
        <f>(K171/$K$179)</f>
        <v>5.8913268993458464E-4</v>
      </c>
      <c r="M171" s="35">
        <v>1.91</v>
      </c>
      <c r="N171" s="35">
        <v>1.91</v>
      </c>
      <c r="O171" s="34">
        <v>8</v>
      </c>
      <c r="P171" s="53">
        <v>5.2224E-2</v>
      </c>
      <c r="Q171" s="53">
        <v>1.8258E-2</v>
      </c>
      <c r="R171" s="60">
        <f t="shared" si="70"/>
        <v>5.2224035215473474E-2</v>
      </c>
      <c r="S171" s="60">
        <f t="shared" si="71"/>
        <v>5.5248618784530308E-2</v>
      </c>
      <c r="T171" s="60">
        <f t="shared" si="71"/>
        <v>0</v>
      </c>
      <c r="U171" s="60">
        <f t="shared" si="72"/>
        <v>8.3251999999999993E-2</v>
      </c>
      <c r="V171" s="61">
        <f t="shared" si="72"/>
        <v>5.0539000000000001E-2</v>
      </c>
    </row>
    <row r="172" spans="1:22">
      <c r="A172" s="170">
        <v>149</v>
      </c>
      <c r="B172" s="168" t="s">
        <v>220</v>
      </c>
      <c r="C172" s="169" t="s">
        <v>45</v>
      </c>
      <c r="D172" s="35">
        <v>260792508.38</v>
      </c>
      <c r="E172" s="32">
        <f>(D172/$D$179)</f>
        <v>4.7733761094681214E-3</v>
      </c>
      <c r="F172" s="35">
        <v>2.626366</v>
      </c>
      <c r="G172" s="35">
        <v>2.6784560000000002</v>
      </c>
      <c r="H172" s="34">
        <v>119</v>
      </c>
      <c r="I172" s="53">
        <v>-6.4999999999999997E-3</v>
      </c>
      <c r="J172" s="53">
        <v>0.13159999999999999</v>
      </c>
      <c r="K172" s="35">
        <v>258656668.72</v>
      </c>
      <c r="L172" s="57">
        <f>(K172/$K$179)</f>
        <v>4.7474401893476776E-3</v>
      </c>
      <c r="M172" s="35">
        <v>2.6043539999999998</v>
      </c>
      <c r="N172" s="35">
        <v>2.657381</v>
      </c>
      <c r="O172" s="34">
        <v>119</v>
      </c>
      <c r="P172" s="53">
        <v>-1.1299999999999999E-2</v>
      </c>
      <c r="Q172" s="53">
        <v>0.12239999999999999</v>
      </c>
      <c r="R172" s="60">
        <f t="shared" si="70"/>
        <v>-8.1898045049970183E-3</v>
      </c>
      <c r="S172" s="60">
        <f t="shared" si="71"/>
        <v>-7.8683390729585162E-3</v>
      </c>
      <c r="T172" s="60">
        <f t="shared" si="71"/>
        <v>0</v>
      </c>
      <c r="U172" s="60">
        <f t="shared" si="72"/>
        <v>-4.7999999999999996E-3</v>
      </c>
      <c r="V172" s="61">
        <f t="shared" si="72"/>
        <v>-9.1999999999999998E-3</v>
      </c>
    </row>
    <row r="173" spans="1:22">
      <c r="A173" s="167">
        <v>150</v>
      </c>
      <c r="B173" s="168" t="s">
        <v>221</v>
      </c>
      <c r="C173" s="169" t="s">
        <v>49</v>
      </c>
      <c r="D173" s="31">
        <v>2369570581.6999998</v>
      </c>
      <c r="E173" s="32">
        <f>(D173/$D$179)</f>
        <v>4.3371075628845325E-2</v>
      </c>
      <c r="F173" s="35">
        <v>6461.55</v>
      </c>
      <c r="G173" s="35">
        <v>6521.94</v>
      </c>
      <c r="H173" s="34">
        <v>2252</v>
      </c>
      <c r="I173" s="53">
        <v>8.8999999999999999E-3</v>
      </c>
      <c r="J173" s="53">
        <v>1.3299999999999999E-2</v>
      </c>
      <c r="K173" s="31">
        <v>2432773842.1500001</v>
      </c>
      <c r="L173" s="32">
        <f>(K173/$K$179)</f>
        <v>4.465165490211713E-2</v>
      </c>
      <c r="M173" s="35">
        <v>6412.88</v>
      </c>
      <c r="N173" s="35">
        <v>6470.3</v>
      </c>
      <c r="O173" s="34">
        <v>2254</v>
      </c>
      <c r="P173" s="53">
        <v>-7.9000000000000008E-3</v>
      </c>
      <c r="Q173" s="53">
        <v>5.1999999999999998E-3</v>
      </c>
      <c r="R173" s="60">
        <f t="shared" si="70"/>
        <v>2.6672875219718672E-2</v>
      </c>
      <c r="S173" s="60">
        <f t="shared" si="71"/>
        <v>-7.9178894623378043E-3</v>
      </c>
      <c r="T173" s="60">
        <f t="shared" si="71"/>
        <v>8.8809946714031975E-4</v>
      </c>
      <c r="U173" s="60">
        <f t="shared" si="72"/>
        <v>-1.6800000000000002E-2</v>
      </c>
      <c r="V173" s="61">
        <f t="shared" si="72"/>
        <v>-8.0999999999999996E-3</v>
      </c>
    </row>
    <row r="174" spans="1:22">
      <c r="A174" s="170">
        <v>151</v>
      </c>
      <c r="B174" s="168" t="s">
        <v>222</v>
      </c>
      <c r="C174" s="168" t="s">
        <v>102</v>
      </c>
      <c r="D174" s="31">
        <v>86095253.859999999</v>
      </c>
      <c r="E174" s="32">
        <f>(D174/$D$179)</f>
        <v>1.5758314165800389E-3</v>
      </c>
      <c r="F174" s="35">
        <v>1118.33</v>
      </c>
      <c r="G174" s="35">
        <v>1133.4000000000001</v>
      </c>
      <c r="H174" s="34">
        <v>8</v>
      </c>
      <c r="I174" s="53">
        <v>0</v>
      </c>
      <c r="J174" s="53">
        <v>9.2999999999999992E-3</v>
      </c>
      <c r="K174" s="31">
        <v>105792760.25</v>
      </c>
      <c r="L174" s="32">
        <f>(K174/$K$179)</f>
        <v>1.9417430999877352E-3</v>
      </c>
      <c r="M174" s="35">
        <v>1117.21</v>
      </c>
      <c r="N174" s="35">
        <v>1129.3800000000001</v>
      </c>
      <c r="O174" s="34">
        <v>9</v>
      </c>
      <c r="P174" s="53">
        <v>1.2520000000000001E-3</v>
      </c>
      <c r="Q174" s="53">
        <v>7.1000000000000004E-3</v>
      </c>
      <c r="R174" s="60">
        <f t="shared" si="70"/>
        <v>0.22878736639803898</v>
      </c>
      <c r="S174" s="60">
        <f t="shared" si="71"/>
        <v>-3.5468501852832022E-3</v>
      </c>
      <c r="T174" s="60">
        <f t="shared" si="71"/>
        <v>0.125</v>
      </c>
      <c r="U174" s="60">
        <f t="shared" si="72"/>
        <v>1.2520000000000001E-3</v>
      </c>
      <c r="V174" s="61">
        <f t="shared" si="72"/>
        <v>-2.1999999999999988E-3</v>
      </c>
    </row>
    <row r="175" spans="1:22">
      <c r="A175" s="167">
        <v>152</v>
      </c>
      <c r="B175" s="168" t="s">
        <v>223</v>
      </c>
      <c r="C175" s="168" t="s">
        <v>85</v>
      </c>
      <c r="D175" s="31">
        <v>714769938.29363406</v>
      </c>
      <c r="E175" s="32">
        <f>(D175/$D$179)</f>
        <v>1.3082683120043527E-2</v>
      </c>
      <c r="F175" s="35">
        <v>1.3646024862205901</v>
      </c>
      <c r="G175" s="35">
        <v>1.3646024862205901</v>
      </c>
      <c r="H175" s="34">
        <v>42</v>
      </c>
      <c r="I175" s="53">
        <v>1.27233163018291E-2</v>
      </c>
      <c r="J175" s="53">
        <v>1.3870235519679801E-2</v>
      </c>
      <c r="K175" s="31">
        <v>716847014.90390742</v>
      </c>
      <c r="L175" s="32">
        <f>(K175/$K$179)</f>
        <v>1.3157164456690386E-2</v>
      </c>
      <c r="M175" s="35">
        <v>1.3685679354576119</v>
      </c>
      <c r="N175" s="35">
        <v>1.3685679354576119</v>
      </c>
      <c r="O175" s="34">
        <v>42</v>
      </c>
      <c r="P175" s="53">
        <v>2.905937279948164E-3</v>
      </c>
      <c r="Q175" s="53">
        <v>1.6816478834106273E-2</v>
      </c>
      <c r="R175" s="60">
        <f t="shared" si="70"/>
        <v>2.9059372799476622E-3</v>
      </c>
      <c r="S175" s="60">
        <f t="shared" si="71"/>
        <v>2.9059372799506828E-3</v>
      </c>
      <c r="T175" s="60">
        <f t="shared" si="71"/>
        <v>0</v>
      </c>
      <c r="U175" s="60">
        <f t="shared" si="72"/>
        <v>-9.8173790218809356E-3</v>
      </c>
      <c r="V175" s="61">
        <f t="shared" si="72"/>
        <v>2.9462433144264721E-3</v>
      </c>
    </row>
    <row r="176" spans="1:22">
      <c r="A176" s="170">
        <v>153</v>
      </c>
      <c r="B176" s="168" t="s">
        <v>224</v>
      </c>
      <c r="C176" s="169" t="s">
        <v>52</v>
      </c>
      <c r="D176" s="35">
        <v>2164100564.0300002</v>
      </c>
      <c r="E176" s="32">
        <f>(D176/$D$179)</f>
        <v>3.9610286334511496E-2</v>
      </c>
      <c r="F176" s="35">
        <v>2.0108000000000001</v>
      </c>
      <c r="G176" s="35">
        <v>2.0238</v>
      </c>
      <c r="H176" s="34">
        <v>2237</v>
      </c>
      <c r="I176" s="53">
        <v>8.6E-3</v>
      </c>
      <c r="J176" s="53">
        <v>1.6899999999999998E-2</v>
      </c>
      <c r="K176" s="35">
        <v>2185637952.1199999</v>
      </c>
      <c r="L176" s="57">
        <f>(K176/$K$179)</f>
        <v>4.0115669565397638E-2</v>
      </c>
      <c r="M176" s="35">
        <v>2.0188999999999999</v>
      </c>
      <c r="N176" s="35">
        <v>2.0322</v>
      </c>
      <c r="O176" s="34">
        <v>2237</v>
      </c>
      <c r="P176" s="53">
        <v>4.0000000000000001E-3</v>
      </c>
      <c r="Q176" s="53">
        <v>2.1000000000000001E-2</v>
      </c>
      <c r="R176" s="60">
        <f t="shared" si="70"/>
        <v>9.9521198080983041E-3</v>
      </c>
      <c r="S176" s="60">
        <f t="shared" si="71"/>
        <v>4.1506077675659463E-3</v>
      </c>
      <c r="T176" s="60">
        <f t="shared" si="71"/>
        <v>0</v>
      </c>
      <c r="U176" s="60">
        <f t="shared" si="72"/>
        <v>-4.5999999999999999E-3</v>
      </c>
      <c r="V176" s="61">
        <f t="shared" si="72"/>
        <v>4.1000000000000029E-3</v>
      </c>
    </row>
    <row r="177" spans="1:22">
      <c r="A177" s="167">
        <v>154</v>
      </c>
      <c r="B177" s="168" t="s">
        <v>225</v>
      </c>
      <c r="C177" s="169" t="s">
        <v>52</v>
      </c>
      <c r="D177" s="35">
        <v>1232819834.27</v>
      </c>
      <c r="E177" s="32">
        <f>(D177/$D$179)</f>
        <v>2.2564730792068111E-2</v>
      </c>
      <c r="F177" s="35">
        <v>1.5432999999999999</v>
      </c>
      <c r="G177" s="35">
        <v>1.5521</v>
      </c>
      <c r="H177" s="34">
        <v>839</v>
      </c>
      <c r="I177" s="53">
        <v>1.01E-2</v>
      </c>
      <c r="J177" s="53">
        <v>1.5800000000000002E-2</v>
      </c>
      <c r="K177" s="35">
        <v>1225452766.25</v>
      </c>
      <c r="L177" s="57">
        <f>(K177/$K$179)</f>
        <v>2.2492223925377922E-2</v>
      </c>
      <c r="M177" s="35">
        <v>1.5367999999999999</v>
      </c>
      <c r="N177" s="35">
        <v>1.5457000000000001</v>
      </c>
      <c r="O177" s="34">
        <v>839</v>
      </c>
      <c r="P177" s="53">
        <v>-4.1999999999999997E-3</v>
      </c>
      <c r="Q177" s="53">
        <v>1.15E-2</v>
      </c>
      <c r="R177" s="60">
        <f t="shared" si="70"/>
        <v>-5.9757864168062357E-3</v>
      </c>
      <c r="S177" s="60">
        <f t="shared" si="71"/>
        <v>-4.1234456542748286E-3</v>
      </c>
      <c r="T177" s="60">
        <f t="shared" si="71"/>
        <v>0</v>
      </c>
      <c r="U177" s="60">
        <f t="shared" si="72"/>
        <v>-1.43E-2</v>
      </c>
      <c r="V177" s="61">
        <f t="shared" si="72"/>
        <v>-4.3000000000000017E-3</v>
      </c>
    </row>
    <row r="178" spans="1:22">
      <c r="A178" s="170">
        <v>155</v>
      </c>
      <c r="B178" s="168" t="s">
        <v>226</v>
      </c>
      <c r="C178" s="169" t="s">
        <v>107</v>
      </c>
      <c r="D178" s="31">
        <v>9688548618.3899994</v>
      </c>
      <c r="E178" s="32">
        <f>(D178/$D$179)</f>
        <v>0.17733287968171502</v>
      </c>
      <c r="F178" s="35">
        <v>527.72</v>
      </c>
      <c r="G178" s="35">
        <v>534.14099999999996</v>
      </c>
      <c r="H178" s="34">
        <v>37</v>
      </c>
      <c r="I178" s="53">
        <v>2.0421070077192516E-2</v>
      </c>
      <c r="J178" s="53">
        <v>1.3738385078017279E-2</v>
      </c>
      <c r="K178" s="31">
        <v>9692585694.1299992</v>
      </c>
      <c r="L178" s="57">
        <v>5.2058</v>
      </c>
      <c r="M178" s="35">
        <v>527.41999999999996</v>
      </c>
      <c r="N178" s="35">
        <v>533.79999999999995</v>
      </c>
      <c r="O178" s="34">
        <v>38</v>
      </c>
      <c r="P178" s="53">
        <v>-5.9999999999999995E-4</v>
      </c>
      <c r="Q178" s="53">
        <v>1.9800000000000002E-2</v>
      </c>
      <c r="R178" s="60">
        <f t="shared" si="70"/>
        <v>4.1668529508505836E-4</v>
      </c>
      <c r="S178" s="60">
        <f t="shared" si="71"/>
        <v>-6.3840821056613932E-4</v>
      </c>
      <c r="T178" s="60">
        <f t="shared" si="71"/>
        <v>2.7027027027027029E-2</v>
      </c>
      <c r="U178" s="60">
        <f t="shared" si="72"/>
        <v>-2.1021070077192516E-2</v>
      </c>
      <c r="V178" s="61">
        <f t="shared" si="72"/>
        <v>6.0616149219827227E-3</v>
      </c>
    </row>
    <row r="179" spans="1:22">
      <c r="A179" s="38"/>
      <c r="B179" s="39"/>
      <c r="C179" s="40" t="s">
        <v>53</v>
      </c>
      <c r="D179" s="78">
        <f>SUM(D151:D178)</f>
        <v>54634812426.096275</v>
      </c>
      <c r="E179" s="42">
        <f>(D179/$D$210)</f>
        <v>1.378430730162993E-2</v>
      </c>
      <c r="F179" s="43"/>
      <c r="G179" s="79"/>
      <c r="H179" s="45">
        <f>SUM(H151:H178)</f>
        <v>69296</v>
      </c>
      <c r="I179" s="85"/>
      <c r="J179" s="85"/>
      <c r="K179" s="78">
        <f>SUM(K151:K178)</f>
        <v>54483397031.599197</v>
      </c>
      <c r="L179" s="42">
        <f>(K179/$K$210)</f>
        <v>1.3554076355050978E-2</v>
      </c>
      <c r="M179" s="43"/>
      <c r="N179" s="79"/>
      <c r="O179" s="45">
        <f>SUM(O151:O178)</f>
        <v>69312</v>
      </c>
      <c r="P179" s="85"/>
      <c r="Q179" s="85"/>
      <c r="R179" s="60">
        <f t="shared" ref="R179" si="73">((K179-D179)/D179)</f>
        <v>-2.7714087003024926E-3</v>
      </c>
      <c r="S179" s="60" t="e">
        <f t="shared" ref="S179" si="74">((N179-G179)/G179)</f>
        <v>#DIV/0!</v>
      </c>
      <c r="T179" s="60">
        <f t="shared" ref="T179" si="75">((O179-H179)/H179)</f>
        <v>2.3089355806972986E-4</v>
      </c>
      <c r="U179" s="60">
        <f t="shared" ref="U179" si="76">P179-I179</f>
        <v>0</v>
      </c>
      <c r="V179" s="61">
        <f t="shared" ref="V179" si="77">Q179-J179</f>
        <v>0</v>
      </c>
    </row>
    <row r="180" spans="1:22" ht="5.25" customHeight="1">
      <c r="A180" s="3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78"/>
      <c r="N180" s="178"/>
      <c r="O180" s="178"/>
      <c r="P180" s="178"/>
      <c r="Q180" s="178"/>
      <c r="R180" s="178"/>
      <c r="S180" s="178"/>
      <c r="T180" s="178"/>
      <c r="U180" s="178"/>
      <c r="V180" s="178"/>
    </row>
    <row r="181" spans="1:22" ht="15" customHeight="1">
      <c r="A181" s="180" t="s">
        <v>227</v>
      </c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  <c r="S181" s="180"/>
      <c r="T181" s="180"/>
      <c r="U181" s="180"/>
      <c r="V181" s="180"/>
    </row>
    <row r="182" spans="1:22" ht="16.2" customHeight="1">
      <c r="A182" s="167">
        <v>156</v>
      </c>
      <c r="B182" s="168" t="s">
        <v>228</v>
      </c>
      <c r="C182" s="169" t="s">
        <v>23</v>
      </c>
      <c r="D182" s="81">
        <v>1002806471.12</v>
      </c>
      <c r="E182" s="32">
        <f>(D182/$D$185)</f>
        <v>0.16566776350099766</v>
      </c>
      <c r="F182" s="80">
        <v>69.159000000000006</v>
      </c>
      <c r="G182" s="80">
        <v>71.244200000000006</v>
      </c>
      <c r="H182" s="36">
        <v>1666</v>
      </c>
      <c r="I182" s="54">
        <v>0.2843</v>
      </c>
      <c r="J182" s="54">
        <v>0.31419999999999998</v>
      </c>
      <c r="K182" s="81">
        <v>989639310.91999996</v>
      </c>
      <c r="L182" s="57">
        <f>(K182/$K$185)</f>
        <v>0.16435054296957799</v>
      </c>
      <c r="M182" s="80">
        <v>68.623999999999995</v>
      </c>
      <c r="N182" s="80">
        <v>70.692999999999998</v>
      </c>
      <c r="O182" s="36">
        <v>1669</v>
      </c>
      <c r="P182" s="54">
        <v>-0.40339999999999998</v>
      </c>
      <c r="Q182" s="54">
        <v>1.7299999999999999E-2</v>
      </c>
      <c r="R182" s="60">
        <f>((K182-D182)/D182)</f>
        <v>-1.3130310363169176E-2</v>
      </c>
      <c r="S182" s="60">
        <f t="shared" ref="S182:T185" si="78">((N182-G182)/G182)</f>
        <v>-7.7367701511141754E-3</v>
      </c>
      <c r="T182" s="60">
        <f t="shared" si="78"/>
        <v>1.8007202881152461E-3</v>
      </c>
      <c r="U182" s="60">
        <f t="shared" ref="U182:V185" si="79">P182-I182</f>
        <v>-0.68769999999999998</v>
      </c>
      <c r="V182" s="61">
        <f t="shared" si="79"/>
        <v>-0.2969</v>
      </c>
    </row>
    <row r="183" spans="1:22">
      <c r="A183" s="167">
        <v>157</v>
      </c>
      <c r="B183" s="168" t="s">
        <v>229</v>
      </c>
      <c r="C183" s="169" t="s">
        <v>230</v>
      </c>
      <c r="D183" s="81">
        <v>964499725.91999996</v>
      </c>
      <c r="E183" s="32">
        <f>(D183/$D$185)</f>
        <v>0.15933933125903302</v>
      </c>
      <c r="F183" s="80">
        <v>27.268599999999999</v>
      </c>
      <c r="G183" s="80">
        <v>27.5562</v>
      </c>
      <c r="H183" s="34">
        <v>1483</v>
      </c>
      <c r="I183" s="53">
        <v>1.6799999999999999E-2</v>
      </c>
      <c r="J183" s="53">
        <v>2.47E-2</v>
      </c>
      <c r="K183" s="81">
        <v>973902744.04999995</v>
      </c>
      <c r="L183" s="57">
        <f>(K183/$K$185)</f>
        <v>0.16173715314055304</v>
      </c>
      <c r="M183" s="80">
        <v>27.680700000000002</v>
      </c>
      <c r="N183" s="80">
        <v>27.976800000000001</v>
      </c>
      <c r="O183" s="34">
        <v>1482</v>
      </c>
      <c r="P183" s="53">
        <v>1.8200000000000001E-2</v>
      </c>
      <c r="Q183" s="53">
        <v>4.0300000000000002E-2</v>
      </c>
      <c r="R183" s="60">
        <f>((K183-D183)/D183)</f>
        <v>9.7491143618841473E-3</v>
      </c>
      <c r="S183" s="60">
        <f t="shared" si="78"/>
        <v>1.5263352711912393E-2</v>
      </c>
      <c r="T183" s="60">
        <f t="shared" si="78"/>
        <v>-6.7430883344571813E-4</v>
      </c>
      <c r="U183" s="60">
        <f t="shared" si="79"/>
        <v>1.4000000000000019E-3</v>
      </c>
      <c r="V183" s="61">
        <f t="shared" si="79"/>
        <v>1.5600000000000003E-2</v>
      </c>
    </row>
    <row r="184" spans="1:22">
      <c r="A184" s="167">
        <v>158</v>
      </c>
      <c r="B184" s="168" t="s">
        <v>231</v>
      </c>
      <c r="C184" s="169" t="s">
        <v>49</v>
      </c>
      <c r="D184" s="47">
        <v>4085811500.2600002</v>
      </c>
      <c r="E184" s="32">
        <f>(D184/$D$185)</f>
        <v>0.67499290523996935</v>
      </c>
      <c r="F184" s="80">
        <v>2.93</v>
      </c>
      <c r="G184" s="80">
        <v>2.97</v>
      </c>
      <c r="H184" s="34">
        <v>10207</v>
      </c>
      <c r="I184" s="53">
        <v>1.7100000000000001E-2</v>
      </c>
      <c r="J184" s="53">
        <v>2.41E-2</v>
      </c>
      <c r="K184" s="47">
        <v>4057973256.3800001</v>
      </c>
      <c r="L184" s="57">
        <f>(K184/$K$185)</f>
        <v>0.67391230388986889</v>
      </c>
      <c r="M184" s="80">
        <v>2.91</v>
      </c>
      <c r="N184" s="80">
        <v>2.95</v>
      </c>
      <c r="O184" s="34">
        <v>10215</v>
      </c>
      <c r="P184" s="53" t="s">
        <v>308</v>
      </c>
      <c r="Q184" s="53" t="s">
        <v>309</v>
      </c>
      <c r="R184" s="60">
        <f>((K184-D184)/D184)</f>
        <v>-6.8133940780744856E-3</v>
      </c>
      <c r="S184" s="60">
        <f t="shared" si="78"/>
        <v>-6.7340067340067398E-3</v>
      </c>
      <c r="T184" s="60">
        <f t="shared" si="78"/>
        <v>7.8377584010972865E-4</v>
      </c>
      <c r="U184" s="60" t="e">
        <f t="shared" si="79"/>
        <v>#VALUE!</v>
      </c>
      <c r="V184" s="61" t="e">
        <f t="shared" si="79"/>
        <v>#VALUE!</v>
      </c>
    </row>
    <row r="185" spans="1:22">
      <c r="A185" s="38"/>
      <c r="B185" s="39"/>
      <c r="C185" s="74" t="s">
        <v>53</v>
      </c>
      <c r="D185" s="78">
        <f>SUM(D182:D184)</f>
        <v>6053117697.3000002</v>
      </c>
      <c r="E185" s="42">
        <f>(D185/$D$210)</f>
        <v>1.5271954046768839E-3</v>
      </c>
      <c r="F185" s="43"/>
      <c r="G185" s="79"/>
      <c r="H185" s="45">
        <f>SUM(H182:H184)</f>
        <v>13356</v>
      </c>
      <c r="I185" s="85"/>
      <c r="J185" s="85"/>
      <c r="K185" s="78">
        <f>SUM(K182:K184)</f>
        <v>6021515311.3500004</v>
      </c>
      <c r="L185" s="42">
        <f>(K185/$K$210)</f>
        <v>1.4979990740263663E-3</v>
      </c>
      <c r="M185" s="43"/>
      <c r="N185" s="79"/>
      <c r="O185" s="45">
        <f>SUM(O182:O184)</f>
        <v>13366</v>
      </c>
      <c r="P185" s="85"/>
      <c r="Q185" s="85"/>
      <c r="R185" s="60">
        <f>((K185-D185)/D185)</f>
        <v>-5.2208444524539958E-3</v>
      </c>
      <c r="S185" s="60" t="e">
        <f t="shared" si="78"/>
        <v>#DIV/0!</v>
      </c>
      <c r="T185" s="60">
        <f t="shared" si="78"/>
        <v>7.4872716382150348E-4</v>
      </c>
      <c r="U185" s="60">
        <f t="shared" si="79"/>
        <v>0</v>
      </c>
      <c r="V185" s="61">
        <f t="shared" si="79"/>
        <v>0</v>
      </c>
    </row>
    <row r="186" spans="1:22" ht="6" customHeight="1">
      <c r="A186" s="3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78"/>
      <c r="N186" s="178"/>
      <c r="O186" s="178"/>
      <c r="P186" s="178"/>
      <c r="Q186" s="178"/>
      <c r="R186" s="178"/>
      <c r="S186" s="178"/>
      <c r="T186" s="178"/>
      <c r="U186" s="178"/>
      <c r="V186" s="178"/>
    </row>
    <row r="187" spans="1:22" ht="15" customHeight="1">
      <c r="A187" s="181" t="s">
        <v>232</v>
      </c>
      <c r="B187" s="181"/>
      <c r="C187" s="181"/>
      <c r="D187" s="181"/>
      <c r="E187" s="181"/>
      <c r="F187" s="181"/>
      <c r="G187" s="181"/>
      <c r="H187" s="181"/>
      <c r="I187" s="181"/>
      <c r="J187" s="181"/>
      <c r="K187" s="181"/>
      <c r="L187" s="181"/>
      <c r="M187" s="181"/>
      <c r="N187" s="181"/>
      <c r="O187" s="181"/>
      <c r="P187" s="181"/>
      <c r="Q187" s="181"/>
      <c r="R187" s="181"/>
      <c r="S187" s="181"/>
      <c r="T187" s="181"/>
      <c r="U187" s="181"/>
      <c r="V187" s="181"/>
    </row>
    <row r="188" spans="1:22">
      <c r="A188" s="182" t="s">
        <v>233</v>
      </c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</row>
    <row r="189" spans="1:22">
      <c r="A189" s="167">
        <v>159</v>
      </c>
      <c r="B189" s="168" t="s">
        <v>234</v>
      </c>
      <c r="C189" s="169" t="s">
        <v>235</v>
      </c>
      <c r="D189" s="50">
        <v>4992080943.7600002</v>
      </c>
      <c r="E189" s="32">
        <f>(D189/$D$209)</f>
        <v>9.4949929467928351E-2</v>
      </c>
      <c r="F189" s="82">
        <v>2.2869999999999999</v>
      </c>
      <c r="G189" s="82">
        <v>2.33</v>
      </c>
      <c r="H189" s="49">
        <v>15025</v>
      </c>
      <c r="I189" s="56">
        <v>7.3000000000000001E-3</v>
      </c>
      <c r="J189" s="56">
        <v>8.3999999999999995E-3</v>
      </c>
      <c r="K189" s="50">
        <v>4972922501.0699997</v>
      </c>
      <c r="L189" s="32">
        <f>(K189/$K$209)</f>
        <v>9.2485376914505715E-2</v>
      </c>
      <c r="M189" s="82">
        <v>2.2799999999999998</v>
      </c>
      <c r="N189" s="82">
        <v>2.3199999999999998</v>
      </c>
      <c r="O189" s="49">
        <v>15027</v>
      </c>
      <c r="P189" s="56">
        <v>-5.3E-3</v>
      </c>
      <c r="Q189" s="56">
        <v>3.0000000000000001E-3</v>
      </c>
      <c r="R189" s="60">
        <f>((K189-D189)/D189)</f>
        <v>-3.8377668362826124E-3</v>
      </c>
      <c r="S189" s="60">
        <f>((N189-G189)/G189)</f>
        <v>-4.2918454935623306E-3</v>
      </c>
      <c r="T189" s="60">
        <f>((O189-H189)/H189)</f>
        <v>1.3311148086522461E-4</v>
      </c>
      <c r="U189" s="60">
        <f>P189-I189</f>
        <v>-1.26E-2</v>
      </c>
      <c r="V189" s="61">
        <f>Q189-J189</f>
        <v>-5.3999999999999994E-3</v>
      </c>
    </row>
    <row r="190" spans="1:22">
      <c r="A190" s="167">
        <v>160</v>
      </c>
      <c r="B190" s="168" t="s">
        <v>236</v>
      </c>
      <c r="C190" s="169" t="s">
        <v>49</v>
      </c>
      <c r="D190" s="50">
        <v>775775420.63999999</v>
      </c>
      <c r="E190" s="32">
        <f>(D190/$D$209)</f>
        <v>1.4755333958435455E-2</v>
      </c>
      <c r="F190" s="82">
        <v>509</v>
      </c>
      <c r="G190" s="82">
        <v>515.57000000000005</v>
      </c>
      <c r="H190" s="49">
        <v>856</v>
      </c>
      <c r="I190" s="56">
        <v>1.1900000000000001E-2</v>
      </c>
      <c r="J190" s="56">
        <v>2.1600000000000001E-2</v>
      </c>
      <c r="K190" s="50">
        <v>778240822.51999998</v>
      </c>
      <c r="L190" s="32">
        <f>(K190/$K$209)</f>
        <v>1.4473560725213481E-2</v>
      </c>
      <c r="M190" s="82">
        <v>505.3</v>
      </c>
      <c r="N190" s="82">
        <v>511.73</v>
      </c>
      <c r="O190" s="49">
        <v>862</v>
      </c>
      <c r="P190" s="56">
        <v>-7.4000000000000003E-3</v>
      </c>
      <c r="Q190" s="56">
        <v>1.3899999999999999E-2</v>
      </c>
      <c r="R190" s="60">
        <f>((K190-D190)/D190)</f>
        <v>3.1779840072350906E-3</v>
      </c>
      <c r="S190" s="60">
        <f>((N190-G190)/G190)</f>
        <v>-7.4480671877728173E-3</v>
      </c>
      <c r="T190" s="60">
        <f>((O190-H190)/H190)</f>
        <v>7.0093457943925233E-3</v>
      </c>
      <c r="U190" s="60">
        <f>P190-I190</f>
        <v>-1.9300000000000001E-2</v>
      </c>
      <c r="V190" s="61">
        <f>Q190-J190</f>
        <v>-7.700000000000002E-3</v>
      </c>
    </row>
    <row r="191" spans="1:22" ht="6" customHeight="1">
      <c r="A191" s="3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78"/>
      <c r="N191" s="178"/>
      <c r="O191" s="178"/>
      <c r="P191" s="178"/>
      <c r="Q191" s="178"/>
      <c r="R191" s="178"/>
      <c r="S191" s="178"/>
      <c r="T191" s="178"/>
      <c r="U191" s="178"/>
      <c r="V191" s="178"/>
    </row>
    <row r="192" spans="1:22" ht="15" customHeight="1">
      <c r="A192" s="182" t="s">
        <v>175</v>
      </c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</row>
    <row r="193" spans="1:24">
      <c r="A193" s="167">
        <v>161</v>
      </c>
      <c r="B193" s="168" t="s">
        <v>299</v>
      </c>
      <c r="C193" s="169" t="s">
        <v>23</v>
      </c>
      <c r="D193" s="31">
        <v>402462515.43000001</v>
      </c>
      <c r="E193" s="32">
        <f t="shared" ref="E193:E205" si="80">(D193/$D$209)</f>
        <v>7.6548813779411936E-3</v>
      </c>
      <c r="F193" s="80">
        <v>1.0186999999999999</v>
      </c>
      <c r="G193" s="80">
        <v>1.0186999999999999</v>
      </c>
      <c r="H193" s="34">
        <v>173</v>
      </c>
      <c r="I193" s="53">
        <v>0.20039999999999999</v>
      </c>
      <c r="J193" s="53">
        <v>0.20180000000000001</v>
      </c>
      <c r="K193" s="31">
        <v>554203713.54999995</v>
      </c>
      <c r="L193" s="32">
        <f t="shared" ref="L193:L205" si="81">(K193/$K$209)</f>
        <v>1.0306965235042785E-2</v>
      </c>
      <c r="M193" s="80">
        <v>1.0222</v>
      </c>
      <c r="N193" s="80">
        <v>1.0222</v>
      </c>
      <c r="O193" s="34">
        <v>232</v>
      </c>
      <c r="P193" s="53">
        <v>0.17910000000000001</v>
      </c>
      <c r="Q193" s="53">
        <v>0.19289999999999999</v>
      </c>
      <c r="R193" s="60">
        <f>((K193-D193)/D193)</f>
        <v>0.37703187825548484</v>
      </c>
      <c r="S193" s="60">
        <f>((N193-G193)/G193)</f>
        <v>3.4357514479238824E-3</v>
      </c>
      <c r="T193" s="60">
        <f>((O193-H193)/H193)</f>
        <v>0.34104046242774566</v>
      </c>
      <c r="U193" s="60">
        <f>P193-I193</f>
        <v>-2.1299999999999986E-2</v>
      </c>
      <c r="V193" s="61">
        <f>Q193-J193</f>
        <v>-8.900000000000019E-3</v>
      </c>
      <c r="X193" s="86"/>
    </row>
    <row r="194" spans="1:24">
      <c r="A194" s="167">
        <v>162</v>
      </c>
      <c r="B194" s="168" t="s">
        <v>237</v>
      </c>
      <c r="C194" s="169" t="s">
        <v>238</v>
      </c>
      <c r="D194" s="31">
        <v>349649081.88</v>
      </c>
      <c r="E194" s="32">
        <f t="shared" ref="E194" si="82">(D194/$D$209)</f>
        <v>6.6503640539983975E-3</v>
      </c>
      <c r="F194" s="80" t="s">
        <v>302</v>
      </c>
      <c r="G194" s="80" t="s">
        <v>303</v>
      </c>
      <c r="H194" s="34">
        <v>19</v>
      </c>
      <c r="I194" s="53">
        <v>2.2000000000000001E-3</v>
      </c>
      <c r="J194" s="53">
        <v>3.0999999999999999E-3</v>
      </c>
      <c r="K194" s="31">
        <v>350221131.93000001</v>
      </c>
      <c r="L194" s="32">
        <f t="shared" ref="L194" si="83">(K194/$K$209)</f>
        <v>6.5133396675700478E-3</v>
      </c>
      <c r="M194" s="80" t="s">
        <v>311</v>
      </c>
      <c r="N194" s="80" t="s">
        <v>312</v>
      </c>
      <c r="O194" s="34">
        <v>19</v>
      </c>
      <c r="P194" s="53">
        <v>2.0999999999999999E-3</v>
      </c>
      <c r="Q194" s="53">
        <v>5.1999999999999998E-3</v>
      </c>
      <c r="R194" s="60">
        <f>((K194-D194)/D194)</f>
        <v>1.6360690750972435E-3</v>
      </c>
      <c r="S194" s="60" t="e">
        <f>((N194-G194)/G194)</f>
        <v>#VALUE!</v>
      </c>
      <c r="T194" s="60">
        <f>((O194-H194)/H194)</f>
        <v>0</v>
      </c>
      <c r="U194" s="60">
        <f>P194-I194</f>
        <v>-1.0000000000000026E-4</v>
      </c>
      <c r="V194" s="61">
        <f>Q194-J194</f>
        <v>2.0999999999999999E-3</v>
      </c>
      <c r="X194" s="86"/>
    </row>
    <row r="195" spans="1:24">
      <c r="A195" s="167">
        <v>163</v>
      </c>
      <c r="B195" s="168" t="s">
        <v>239</v>
      </c>
      <c r="C195" s="169" t="s">
        <v>67</v>
      </c>
      <c r="D195" s="31">
        <v>132502373.56999999</v>
      </c>
      <c r="E195" s="32">
        <f t="shared" si="80"/>
        <v>2.5202097414968204E-3</v>
      </c>
      <c r="F195" s="80">
        <v>116.29</v>
      </c>
      <c r="G195" s="80">
        <v>116.29</v>
      </c>
      <c r="H195" s="34">
        <v>75</v>
      </c>
      <c r="I195" s="53">
        <v>2.2000000000000001E-3</v>
      </c>
      <c r="J195" s="53">
        <v>0.14610000000000001</v>
      </c>
      <c r="K195" s="31">
        <v>131830899.98</v>
      </c>
      <c r="L195" s="32">
        <f t="shared" si="81"/>
        <v>2.4517636200856573E-3</v>
      </c>
      <c r="M195" s="80">
        <v>116.6</v>
      </c>
      <c r="N195" s="80">
        <v>116.6</v>
      </c>
      <c r="O195" s="34">
        <v>75</v>
      </c>
      <c r="P195" s="53">
        <v>2.7000000000000001E-3</v>
      </c>
      <c r="Q195" s="53">
        <v>0.14649999999999999</v>
      </c>
      <c r="R195" s="60">
        <f t="shared" ref="R195:R210" si="84">((K195-D195)/D195)</f>
        <v>-5.0676344272825745E-3</v>
      </c>
      <c r="S195" s="60">
        <f t="shared" ref="S195:S209" si="85">((N195-G195)/G195)</f>
        <v>2.6657494195544591E-3</v>
      </c>
      <c r="T195" s="60">
        <f t="shared" ref="T195:T209" si="86">((O195-H195)/H195)</f>
        <v>0</v>
      </c>
      <c r="U195" s="60">
        <f t="shared" ref="U195:U209" si="87">P195-I195</f>
        <v>5.0000000000000001E-4</v>
      </c>
      <c r="V195" s="61">
        <f t="shared" ref="V195:V209" si="88">Q195-J195</f>
        <v>3.999999999999837E-4</v>
      </c>
    </row>
    <row r="196" spans="1:24">
      <c r="A196" s="167">
        <v>164</v>
      </c>
      <c r="B196" s="172" t="s">
        <v>240</v>
      </c>
      <c r="C196" s="169" t="s">
        <v>73</v>
      </c>
      <c r="D196" s="47">
        <v>59417917.170000002</v>
      </c>
      <c r="E196" s="32">
        <f t="shared" si="80"/>
        <v>1.1301353299318501E-3</v>
      </c>
      <c r="F196" s="80">
        <v>98.04</v>
      </c>
      <c r="G196" s="80">
        <v>98.5</v>
      </c>
      <c r="H196" s="34">
        <v>14</v>
      </c>
      <c r="I196" s="53">
        <v>4.0000000000000001E-3</v>
      </c>
      <c r="J196" s="53">
        <v>4.3E-3</v>
      </c>
      <c r="K196" s="47">
        <v>54460185.359999999</v>
      </c>
      <c r="L196" s="32">
        <f t="shared" si="81"/>
        <v>1.012839184356826E-3</v>
      </c>
      <c r="M196" s="80">
        <v>97.14</v>
      </c>
      <c r="N196" s="80">
        <v>97.19</v>
      </c>
      <c r="O196" s="34">
        <v>14</v>
      </c>
      <c r="P196" s="53">
        <v>-5.0000000000000001E-3</v>
      </c>
      <c r="Q196" s="53">
        <v>-5.9999999999999995E-4</v>
      </c>
      <c r="R196" s="60">
        <f t="shared" si="84"/>
        <v>-8.343833049239148E-2</v>
      </c>
      <c r="S196" s="60">
        <f t="shared" si="85"/>
        <v>-1.3299492385786826E-2</v>
      </c>
      <c r="T196" s="60">
        <f t="shared" si="86"/>
        <v>0</v>
      </c>
      <c r="U196" s="60">
        <f t="shared" si="87"/>
        <v>-9.0000000000000011E-3</v>
      </c>
      <c r="V196" s="61">
        <f t="shared" si="88"/>
        <v>-4.8999999999999998E-3</v>
      </c>
    </row>
    <row r="197" spans="1:24">
      <c r="A197" s="167">
        <v>165</v>
      </c>
      <c r="B197" s="168" t="s">
        <v>241</v>
      </c>
      <c r="C197" s="169" t="s">
        <v>76</v>
      </c>
      <c r="D197" s="47">
        <v>109498072.56</v>
      </c>
      <c r="E197" s="32">
        <v>0</v>
      </c>
      <c r="F197" s="80">
        <v>1.0458000000000001</v>
      </c>
      <c r="G197" s="80">
        <v>1.0458000000000001</v>
      </c>
      <c r="H197" s="34">
        <v>26</v>
      </c>
      <c r="I197" s="53">
        <v>1.6000000000000001E-4</v>
      </c>
      <c r="J197" s="53">
        <v>0.12620000000000001</v>
      </c>
      <c r="K197" s="47">
        <v>109753975.23</v>
      </c>
      <c r="L197" s="32">
        <f t="shared" si="81"/>
        <v>2.0411815717674689E-3</v>
      </c>
      <c r="M197" s="80">
        <v>1.0482</v>
      </c>
      <c r="N197" s="80">
        <v>1.0482</v>
      </c>
      <c r="O197" s="34">
        <v>24</v>
      </c>
      <c r="P197" s="53">
        <v>1.1999999999999999E-3</v>
      </c>
      <c r="Q197" s="53">
        <v>0.12509999999999999</v>
      </c>
      <c r="R197" s="60">
        <f t="shared" ref="R197:R198" si="89">((K197-D197)/D197)</f>
        <v>2.3370518221658984E-3</v>
      </c>
      <c r="S197" s="60">
        <f t="shared" ref="S197:S198" si="90">((N197-G197)/G197)</f>
        <v>2.2948938611588809E-3</v>
      </c>
      <c r="T197" s="60">
        <f t="shared" ref="T197" si="91">((O197-H197)/H197)</f>
        <v>-7.6923076923076927E-2</v>
      </c>
      <c r="U197" s="60">
        <f t="shared" ref="U197" si="92">P197-I197</f>
        <v>1.0399999999999999E-3</v>
      </c>
      <c r="V197" s="61">
        <f t="shared" ref="V197" si="93">Q197-J197</f>
        <v>-1.1000000000000176E-3</v>
      </c>
    </row>
    <row r="198" spans="1:24">
      <c r="A198" s="167">
        <v>166</v>
      </c>
      <c r="B198" s="168" t="s">
        <v>242</v>
      </c>
      <c r="C198" s="169" t="s">
        <v>31</v>
      </c>
      <c r="D198" s="31">
        <v>7924355067.2399998</v>
      </c>
      <c r="E198" s="32">
        <f t="shared" si="80"/>
        <v>0.15072210630994765</v>
      </c>
      <c r="F198" s="80">
        <v>144.06</v>
      </c>
      <c r="G198" s="80">
        <v>144.06</v>
      </c>
      <c r="H198" s="34">
        <v>691</v>
      </c>
      <c r="I198" s="53">
        <v>2.8999999999999998E-3</v>
      </c>
      <c r="J198" s="53">
        <v>4.1000000000000003E-3</v>
      </c>
      <c r="K198" s="31">
        <v>7793141158.6999998</v>
      </c>
      <c r="L198" s="32">
        <f t="shared" si="81"/>
        <v>0.14493521611391222</v>
      </c>
      <c r="M198" s="80">
        <v>144.47</v>
      </c>
      <c r="N198" s="80">
        <v>144.47</v>
      </c>
      <c r="O198" s="34">
        <v>691</v>
      </c>
      <c r="P198" s="53">
        <v>2.8E-3</v>
      </c>
      <c r="Q198" s="53">
        <v>7.0000000000000001E-3</v>
      </c>
      <c r="R198" s="60">
        <f t="shared" si="89"/>
        <v>-1.6558307575395014E-2</v>
      </c>
      <c r="S198" s="60">
        <f t="shared" si="90"/>
        <v>2.8460363737331431E-3</v>
      </c>
      <c r="T198" s="60">
        <f t="shared" si="86"/>
        <v>0</v>
      </c>
      <c r="U198" s="60">
        <f t="shared" si="87"/>
        <v>-9.9999999999999829E-5</v>
      </c>
      <c r="V198" s="61">
        <f t="shared" si="88"/>
        <v>2.8999999999999998E-3</v>
      </c>
    </row>
    <row r="199" spans="1:24">
      <c r="A199" s="167">
        <v>167</v>
      </c>
      <c r="B199" s="168" t="s">
        <v>243</v>
      </c>
      <c r="C199" s="169" t="s">
        <v>65</v>
      </c>
      <c r="D199" s="31">
        <v>544787793.20769405</v>
      </c>
      <c r="E199" s="32">
        <f t="shared" si="80"/>
        <v>1.0361923839539759E-2</v>
      </c>
      <c r="F199" s="37">
        <v>1192.9246207128299</v>
      </c>
      <c r="G199" s="37">
        <v>1192.9246207128299</v>
      </c>
      <c r="H199" s="34">
        <v>116</v>
      </c>
      <c r="I199" s="53">
        <v>0.1820772340503643</v>
      </c>
      <c r="J199" s="53">
        <v>0.18229784884436642</v>
      </c>
      <c r="K199" s="31">
        <v>546244139.250121</v>
      </c>
      <c r="L199" s="32">
        <f t="shared" si="81"/>
        <v>1.0158934730033924E-2</v>
      </c>
      <c r="M199" s="37">
        <v>1197.1390234550499</v>
      </c>
      <c r="N199" s="37">
        <v>1197.1390234550499</v>
      </c>
      <c r="O199" s="34">
        <v>120</v>
      </c>
      <c r="P199" s="53">
        <v>0.18421197476730206</v>
      </c>
      <c r="Q199" s="53">
        <v>0.18346485819236033</v>
      </c>
      <c r="R199" s="60">
        <f t="shared" si="84"/>
        <v>2.6732354516462681E-3</v>
      </c>
      <c r="S199" s="60">
        <f t="shared" si="85"/>
        <v>3.5328323927975741E-3</v>
      </c>
      <c r="T199" s="60">
        <f t="shared" si="86"/>
        <v>3.4482758620689655E-2</v>
      </c>
      <c r="U199" s="60">
        <f t="shared" si="87"/>
        <v>2.1347407169377552E-3</v>
      </c>
      <c r="V199" s="61">
        <f t="shared" si="88"/>
        <v>1.1670093479939081E-3</v>
      </c>
    </row>
    <row r="200" spans="1:24">
      <c r="A200" s="167">
        <v>168</v>
      </c>
      <c r="B200" s="168" t="s">
        <v>244</v>
      </c>
      <c r="C200" s="169" t="s">
        <v>235</v>
      </c>
      <c r="D200" s="31">
        <v>24846065614.310001</v>
      </c>
      <c r="E200" s="32">
        <f t="shared" si="80"/>
        <v>0.47257490497687576</v>
      </c>
      <c r="F200" s="37">
        <v>1226.3499999999999</v>
      </c>
      <c r="G200" s="37">
        <v>1226.3499999999999</v>
      </c>
      <c r="H200" s="34">
        <v>9538</v>
      </c>
      <c r="I200" s="53">
        <v>-3.1399999999999997E-2</v>
      </c>
      <c r="J200" s="53">
        <v>3.5999999999999999E-3</v>
      </c>
      <c r="K200" s="31">
        <v>25917835399.110001</v>
      </c>
      <c r="L200" s="32">
        <f t="shared" si="81"/>
        <v>0.48201450458539252</v>
      </c>
      <c r="M200" s="37">
        <v>1229.68</v>
      </c>
      <c r="N200" s="37">
        <v>1229.68</v>
      </c>
      <c r="O200" s="34">
        <v>9559</v>
      </c>
      <c r="P200" s="53">
        <v>2.7000000000000001E-3</v>
      </c>
      <c r="Q200" s="53">
        <v>6.3E-3</v>
      </c>
      <c r="R200" s="60">
        <f t="shared" si="84"/>
        <v>4.3136398391490895E-2</v>
      </c>
      <c r="S200" s="60">
        <f t="shared" si="85"/>
        <v>2.715374892975215E-3</v>
      </c>
      <c r="T200" s="60">
        <f t="shared" si="86"/>
        <v>2.2017194380373243E-3</v>
      </c>
      <c r="U200" s="60">
        <f t="shared" si="87"/>
        <v>3.4099999999999998E-2</v>
      </c>
      <c r="V200" s="61">
        <f t="shared" si="88"/>
        <v>2.7000000000000001E-3</v>
      </c>
    </row>
    <row r="201" spans="1:24">
      <c r="A201" s="167">
        <v>169</v>
      </c>
      <c r="B201" s="168" t="s">
        <v>245</v>
      </c>
      <c r="C201" s="169" t="s">
        <v>246</v>
      </c>
      <c r="D201" s="31">
        <v>425004497.81</v>
      </c>
      <c r="E201" s="32">
        <f t="shared" si="80"/>
        <v>8.0836323659883112E-3</v>
      </c>
      <c r="F201" s="82">
        <v>126.15</v>
      </c>
      <c r="G201" s="82">
        <v>127.17</v>
      </c>
      <c r="H201" s="49">
        <v>147</v>
      </c>
      <c r="I201" s="53">
        <v>-2.5399999999999999E-2</v>
      </c>
      <c r="J201" s="53">
        <v>2.5600000000000001E-2</v>
      </c>
      <c r="K201" s="31">
        <v>464742317.94</v>
      </c>
      <c r="L201" s="32">
        <f t="shared" si="81"/>
        <v>8.6431808325092042E-3</v>
      </c>
      <c r="M201" s="82">
        <v>126.97</v>
      </c>
      <c r="N201" s="82">
        <v>127.91</v>
      </c>
      <c r="O201" s="49">
        <v>147</v>
      </c>
      <c r="P201" s="53">
        <v>5.7999999999999996E-3</v>
      </c>
      <c r="Q201" s="53">
        <v>3.15E-2</v>
      </c>
      <c r="R201" s="60">
        <f t="shared" si="84"/>
        <v>9.3499763731359264E-2</v>
      </c>
      <c r="S201" s="60">
        <f t="shared" si="85"/>
        <v>5.8189824644176687E-3</v>
      </c>
      <c r="T201" s="60">
        <f t="shared" si="86"/>
        <v>0</v>
      </c>
      <c r="U201" s="60">
        <f t="shared" si="87"/>
        <v>3.1199999999999999E-2</v>
      </c>
      <c r="V201" s="61">
        <f t="shared" si="88"/>
        <v>5.899999999999999E-3</v>
      </c>
    </row>
    <row r="202" spans="1:24">
      <c r="A202" s="167">
        <v>170</v>
      </c>
      <c r="B202" s="168" t="s">
        <v>247</v>
      </c>
      <c r="C202" s="169" t="s">
        <v>246</v>
      </c>
      <c r="D202" s="31">
        <v>114310326.59999999</v>
      </c>
      <c r="E202" s="32">
        <f t="shared" si="80"/>
        <v>2.1741950041280541E-3</v>
      </c>
      <c r="F202" s="82">
        <v>114.24</v>
      </c>
      <c r="G202" s="82">
        <v>114.24</v>
      </c>
      <c r="H202" s="49">
        <v>66</v>
      </c>
      <c r="I202" s="53">
        <v>2.1899999999999999E-2</v>
      </c>
      <c r="J202" s="53">
        <v>2.2800000000000001E-2</v>
      </c>
      <c r="K202" s="31">
        <v>127966349.40000001</v>
      </c>
      <c r="L202" s="32">
        <f t="shared" si="81"/>
        <v>2.3798915133074867E-3</v>
      </c>
      <c r="M202" s="82">
        <v>113.06</v>
      </c>
      <c r="N202" s="82">
        <v>113.06</v>
      </c>
      <c r="O202" s="49">
        <v>67</v>
      </c>
      <c r="P202" s="53">
        <v>-1.03E-2</v>
      </c>
      <c r="Q202" s="53">
        <v>1.2200000000000001E-2</v>
      </c>
      <c r="R202" s="60">
        <f t="shared" si="84"/>
        <v>0.11946447190012677</v>
      </c>
      <c r="S202" s="60">
        <f t="shared" si="85"/>
        <v>-1.0329131652661E-2</v>
      </c>
      <c r="T202" s="60">
        <f t="shared" si="86"/>
        <v>1.5151515151515152E-2</v>
      </c>
      <c r="U202" s="60">
        <f t="shared" si="87"/>
        <v>-3.2199999999999999E-2</v>
      </c>
      <c r="V202" s="61">
        <f t="shared" si="88"/>
        <v>-1.06E-2</v>
      </c>
    </row>
    <row r="203" spans="1:24" ht="13.5" customHeight="1">
      <c r="A203" s="167">
        <v>171</v>
      </c>
      <c r="B203" s="168" t="s">
        <v>248</v>
      </c>
      <c r="C203" s="169" t="s">
        <v>90</v>
      </c>
      <c r="D203" s="31">
        <v>1389672956</v>
      </c>
      <c r="E203" s="32">
        <f t="shared" si="80"/>
        <v>2.6431732706702502E-2</v>
      </c>
      <c r="F203" s="63">
        <v>103.26</v>
      </c>
      <c r="G203" s="63">
        <v>103.26</v>
      </c>
      <c r="H203" s="34">
        <v>593</v>
      </c>
      <c r="I203" s="53">
        <v>2.7000000000000001E-3</v>
      </c>
      <c r="J203" s="53">
        <v>0.13980000000000001</v>
      </c>
      <c r="K203" s="31">
        <v>1443367751</v>
      </c>
      <c r="L203" s="32">
        <f t="shared" si="81"/>
        <v>2.6843452808435069E-2</v>
      </c>
      <c r="M203" s="63">
        <v>103.53</v>
      </c>
      <c r="N203" s="63">
        <v>103.53</v>
      </c>
      <c r="O203" s="34">
        <v>593</v>
      </c>
      <c r="P203" s="53">
        <v>2.7000000000000001E-3</v>
      </c>
      <c r="Q203" s="53">
        <v>0.14000000000000001</v>
      </c>
      <c r="R203" s="60">
        <f t="shared" si="84"/>
        <v>3.8638439906432204E-2</v>
      </c>
      <c r="S203" s="60">
        <f t="shared" si="85"/>
        <v>2.614758861127213E-3</v>
      </c>
      <c r="T203" s="60">
        <f t="shared" si="86"/>
        <v>0</v>
      </c>
      <c r="U203" s="60">
        <f t="shared" si="87"/>
        <v>0</v>
      </c>
      <c r="V203" s="61">
        <f t="shared" si="88"/>
        <v>2.0000000000000573E-4</v>
      </c>
    </row>
    <row r="204" spans="1:24" ht="15.75" customHeight="1">
      <c r="A204" s="167">
        <v>172</v>
      </c>
      <c r="B204" s="168" t="s">
        <v>249</v>
      </c>
      <c r="C204" s="169" t="s">
        <v>49</v>
      </c>
      <c r="D204" s="31">
        <v>6413255007.5200005</v>
      </c>
      <c r="E204" s="32">
        <f t="shared" si="80"/>
        <v>0.12198081671432484</v>
      </c>
      <c r="F204" s="63">
        <v>134.63</v>
      </c>
      <c r="G204" s="63">
        <v>134.63</v>
      </c>
      <c r="H204" s="34">
        <v>1257</v>
      </c>
      <c r="I204" s="53">
        <v>1.6999999999999999E-3</v>
      </c>
      <c r="J204" s="53">
        <v>2.5000000000000001E-3</v>
      </c>
      <c r="K204" s="31">
        <v>6438820789.5900002</v>
      </c>
      <c r="L204" s="32">
        <f t="shared" si="81"/>
        <v>0.11974784796707696</v>
      </c>
      <c r="M204" s="63">
        <v>134.87</v>
      </c>
      <c r="N204" s="63">
        <v>134.87</v>
      </c>
      <c r="O204" s="34">
        <v>1266</v>
      </c>
      <c r="P204" s="53">
        <v>1.8E-3</v>
      </c>
      <c r="Q204" s="53">
        <v>4.1999999999999997E-3</v>
      </c>
      <c r="R204" s="60">
        <f t="shared" si="84"/>
        <v>3.9863972413418745E-3</v>
      </c>
      <c r="S204" s="60">
        <f t="shared" si="85"/>
        <v>1.7826635965238736E-3</v>
      </c>
      <c r="T204" s="60">
        <f t="shared" si="86"/>
        <v>7.1599045346062056E-3</v>
      </c>
      <c r="U204" s="60">
        <f t="shared" si="87"/>
        <v>1.0000000000000005E-4</v>
      </c>
      <c r="V204" s="61">
        <f t="shared" si="88"/>
        <v>1.6999999999999997E-3</v>
      </c>
    </row>
    <row r="205" spans="1:24">
      <c r="A205" s="167">
        <v>173</v>
      </c>
      <c r="B205" s="168" t="s">
        <v>250</v>
      </c>
      <c r="C205" s="169" t="s">
        <v>52</v>
      </c>
      <c r="D205" s="31">
        <v>3864665270.5999999</v>
      </c>
      <c r="E205" s="32">
        <f t="shared" si="80"/>
        <v>7.3506359170578336E-2</v>
      </c>
      <c r="F205" s="63">
        <v>1.2208000000000001</v>
      </c>
      <c r="G205" s="63">
        <v>1.2208000000000001</v>
      </c>
      <c r="H205" s="34">
        <v>1264</v>
      </c>
      <c r="I205" s="53">
        <v>5.7099999999999998E-2</v>
      </c>
      <c r="J205" s="53">
        <v>7.4499999999999997E-2</v>
      </c>
      <c r="K205" s="31">
        <v>3856604228.5300002</v>
      </c>
      <c r="L205" s="32">
        <f t="shared" si="81"/>
        <v>7.1724322188598075E-2</v>
      </c>
      <c r="M205" s="63">
        <v>1.2197</v>
      </c>
      <c r="N205" s="63">
        <v>1.2197</v>
      </c>
      <c r="O205" s="34">
        <v>1264</v>
      </c>
      <c r="P205" s="53">
        <v>-4.5900000000000003E-2</v>
      </c>
      <c r="Q205" s="53">
        <v>2.3199999999999998E-2</v>
      </c>
      <c r="R205" s="60">
        <f t="shared" si="84"/>
        <v>-2.0858318911402634E-3</v>
      </c>
      <c r="S205" s="60">
        <f t="shared" si="85"/>
        <v>-9.010484927916946E-4</v>
      </c>
      <c r="T205" s="60">
        <f t="shared" si="86"/>
        <v>0</v>
      </c>
      <c r="U205" s="60">
        <f t="shared" si="87"/>
        <v>-0.10300000000000001</v>
      </c>
      <c r="V205" s="61">
        <f t="shared" si="88"/>
        <v>-5.1299999999999998E-2</v>
      </c>
    </row>
    <row r="206" spans="1:24" ht="6" customHeight="1">
      <c r="A206" s="38"/>
      <c r="B206" s="178"/>
      <c r="C206" s="178"/>
      <c r="D206" s="178"/>
      <c r="E206" s="178"/>
      <c r="F206" s="178"/>
      <c r="G206" s="178"/>
      <c r="H206" s="178"/>
      <c r="I206" s="178"/>
      <c r="J206" s="178"/>
      <c r="K206" s="178"/>
      <c r="L206" s="178"/>
      <c r="M206" s="178"/>
      <c r="N206" s="178"/>
      <c r="O206" s="178"/>
      <c r="P206" s="178"/>
      <c r="Q206" s="178"/>
      <c r="R206" s="178"/>
      <c r="S206" s="178"/>
      <c r="T206" s="178"/>
      <c r="U206" s="178"/>
      <c r="V206" s="178"/>
    </row>
    <row r="207" spans="1:24">
      <c r="A207" s="182" t="s">
        <v>251</v>
      </c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</row>
    <row r="208" spans="1:24">
      <c r="A208" s="187">
        <v>174</v>
      </c>
      <c r="B208" s="168" t="s">
        <v>252</v>
      </c>
      <c r="C208" s="169" t="s">
        <v>235</v>
      </c>
      <c r="D208" s="31">
        <v>232428179.61000001</v>
      </c>
      <c r="E208" s="32">
        <f t="shared" ref="E208" si="94">(D208/$D$209)</f>
        <v>4.4208095800037728E-3</v>
      </c>
      <c r="F208" s="37">
        <v>1244.07</v>
      </c>
      <c r="G208" s="37">
        <v>1244.07</v>
      </c>
      <c r="H208" s="34">
        <v>96</v>
      </c>
      <c r="I208" s="53">
        <v>1.6999999999999999E-3</v>
      </c>
      <c r="J208" s="53">
        <v>0.24410000000000001</v>
      </c>
      <c r="K208" s="31">
        <v>229469305.09</v>
      </c>
      <c r="L208" s="32">
        <f t="shared" ref="L208" si="95">(K208/$K$209)</f>
        <v>4.2676223421925438E-3</v>
      </c>
      <c r="M208" s="37">
        <v>1228.24</v>
      </c>
      <c r="N208" s="37">
        <v>1228.24</v>
      </c>
      <c r="O208" s="34">
        <v>96</v>
      </c>
      <c r="P208" s="53">
        <v>-1.2699999999999999E-2</v>
      </c>
      <c r="Q208" s="53">
        <v>-1.0500000000000001E-2</v>
      </c>
      <c r="R208" s="60">
        <f t="shared" ref="R208" si="96">((K208-D208)/D208)</f>
        <v>-1.2730274465707288E-2</v>
      </c>
      <c r="S208" s="60">
        <f t="shared" ref="S208" si="97">((N208-G208)/G208)</f>
        <v>-1.2724364384640677E-2</v>
      </c>
      <c r="T208" s="60">
        <f t="shared" ref="T208" si="98">((O208-H208)/H208)</f>
        <v>0</v>
      </c>
      <c r="U208" s="60">
        <f t="shared" ref="U208" si="99">P208-I208</f>
        <v>-1.44E-2</v>
      </c>
      <c r="V208" s="61">
        <f t="shared" ref="V208" si="100">Q208-J208</f>
        <v>-0.25459999999999999</v>
      </c>
    </row>
    <row r="209" spans="1:22">
      <c r="A209" s="38"/>
      <c r="B209" s="39"/>
      <c r="C209" s="74" t="s">
        <v>53</v>
      </c>
      <c r="D209" s="51">
        <f>SUM(D189:D208)</f>
        <v>52575931037.907692</v>
      </c>
      <c r="E209" s="42">
        <f>(D209/$D$210)</f>
        <v>1.3264853632949592E-2</v>
      </c>
      <c r="F209" s="43"/>
      <c r="G209" s="77"/>
      <c r="H209" s="87">
        <f>SUM(H189:H208)</f>
        <v>29956</v>
      </c>
      <c r="I209" s="84"/>
      <c r="J209" s="84"/>
      <c r="K209" s="51">
        <f>SUM(K189:K208)</f>
        <v>53769824668.250122</v>
      </c>
      <c r="L209" s="42">
        <f>(K209/$K$210)</f>
        <v>1.3376557792981912E-2</v>
      </c>
      <c r="M209" s="43"/>
      <c r="N209" s="77"/>
      <c r="O209" s="87">
        <f>SUM(O189:O208)</f>
        <v>30056</v>
      </c>
      <c r="P209" s="84"/>
      <c r="Q209" s="84"/>
      <c r="R209" s="60">
        <f t="shared" si="84"/>
        <v>2.2707988366038115E-2</v>
      </c>
      <c r="S209" s="60" t="e">
        <f t="shared" si="85"/>
        <v>#DIV/0!</v>
      </c>
      <c r="T209" s="60">
        <f t="shared" si="86"/>
        <v>3.3382294031245826E-3</v>
      </c>
      <c r="U209" s="60">
        <f t="shared" si="87"/>
        <v>0</v>
      </c>
      <c r="V209" s="61">
        <f t="shared" si="88"/>
        <v>0</v>
      </c>
    </row>
    <row r="210" spans="1:22">
      <c r="A210" s="88"/>
      <c r="B210" s="88"/>
      <c r="C210" s="89" t="s">
        <v>253</v>
      </c>
      <c r="D210" s="90">
        <f>SUM(D24,D65,D104,D140,D148,D179,D185,D209)</f>
        <v>3963551539484.0308</v>
      </c>
      <c r="E210" s="91"/>
      <c r="F210" s="91"/>
      <c r="G210" s="92"/>
      <c r="H210" s="90">
        <f>SUM(H24,H65,H104,H140,H148,H179,H185,H209)</f>
        <v>808986</v>
      </c>
      <c r="I210" s="114"/>
      <c r="J210" s="114"/>
      <c r="K210" s="90">
        <f>SUM(K24,K65,K104,K140,K148,K179,K185,K209)</f>
        <v>4019705629834.0649</v>
      </c>
      <c r="L210" s="91"/>
      <c r="M210" s="91"/>
      <c r="N210" s="92"/>
      <c r="O210" s="90">
        <f>SUM(O24,O65,O104,O140,O148,O179,O185,O209)</f>
        <v>814621</v>
      </c>
      <c r="P210" s="115"/>
      <c r="Q210" s="90"/>
      <c r="R210" s="121">
        <f t="shared" si="84"/>
        <v>1.4167619568116992E-2</v>
      </c>
      <c r="S210" s="121"/>
      <c r="T210" s="121"/>
      <c r="U210" s="121"/>
      <c r="V210" s="121"/>
    </row>
    <row r="211" spans="1:22" ht="6.75" customHeight="1">
      <c r="A211" s="38"/>
      <c r="B211" s="178"/>
      <c r="C211" s="178"/>
      <c r="D211" s="178"/>
      <c r="E211" s="178"/>
      <c r="F211" s="178"/>
      <c r="G211" s="178"/>
      <c r="H211" s="178"/>
      <c r="I211" s="178"/>
      <c r="J211" s="178"/>
      <c r="K211" s="178"/>
      <c r="L211" s="178"/>
      <c r="M211" s="178"/>
      <c r="N211" s="178"/>
      <c r="O211" s="178"/>
      <c r="P211" s="178"/>
      <c r="Q211" s="178"/>
      <c r="R211" s="178"/>
      <c r="S211" s="178"/>
      <c r="T211" s="178"/>
      <c r="U211" s="178"/>
      <c r="V211" s="39"/>
    </row>
    <row r="212" spans="1:22" ht="14.4" customHeight="1">
      <c r="A212" s="183" t="s">
        <v>254</v>
      </c>
      <c r="B212" s="181"/>
      <c r="C212" s="181"/>
      <c r="D212" s="181"/>
      <c r="E212" s="181"/>
      <c r="F212" s="181"/>
      <c r="G212" s="181"/>
      <c r="H212" s="181"/>
      <c r="I212" s="181"/>
      <c r="J212" s="181"/>
      <c r="K212" s="181"/>
      <c r="L212" s="181"/>
      <c r="M212" s="181"/>
      <c r="N212" s="181"/>
      <c r="O212" s="181"/>
      <c r="P212" s="181"/>
      <c r="Q212" s="181"/>
      <c r="R212" s="181"/>
      <c r="S212" s="181"/>
      <c r="T212" s="181"/>
      <c r="U212" s="181"/>
      <c r="V212" s="181"/>
    </row>
    <row r="213" spans="1:22" ht="14.4" customHeight="1">
      <c r="A213" s="167">
        <v>1</v>
      </c>
      <c r="B213" s="168" t="s">
        <v>255</v>
      </c>
      <c r="C213" s="169" t="s">
        <v>191</v>
      </c>
      <c r="D213" s="31">
        <v>3755256908.17312</v>
      </c>
      <c r="E213" s="32">
        <f t="shared" ref="E213" si="101">(D213/$D$209)</f>
        <v>7.142540006501355E-2</v>
      </c>
      <c r="F213" s="37">
        <v>123.2</v>
      </c>
      <c r="G213" s="37">
        <v>123.2</v>
      </c>
      <c r="H213" s="34">
        <v>9</v>
      </c>
      <c r="I213" s="53">
        <v>0.311869364290358</v>
      </c>
      <c r="J213" s="53">
        <v>0.24822616218520899</v>
      </c>
      <c r="K213" s="31">
        <v>4085851370.6029301</v>
      </c>
      <c r="L213" s="32">
        <f>(K213/$K$214)</f>
        <v>1</v>
      </c>
      <c r="M213" s="37">
        <v>123.2</v>
      </c>
      <c r="N213" s="37">
        <v>123.2</v>
      </c>
      <c r="O213" s="34">
        <v>9</v>
      </c>
      <c r="P213" s="53">
        <v>0.27694340348262603</v>
      </c>
      <c r="Q213" s="53">
        <v>0.22906827310866601</v>
      </c>
      <c r="R213" s="60">
        <f t="shared" ref="R213:R214" si="102">((K213-D213)/D213)</f>
        <v>8.8035111981363642E-2</v>
      </c>
      <c r="S213" s="60">
        <f t="shared" ref="S213" si="103">((N213-G213)/G213)</f>
        <v>0</v>
      </c>
      <c r="T213" s="60">
        <f t="shared" ref="T213" si="104">((O213-H213)/H213)</f>
        <v>0</v>
      </c>
      <c r="U213" s="60">
        <f t="shared" ref="U213" si="105">P213-I213</f>
        <v>-3.4925960807731971E-2</v>
      </c>
      <c r="V213" s="61">
        <f t="shared" ref="V213" si="106">Q213-J213</f>
        <v>-1.9157889076542978E-2</v>
      </c>
    </row>
    <row r="214" spans="1:22" ht="14.4" customHeight="1">
      <c r="A214" s="93"/>
      <c r="B214" s="93"/>
      <c r="C214" s="93" t="s">
        <v>53</v>
      </c>
      <c r="D214" s="93">
        <f>SUM(D213:D213)</f>
        <v>3755256908.17312</v>
      </c>
      <c r="E214" s="93"/>
      <c r="F214" s="93"/>
      <c r="G214" s="93"/>
      <c r="H214" s="93">
        <f>SUM(H213:H213)</f>
        <v>9</v>
      </c>
      <c r="I214" s="93"/>
      <c r="J214" s="93"/>
      <c r="K214" s="93">
        <f>SUM(K213:K213)</f>
        <v>4085851370.6029301</v>
      </c>
      <c r="L214" s="42"/>
      <c r="M214" s="93"/>
      <c r="N214" s="93"/>
      <c r="O214" s="93">
        <f>SUM(O213:O213)</f>
        <v>9</v>
      </c>
      <c r="P214" s="93"/>
      <c r="Q214" s="93"/>
      <c r="R214" s="121">
        <f t="shared" si="102"/>
        <v>8.8035111981363642E-2</v>
      </c>
      <c r="S214" s="93"/>
      <c r="T214" s="93"/>
      <c r="U214" s="93"/>
      <c r="V214" s="93"/>
    </row>
    <row r="215" spans="1:22" ht="6" customHeight="1">
      <c r="A215" s="38"/>
      <c r="B215" s="46"/>
      <c r="C215" s="74"/>
      <c r="D215" s="46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39"/>
    </row>
    <row r="216" spans="1:22" ht="15.6">
      <c r="A216" s="181" t="s">
        <v>256</v>
      </c>
      <c r="B216" s="181"/>
      <c r="C216" s="181"/>
      <c r="D216" s="181"/>
      <c r="E216" s="181"/>
      <c r="F216" s="181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81"/>
      <c r="S216" s="181"/>
      <c r="T216" s="181"/>
      <c r="U216" s="181"/>
      <c r="V216" s="181"/>
    </row>
    <row r="217" spans="1:22">
      <c r="A217" s="167">
        <v>1</v>
      </c>
      <c r="B217" s="168" t="s">
        <v>257</v>
      </c>
      <c r="C217" s="169" t="s">
        <v>258</v>
      </c>
      <c r="D217" s="31">
        <v>117431274879</v>
      </c>
      <c r="E217" s="32">
        <f>(D217/$D$219)</f>
        <v>0.8886916020467247</v>
      </c>
      <c r="F217" s="63">
        <v>111.28</v>
      </c>
      <c r="G217" s="63">
        <v>111.28</v>
      </c>
      <c r="H217" s="34">
        <v>0</v>
      </c>
      <c r="I217" s="53">
        <v>0.23899999999999999</v>
      </c>
      <c r="J217" s="53">
        <v>0.23899999999999999</v>
      </c>
      <c r="K217" s="31">
        <v>117431274879</v>
      </c>
      <c r="L217" s="32">
        <f>(K217/$K$219)</f>
        <v>0.8889077110963628</v>
      </c>
      <c r="M217" s="63">
        <v>111.28</v>
      </c>
      <c r="N217" s="63">
        <v>111.28</v>
      </c>
      <c r="O217" s="34">
        <v>0</v>
      </c>
      <c r="P217" s="53">
        <v>0.23899999999999999</v>
      </c>
      <c r="Q217" s="53">
        <v>0.23899999999999999</v>
      </c>
      <c r="R217" s="60">
        <f>((K217-D217)/D217)</f>
        <v>0</v>
      </c>
      <c r="S217" s="60">
        <f>((N217-G217)/G217)</f>
        <v>0</v>
      </c>
      <c r="T217" s="60" t="e">
        <f>((O217-H217)/H217)</f>
        <v>#DIV/0!</v>
      </c>
      <c r="U217" s="60">
        <f>P217-I217</f>
        <v>0</v>
      </c>
      <c r="V217" s="61">
        <f>Q217-J217</f>
        <v>0</v>
      </c>
    </row>
    <row r="218" spans="1:22">
      <c r="A218" s="167">
        <v>2</v>
      </c>
      <c r="B218" s="168" t="s">
        <v>259</v>
      </c>
      <c r="C218" s="169" t="s">
        <v>52</v>
      </c>
      <c r="D218" s="31">
        <v>14708237420.370001</v>
      </c>
      <c r="E218" s="32">
        <f>(D218/$D$219)</f>
        <v>0.11130839795327536</v>
      </c>
      <c r="F218" s="94">
        <v>1000000</v>
      </c>
      <c r="G218" s="94">
        <v>1000000</v>
      </c>
      <c r="H218" s="34">
        <v>26</v>
      </c>
      <c r="I218" s="53">
        <v>0.20780000000000001</v>
      </c>
      <c r="J218" s="53">
        <v>0.20780000000000001</v>
      </c>
      <c r="K218" s="31">
        <v>14676111988.15</v>
      </c>
      <c r="L218" s="32">
        <f>(K218/$K$219)</f>
        <v>0.11109228890363725</v>
      </c>
      <c r="M218" s="94">
        <v>1000000</v>
      </c>
      <c r="N218" s="94">
        <v>1000000</v>
      </c>
      <c r="O218" s="34">
        <v>26</v>
      </c>
      <c r="P218" s="53">
        <v>0.19570000000000001</v>
      </c>
      <c r="Q218" s="53">
        <v>0.19570000000000001</v>
      </c>
      <c r="R218" s="60">
        <f>((K218-D218)/D218)</f>
        <v>-2.1841796064230971E-3</v>
      </c>
      <c r="S218" s="60">
        <f>((N218-G218)/G218)</f>
        <v>0</v>
      </c>
      <c r="T218" s="60">
        <f>((O218-H218)/H218)</f>
        <v>0</v>
      </c>
      <c r="U218" s="60">
        <f>P218-I218</f>
        <v>-1.21E-2</v>
      </c>
      <c r="V218" s="61">
        <f>Q218-J218</f>
        <v>-1.21E-2</v>
      </c>
    </row>
    <row r="219" spans="1:22">
      <c r="A219" s="88"/>
      <c r="B219" s="88"/>
      <c r="C219" s="89" t="s">
        <v>260</v>
      </c>
      <c r="D219" s="93">
        <f>SUM(D217:D218)</f>
        <v>132139512299.37</v>
      </c>
      <c r="E219" s="95"/>
      <c r="F219" s="96"/>
      <c r="G219" s="96"/>
      <c r="H219" s="93">
        <f>SUM(H217:H218)</f>
        <v>26</v>
      </c>
      <c r="I219" s="116"/>
      <c r="J219" s="116"/>
      <c r="K219" s="93">
        <f>SUM(K217:K218)</f>
        <v>132107386867.14999</v>
      </c>
      <c r="L219" s="95"/>
      <c r="M219" s="96"/>
      <c r="N219" s="96"/>
      <c r="O219" s="93">
        <f>SUM(O217:O218)</f>
        <v>26</v>
      </c>
      <c r="P219" s="116"/>
      <c r="Q219" s="93"/>
      <c r="R219" s="121">
        <f>((K219-D219)/D219)</f>
        <v>-2.4311753283317049E-4</v>
      </c>
      <c r="S219" s="122"/>
      <c r="T219" s="122"/>
      <c r="U219" s="121"/>
      <c r="V219" s="123"/>
    </row>
    <row r="220" spans="1:22" ht="4.5" customHeight="1">
      <c r="A220" s="38"/>
      <c r="B220" s="184"/>
      <c r="C220" s="184"/>
      <c r="D220" s="184"/>
      <c r="E220" s="184"/>
      <c r="F220" s="184"/>
      <c r="G220" s="184"/>
      <c r="H220" s="184"/>
      <c r="I220" s="184"/>
      <c r="J220" s="184"/>
      <c r="K220" s="184"/>
      <c r="L220" s="184"/>
      <c r="M220" s="184"/>
      <c r="N220" s="184"/>
      <c r="O220" s="184"/>
      <c r="P220" s="184"/>
      <c r="Q220" s="184"/>
      <c r="R220" s="184"/>
      <c r="S220" s="184"/>
      <c r="T220" s="184"/>
      <c r="U220" s="184"/>
      <c r="V220" s="184"/>
    </row>
    <row r="221" spans="1:22" ht="15.6">
      <c r="A221" s="181" t="s">
        <v>261</v>
      </c>
      <c r="B221" s="181"/>
      <c r="C221" s="181"/>
      <c r="D221" s="181"/>
      <c r="E221" s="181"/>
      <c r="F221" s="181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81"/>
      <c r="S221" s="181"/>
      <c r="T221" s="181"/>
      <c r="U221" s="181"/>
      <c r="V221" s="181"/>
    </row>
    <row r="222" spans="1:22">
      <c r="A222" s="167">
        <v>1</v>
      </c>
      <c r="B222" s="168" t="s">
        <v>262</v>
      </c>
      <c r="C222" s="169" t="s">
        <v>83</v>
      </c>
      <c r="D222" s="97">
        <v>1005905079.9099997</v>
      </c>
      <c r="E222" s="98">
        <f t="shared" ref="E222:E233" si="107">(D222/$D$234)</f>
        <v>7.663284788343748E-2</v>
      </c>
      <c r="F222" s="94">
        <v>237.04608929185807</v>
      </c>
      <c r="G222" s="94">
        <v>238.64008190880165</v>
      </c>
      <c r="H222" s="99">
        <v>61</v>
      </c>
      <c r="I222" s="55">
        <v>2.9963455537076002E-2</v>
      </c>
      <c r="J222" s="55">
        <v>3.5100420162781365E-3</v>
      </c>
      <c r="K222" s="97">
        <v>967439875.82368279</v>
      </c>
      <c r="L222" s="98">
        <f t="shared" ref="L222:L233" si="108">(K222/$K$234)</f>
        <v>7.4840734606815854E-2</v>
      </c>
      <c r="M222" s="94">
        <v>227.98158968391252</v>
      </c>
      <c r="N222" s="94">
        <v>230.86595853658537</v>
      </c>
      <c r="O222" s="99">
        <v>61</v>
      </c>
      <c r="P222" s="55">
        <v>2.9963455537076002E-2</v>
      </c>
      <c r="Q222" s="55">
        <v>-5.944754974403943E-3</v>
      </c>
      <c r="R222" s="60">
        <f>((K222-D222)/D222)</f>
        <v>-3.8239397389024515E-2</v>
      </c>
      <c r="S222" s="60">
        <f>((N222-G222)/G222)</f>
        <v>-3.2576771303603674E-2</v>
      </c>
      <c r="T222" s="60">
        <f>((O222-H222)/H222)</f>
        <v>0</v>
      </c>
      <c r="U222" s="60">
        <f>P222-I222</f>
        <v>0</v>
      </c>
      <c r="V222" s="61">
        <f>Q222-J222</f>
        <v>-9.4547969906820795E-3</v>
      </c>
    </row>
    <row r="223" spans="1:22">
      <c r="A223" s="167">
        <v>2</v>
      </c>
      <c r="B223" s="168" t="s">
        <v>263</v>
      </c>
      <c r="C223" s="169" t="s">
        <v>235</v>
      </c>
      <c r="D223" s="97">
        <v>1108298797</v>
      </c>
      <c r="E223" s="98">
        <f t="shared" si="107"/>
        <v>8.4433506516834358E-2</v>
      </c>
      <c r="F223" s="94">
        <v>31.52</v>
      </c>
      <c r="G223" s="94">
        <v>34.840000000000003</v>
      </c>
      <c r="H223" s="99">
        <v>212</v>
      </c>
      <c r="I223" s="55">
        <v>2.1700000000000001E-2</v>
      </c>
      <c r="J223" s="55">
        <v>2.7900000000000001E-2</v>
      </c>
      <c r="K223" s="97">
        <v>1078552250.6800001</v>
      </c>
      <c r="L223" s="98">
        <f t="shared" si="108"/>
        <v>8.3436340355518973E-2</v>
      </c>
      <c r="M223" s="94">
        <v>30.68</v>
      </c>
      <c r="N223" s="94">
        <v>33.909999999999997</v>
      </c>
      <c r="O223" s="99">
        <v>211</v>
      </c>
      <c r="P223" s="55">
        <v>-2.6800000000000001E-2</v>
      </c>
      <c r="Q223" s="55">
        <v>4.0000000000000002E-4</v>
      </c>
      <c r="R223" s="60">
        <f t="shared" ref="R223:R234" si="109">((K223-D223)/D223)</f>
        <v>-2.6839825506009218E-2</v>
      </c>
      <c r="S223" s="60">
        <f t="shared" ref="S223:S234" si="110">((N223-G223)/G223)</f>
        <v>-2.6693455797933602E-2</v>
      </c>
      <c r="T223" s="60">
        <f t="shared" ref="T223:T234" si="111">((O223-H223)/H223)</f>
        <v>-4.7169811320754715E-3</v>
      </c>
      <c r="U223" s="60">
        <f t="shared" ref="U223:U234" si="112">P223-I223</f>
        <v>-4.8500000000000001E-2</v>
      </c>
      <c r="V223" s="61">
        <f t="shared" ref="V223:V234" si="113">Q223-J223</f>
        <v>-2.75E-2</v>
      </c>
    </row>
    <row r="224" spans="1:22">
      <c r="A224" s="167">
        <v>3</v>
      </c>
      <c r="B224" s="168" t="s">
        <v>264</v>
      </c>
      <c r="C224" s="169" t="s">
        <v>43</v>
      </c>
      <c r="D224" s="97">
        <v>384751276.76999998</v>
      </c>
      <c r="E224" s="98">
        <f t="shared" si="107"/>
        <v>2.9311499319907803E-2</v>
      </c>
      <c r="F224" s="94">
        <v>28.706579000000001</v>
      </c>
      <c r="G224" s="94">
        <v>29.011924</v>
      </c>
      <c r="H224" s="99">
        <v>167</v>
      </c>
      <c r="I224" s="55">
        <v>0.81784839433140055</v>
      </c>
      <c r="J224" s="55">
        <v>3.8149336983712701E-3</v>
      </c>
      <c r="K224" s="97">
        <v>393137099.95999998</v>
      </c>
      <c r="L224" s="98">
        <f t="shared" si="108"/>
        <v>3.0412917740390844E-2</v>
      </c>
      <c r="M224" s="94">
        <v>29.332255</v>
      </c>
      <c r="N224" s="94">
        <v>29.643622000000001</v>
      </c>
      <c r="O224" s="99">
        <v>167</v>
      </c>
      <c r="P224" s="55">
        <v>2.1795439537976913E-2</v>
      </c>
      <c r="Q224" s="55">
        <v>2.5693521393112428E-2</v>
      </c>
      <c r="R224" s="60">
        <f t="shared" si="109"/>
        <v>2.179543953797702E-2</v>
      </c>
      <c r="S224" s="60">
        <f t="shared" si="110"/>
        <v>2.1773736895215914E-2</v>
      </c>
      <c r="T224" s="60">
        <f t="shared" si="111"/>
        <v>0</v>
      </c>
      <c r="U224" s="60">
        <f t="shared" si="112"/>
        <v>-0.79605295479342364</v>
      </c>
      <c r="V224" s="61">
        <f t="shared" si="113"/>
        <v>2.1878587694741158E-2</v>
      </c>
    </row>
    <row r="225" spans="1:22">
      <c r="A225" s="167">
        <v>4</v>
      </c>
      <c r="B225" s="168" t="s">
        <v>265</v>
      </c>
      <c r="C225" s="169" t="s">
        <v>43</v>
      </c>
      <c r="D225" s="97">
        <v>844183888.33000004</v>
      </c>
      <c r="E225" s="98">
        <f t="shared" si="107"/>
        <v>6.4312445370918903E-2</v>
      </c>
      <c r="F225" s="94">
        <v>63.346259000000003</v>
      </c>
      <c r="G225" s="94">
        <v>63.773581999999998</v>
      </c>
      <c r="H225" s="99">
        <v>99</v>
      </c>
      <c r="I225" s="55">
        <v>0.39377848502991331</v>
      </c>
      <c r="J225" s="55">
        <v>-4.5100627006179339E-2</v>
      </c>
      <c r="K225" s="97">
        <v>891014519.67999995</v>
      </c>
      <c r="L225" s="98">
        <f t="shared" si="108"/>
        <v>6.8928501775281037E-2</v>
      </c>
      <c r="M225" s="94">
        <v>66.860393000000002</v>
      </c>
      <c r="N225" s="94">
        <v>67.301024999999996</v>
      </c>
      <c r="O225" s="99">
        <v>99</v>
      </c>
      <c r="P225" s="55">
        <v>5.5474443420902242E-2</v>
      </c>
      <c r="Q225" s="55">
        <v>7.8718842336213957E-3</v>
      </c>
      <c r="R225" s="60">
        <f t="shared" si="109"/>
        <v>5.5474443420902311E-2</v>
      </c>
      <c r="S225" s="60">
        <f t="shared" si="110"/>
        <v>5.5311978555634501E-2</v>
      </c>
      <c r="T225" s="60">
        <f t="shared" si="111"/>
        <v>0</v>
      </c>
      <c r="U225" s="60">
        <f t="shared" si="112"/>
        <v>-0.33830404160901106</v>
      </c>
      <c r="V225" s="61">
        <f t="shared" si="113"/>
        <v>5.2972511239800735E-2</v>
      </c>
    </row>
    <row r="226" spans="1:22">
      <c r="A226" s="167">
        <v>5</v>
      </c>
      <c r="B226" s="168" t="s">
        <v>266</v>
      </c>
      <c r="C226" s="169" t="s">
        <v>267</v>
      </c>
      <c r="D226" s="97">
        <v>1272083853.72</v>
      </c>
      <c r="E226" s="98">
        <f t="shared" si="107"/>
        <v>9.6911140428701012E-2</v>
      </c>
      <c r="F226" s="94">
        <v>36300</v>
      </c>
      <c r="G226" s="94">
        <v>40890</v>
      </c>
      <c r="H226" s="99">
        <v>219</v>
      </c>
      <c r="I226" s="55">
        <v>0.01</v>
      </c>
      <c r="J226" s="55">
        <v>0.01</v>
      </c>
      <c r="K226" s="97">
        <v>1318384379.3199999</v>
      </c>
      <c r="L226" s="98">
        <f t="shared" si="108"/>
        <v>0.10198965114855602</v>
      </c>
      <c r="M226" s="94">
        <v>37300</v>
      </c>
      <c r="N226" s="94">
        <v>42000</v>
      </c>
      <c r="O226" s="99">
        <v>219</v>
      </c>
      <c r="P226" s="55">
        <v>0.01</v>
      </c>
      <c r="Q226" s="55">
        <v>0.05</v>
      </c>
      <c r="R226" s="60">
        <f t="shared" si="109"/>
        <v>3.6397384861541662E-2</v>
      </c>
      <c r="S226" s="60">
        <f t="shared" si="110"/>
        <v>2.7146001467351431E-2</v>
      </c>
      <c r="T226" s="60">
        <f t="shared" si="111"/>
        <v>0</v>
      </c>
      <c r="U226" s="60">
        <f t="shared" si="112"/>
        <v>0</v>
      </c>
      <c r="V226" s="61">
        <f t="shared" si="113"/>
        <v>0.04</v>
      </c>
    </row>
    <row r="227" spans="1:22">
      <c r="A227" s="167">
        <v>6</v>
      </c>
      <c r="B227" s="168" t="s">
        <v>268</v>
      </c>
      <c r="C227" s="169" t="s">
        <v>269</v>
      </c>
      <c r="D227" s="97">
        <v>1022933288.54</v>
      </c>
      <c r="E227" s="98">
        <f t="shared" si="107"/>
        <v>7.7930107582918268E-2</v>
      </c>
      <c r="F227" s="94">
        <v>700</v>
      </c>
      <c r="G227" s="94">
        <v>700</v>
      </c>
      <c r="H227" s="99">
        <v>132</v>
      </c>
      <c r="I227" s="55">
        <v>2.4799999999999999E-2</v>
      </c>
      <c r="J227" s="55">
        <v>5.7500000000000002E-2</v>
      </c>
      <c r="K227" s="97">
        <v>1001179087.4</v>
      </c>
      <c r="L227" s="98">
        <f t="shared" si="108"/>
        <v>7.7450785569700253E-2</v>
      </c>
      <c r="M227" s="94">
        <v>700</v>
      </c>
      <c r="N227" s="94">
        <v>700</v>
      </c>
      <c r="O227" s="99">
        <v>132</v>
      </c>
      <c r="P227" s="55">
        <v>-2.12E-2</v>
      </c>
      <c r="Q227" s="55">
        <v>3.5499999999999997E-2</v>
      </c>
      <c r="R227" s="60">
        <f t="shared" si="109"/>
        <v>-2.1266490575401122E-2</v>
      </c>
      <c r="S227" s="60">
        <f t="shared" si="110"/>
        <v>0</v>
      </c>
      <c r="T227" s="60">
        <f t="shared" si="111"/>
        <v>0</v>
      </c>
      <c r="U227" s="60">
        <f t="shared" si="112"/>
        <v>-4.5999999999999999E-2</v>
      </c>
      <c r="V227" s="61">
        <f t="shared" si="113"/>
        <v>-2.2000000000000006E-2</v>
      </c>
    </row>
    <row r="228" spans="1:22">
      <c r="A228" s="167">
        <v>7</v>
      </c>
      <c r="B228" s="168" t="s">
        <v>270</v>
      </c>
      <c r="C228" s="169" t="s">
        <v>269</v>
      </c>
      <c r="D228" s="97">
        <v>867707845.45000005</v>
      </c>
      <c r="E228" s="98">
        <f t="shared" si="107"/>
        <v>6.6104570556085235E-2</v>
      </c>
      <c r="F228" s="94">
        <v>410</v>
      </c>
      <c r="G228" s="94">
        <v>410</v>
      </c>
      <c r="H228" s="99">
        <v>613</v>
      </c>
      <c r="I228" s="55">
        <v>2.07E-2</v>
      </c>
      <c r="J228" s="55">
        <v>3.6299999999999999E-2</v>
      </c>
      <c r="K228" s="97">
        <v>840018960.99000001</v>
      </c>
      <c r="L228" s="98">
        <f t="shared" si="108"/>
        <v>6.4983507187586206E-2</v>
      </c>
      <c r="M228" s="94">
        <v>449</v>
      </c>
      <c r="N228" s="94">
        <v>449</v>
      </c>
      <c r="O228" s="99">
        <v>613</v>
      </c>
      <c r="P228" s="55">
        <v>-3.1800000000000002E-2</v>
      </c>
      <c r="Q228" s="55">
        <v>3.7000000000000002E-3</v>
      </c>
      <c r="R228" s="60">
        <f t="shared" si="109"/>
        <v>-3.1910376983672849E-2</v>
      </c>
      <c r="S228" s="60">
        <f t="shared" si="110"/>
        <v>9.5121951219512196E-2</v>
      </c>
      <c r="T228" s="60">
        <f t="shared" si="111"/>
        <v>0</v>
      </c>
      <c r="U228" s="60">
        <f t="shared" si="112"/>
        <v>-5.2500000000000005E-2</v>
      </c>
      <c r="V228" s="61">
        <f t="shared" si="113"/>
        <v>-3.2599999999999997E-2</v>
      </c>
    </row>
    <row r="229" spans="1:22">
      <c r="A229" s="167">
        <v>8</v>
      </c>
      <c r="B229" s="168" t="s">
        <v>271</v>
      </c>
      <c r="C229" s="169" t="s">
        <v>272</v>
      </c>
      <c r="D229" s="97">
        <v>60141427.579999998</v>
      </c>
      <c r="E229" s="98">
        <f t="shared" si="107"/>
        <v>4.5817532521490699E-3</v>
      </c>
      <c r="F229" s="94">
        <v>17.329999999999998</v>
      </c>
      <c r="G229" s="94">
        <v>17.43</v>
      </c>
      <c r="H229" s="99">
        <v>65</v>
      </c>
      <c r="I229" s="55">
        <v>0</v>
      </c>
      <c r="J229" s="55">
        <v>0.51139999999999997</v>
      </c>
      <c r="K229" s="97">
        <v>61149351.890000001</v>
      </c>
      <c r="L229" s="98">
        <f t="shared" si="108"/>
        <v>4.7304876825362014E-3</v>
      </c>
      <c r="M229" s="94">
        <v>17.559999999999999</v>
      </c>
      <c r="N229" s="94">
        <v>17.66</v>
      </c>
      <c r="O229" s="99">
        <v>65</v>
      </c>
      <c r="P229" s="55">
        <v>0</v>
      </c>
      <c r="Q229" s="55">
        <v>0.51139999999999997</v>
      </c>
      <c r="R229" s="60">
        <f t="shared" si="109"/>
        <v>1.675923486617047E-2</v>
      </c>
      <c r="S229" s="60">
        <f t="shared" si="110"/>
        <v>1.3195639701663823E-2</v>
      </c>
      <c r="T229" s="60">
        <f t="shared" si="111"/>
        <v>0</v>
      </c>
      <c r="U229" s="60">
        <f t="shared" si="112"/>
        <v>0</v>
      </c>
      <c r="V229" s="61">
        <f t="shared" si="113"/>
        <v>0</v>
      </c>
    </row>
    <row r="230" spans="1:22">
      <c r="A230" s="167">
        <v>9</v>
      </c>
      <c r="B230" s="168" t="s">
        <v>273</v>
      </c>
      <c r="C230" s="169" t="s">
        <v>272</v>
      </c>
      <c r="D230" s="100">
        <v>713796927.5</v>
      </c>
      <c r="E230" s="98">
        <f t="shared" si="107"/>
        <v>5.4379177973399528E-2</v>
      </c>
      <c r="F230" s="94">
        <v>11.15</v>
      </c>
      <c r="G230" s="94">
        <v>11.25</v>
      </c>
      <c r="H230" s="99">
        <v>109</v>
      </c>
      <c r="I230" s="55">
        <v>1.83E-2</v>
      </c>
      <c r="J230" s="55">
        <v>0.2571</v>
      </c>
      <c r="K230" s="100">
        <v>711213745.45000005</v>
      </c>
      <c r="L230" s="98">
        <f t="shared" si="108"/>
        <v>5.5019190858372036E-2</v>
      </c>
      <c r="M230" s="94">
        <v>11.1</v>
      </c>
      <c r="N230" s="94">
        <v>11.2</v>
      </c>
      <c r="O230" s="99">
        <v>110</v>
      </c>
      <c r="P230" s="55">
        <v>-8.9999999999999993E-3</v>
      </c>
      <c r="Q230" s="55">
        <v>0.24579999999999999</v>
      </c>
      <c r="R230" s="60">
        <f t="shared" si="109"/>
        <v>-3.6189313101238478E-3</v>
      </c>
      <c r="S230" s="60">
        <f t="shared" si="110"/>
        <v>-4.4444444444445078E-3</v>
      </c>
      <c r="T230" s="60">
        <f t="shared" si="111"/>
        <v>9.1743119266055051E-3</v>
      </c>
      <c r="U230" s="60">
        <f t="shared" si="112"/>
        <v>-2.7299999999999998E-2</v>
      </c>
      <c r="V230" s="61">
        <f t="shared" si="113"/>
        <v>-1.1300000000000004E-2</v>
      </c>
    </row>
    <row r="231" spans="1:22" ht="15" customHeight="1">
      <c r="A231" s="167">
        <v>10</v>
      </c>
      <c r="B231" s="168" t="s">
        <v>274</v>
      </c>
      <c r="C231" s="169" t="s">
        <v>272</v>
      </c>
      <c r="D231" s="97">
        <v>95009342.810000002</v>
      </c>
      <c r="E231" s="98">
        <f t="shared" si="107"/>
        <v>7.2380949857769137E-3</v>
      </c>
      <c r="F231" s="94">
        <v>129.85</v>
      </c>
      <c r="G231" s="94">
        <v>131.85</v>
      </c>
      <c r="H231" s="99">
        <v>289</v>
      </c>
      <c r="I231" s="55">
        <v>0.1716</v>
      </c>
      <c r="J231" s="55">
        <v>0.75739999999999996</v>
      </c>
      <c r="K231" s="97">
        <v>94089797.280000001</v>
      </c>
      <c r="L231" s="98">
        <f t="shared" si="108"/>
        <v>7.2787464352202834E-3</v>
      </c>
      <c r="M231" s="94">
        <v>128.58000000000001</v>
      </c>
      <c r="N231" s="94">
        <v>130.58000000000001</v>
      </c>
      <c r="O231" s="99">
        <v>294</v>
      </c>
      <c r="P231" s="55">
        <v>-6.9199999999999998E-2</v>
      </c>
      <c r="Q231" s="55">
        <v>0.63570000000000004</v>
      </c>
      <c r="R231" s="60">
        <f t="shared" si="109"/>
        <v>-9.6784747984091559E-3</v>
      </c>
      <c r="S231" s="60">
        <f t="shared" si="110"/>
        <v>-9.6321577550245122E-3</v>
      </c>
      <c r="T231" s="60">
        <f t="shared" si="111"/>
        <v>1.7301038062283738E-2</v>
      </c>
      <c r="U231" s="60">
        <f t="shared" si="112"/>
        <v>-0.24080000000000001</v>
      </c>
      <c r="V231" s="61">
        <f t="shared" si="113"/>
        <v>-0.12169999999999992</v>
      </c>
    </row>
    <row r="232" spans="1:22">
      <c r="A232" s="167">
        <v>11</v>
      </c>
      <c r="B232" s="168" t="s">
        <v>275</v>
      </c>
      <c r="C232" s="169" t="s">
        <v>272</v>
      </c>
      <c r="D232" s="97">
        <v>5688484489.6400003</v>
      </c>
      <c r="E232" s="98">
        <f t="shared" si="107"/>
        <v>0.43336570744913494</v>
      </c>
      <c r="F232" s="94">
        <v>39.32</v>
      </c>
      <c r="G232" s="94">
        <v>39.520000000000003</v>
      </c>
      <c r="H232" s="99">
        <v>282</v>
      </c>
      <c r="I232" s="55">
        <v>8.6099999999999996E-2</v>
      </c>
      <c r="J232" s="55">
        <v>0.51849999999999996</v>
      </c>
      <c r="K232" s="97">
        <v>5513564811.5699997</v>
      </c>
      <c r="L232" s="98">
        <f t="shared" si="108"/>
        <v>0.42652701331838949</v>
      </c>
      <c r="M232" s="94">
        <v>38.11</v>
      </c>
      <c r="N232" s="94">
        <v>38.31</v>
      </c>
      <c r="O232" s="99">
        <v>283</v>
      </c>
      <c r="P232" s="55">
        <v>-6.0999999999999999E-2</v>
      </c>
      <c r="Q232" s="55">
        <v>0.4259</v>
      </c>
      <c r="R232" s="60">
        <f t="shared" si="109"/>
        <v>-3.0749785534014976E-2</v>
      </c>
      <c r="S232" s="60">
        <f t="shared" si="110"/>
        <v>-3.0617408906882609E-2</v>
      </c>
      <c r="T232" s="60">
        <f t="shared" si="111"/>
        <v>3.5460992907801418E-3</v>
      </c>
      <c r="U232" s="60">
        <f t="shared" si="112"/>
        <v>-0.14710000000000001</v>
      </c>
      <c r="V232" s="61">
        <f t="shared" si="113"/>
        <v>-9.259999999999996E-2</v>
      </c>
    </row>
    <row r="233" spans="1:22">
      <c r="A233" s="167">
        <v>12</v>
      </c>
      <c r="B233" s="168" t="s">
        <v>276</v>
      </c>
      <c r="C233" s="169" t="s">
        <v>272</v>
      </c>
      <c r="D233" s="100">
        <v>62995023.289999999</v>
      </c>
      <c r="E233" s="98">
        <f t="shared" si="107"/>
        <v>4.7991486807364529E-3</v>
      </c>
      <c r="F233" s="94">
        <v>35.64</v>
      </c>
      <c r="G233" s="94">
        <v>35.840000000000003</v>
      </c>
      <c r="H233" s="99">
        <v>63</v>
      </c>
      <c r="I233" s="55">
        <v>-4.4200000000000003E-2</v>
      </c>
      <c r="J233" s="55">
        <v>0.50939999999999996</v>
      </c>
      <c r="K233" s="100">
        <v>56904701.189999998</v>
      </c>
      <c r="L233" s="98">
        <f t="shared" si="108"/>
        <v>4.4021233216327733E-3</v>
      </c>
      <c r="M233" s="94">
        <v>32.71</v>
      </c>
      <c r="N233" s="94">
        <v>32.909999999999997</v>
      </c>
      <c r="O233" s="99">
        <v>63</v>
      </c>
      <c r="P233" s="55">
        <v>0</v>
      </c>
      <c r="Q233" s="55">
        <v>0.50939999999999996</v>
      </c>
      <c r="R233" s="60">
        <f t="shared" si="109"/>
        <v>-9.6679416593958081E-2</v>
      </c>
      <c r="S233" s="60">
        <f t="shared" si="110"/>
        <v>-8.1752232142857331E-2</v>
      </c>
      <c r="T233" s="60">
        <f t="shared" si="111"/>
        <v>0</v>
      </c>
      <c r="U233" s="60">
        <f t="shared" si="112"/>
        <v>4.4200000000000003E-2</v>
      </c>
      <c r="V233" s="61">
        <f t="shared" si="113"/>
        <v>0</v>
      </c>
    </row>
    <row r="234" spans="1:22">
      <c r="A234" s="135"/>
      <c r="B234" s="135"/>
      <c r="C234" s="136" t="s">
        <v>277</v>
      </c>
      <c r="D234" s="93">
        <f>SUM(D222:D233)</f>
        <v>13126291240.540001</v>
      </c>
      <c r="E234" s="95"/>
      <c r="F234" s="95"/>
      <c r="G234" s="96"/>
      <c r="H234" s="93">
        <f>SUM(H222:H233)</f>
        <v>2311</v>
      </c>
      <c r="I234" s="116"/>
      <c r="J234" s="116"/>
      <c r="K234" s="93">
        <f>SUM(K222:K233)</f>
        <v>12926648581.233683</v>
      </c>
      <c r="L234" s="95"/>
      <c r="M234" s="95"/>
      <c r="N234" s="96"/>
      <c r="O234" s="93">
        <f>SUM(O222:O233)</f>
        <v>2317</v>
      </c>
      <c r="P234" s="116"/>
      <c r="Q234" s="116"/>
      <c r="R234" s="60">
        <f t="shared" si="109"/>
        <v>-1.5209372978844954E-2</v>
      </c>
      <c r="S234" s="60" t="e">
        <f t="shared" si="110"/>
        <v>#DIV/0!</v>
      </c>
      <c r="T234" s="60">
        <f t="shared" si="111"/>
        <v>2.5962786672436176E-3</v>
      </c>
      <c r="U234" s="60">
        <f t="shared" si="112"/>
        <v>0</v>
      </c>
      <c r="V234" s="61">
        <f t="shared" si="113"/>
        <v>0</v>
      </c>
    </row>
    <row r="235" spans="1:22">
      <c r="A235" s="101"/>
      <c r="B235" s="101"/>
      <c r="C235" s="102" t="s">
        <v>278</v>
      </c>
      <c r="D235" s="103">
        <f>SUM(D210,D214,D219,D234)</f>
        <v>4112572599932.1143</v>
      </c>
      <c r="E235" s="104"/>
      <c r="F235" s="104"/>
      <c r="G235" s="105"/>
      <c r="H235" s="103">
        <f>SUM(H210,H214,H219,H234)</f>
        <v>811332</v>
      </c>
      <c r="I235" s="117"/>
      <c r="J235" s="117"/>
      <c r="K235" s="103">
        <f>SUM(K210,K214,K219,K234)</f>
        <v>4168825516653.0518</v>
      </c>
      <c r="L235" s="104"/>
      <c r="M235" s="104"/>
      <c r="N235" s="103"/>
      <c r="O235" s="103">
        <f>SUM(O210,O214,O219,O234)</f>
        <v>816973</v>
      </c>
      <c r="P235" s="118"/>
      <c r="Q235" s="103"/>
      <c r="R235" s="124"/>
      <c r="S235" s="125"/>
      <c r="T235" s="125"/>
      <c r="U235" s="126"/>
      <c r="V235" s="126"/>
    </row>
    <row r="236" spans="1:22">
      <c r="A236" s="106" t="s">
        <v>279</v>
      </c>
      <c r="B236" s="133" t="s">
        <v>307</v>
      </c>
      <c r="C236" s="107"/>
      <c r="D236" s="107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  <c r="R236" s="107"/>
      <c r="S236" s="107"/>
      <c r="T236" s="107"/>
      <c r="U236" s="107"/>
      <c r="V236" s="107"/>
    </row>
    <row r="237" spans="1:22">
      <c r="B237" s="132"/>
    </row>
    <row r="238" spans="1:22">
      <c r="B238" s="137"/>
      <c r="C238" s="108"/>
      <c r="D238" s="109"/>
      <c r="K238" s="109"/>
    </row>
    <row r="239" spans="1:22" ht="15">
      <c r="B239" s="110"/>
      <c r="C239" s="111"/>
      <c r="D239" s="112"/>
      <c r="F239" s="113"/>
      <c r="G239" s="113"/>
      <c r="I239" s="119"/>
      <c r="J239" s="120"/>
    </row>
    <row r="242" spans="2:2">
      <c r="B242" s="108"/>
    </row>
  </sheetData>
  <sheetProtection algorithmName="SHA-512" hashValue="a2fzl0ZaPf4I11J0lg+3s8HclPK4b4qf6CLnbYqMuWDXoIvC8A0LMAQo5inj38oUxsws/zPLDWRKTBlAlhNpZQ==" saltValue="68H3vKtqsEE3GKxc218OKQ==" spinCount="100000" sheet="1" objects="1" scenarios="1"/>
  <sortState ref="A150:C177">
    <sortCondition descending="1" ref="A149"/>
  </sortState>
  <mergeCells count="34">
    <mergeCell ref="A212:V212"/>
    <mergeCell ref="A216:V216"/>
    <mergeCell ref="B220:V220"/>
    <mergeCell ref="A221:V221"/>
    <mergeCell ref="B191:V191"/>
    <mergeCell ref="A192:V192"/>
    <mergeCell ref="B206:V206"/>
    <mergeCell ref="A207:V207"/>
    <mergeCell ref="B211:U211"/>
    <mergeCell ref="B180:V180"/>
    <mergeCell ref="A181:V181"/>
    <mergeCell ref="B186:V186"/>
    <mergeCell ref="A187:V187"/>
    <mergeCell ref="A188:V188"/>
    <mergeCell ref="A125:V125"/>
    <mergeCell ref="B141:V141"/>
    <mergeCell ref="A142:V142"/>
    <mergeCell ref="B149:V149"/>
    <mergeCell ref="A150:V150"/>
    <mergeCell ref="A67:V67"/>
    <mergeCell ref="B105:V105"/>
    <mergeCell ref="A106:V106"/>
    <mergeCell ref="A107:V107"/>
    <mergeCell ref="B124:V124"/>
    <mergeCell ref="B4:V4"/>
    <mergeCell ref="A5:V5"/>
    <mergeCell ref="B25:V25"/>
    <mergeCell ref="A26:V26"/>
    <mergeCell ref="B66:V66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L90 E90 E72 L46 E46 L32 E32" formula="1"/>
    <ignoredError sqref="S148 S24 T37 S65 S104 S140 S179 S185 S209 S234 T217:T218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G7" sqref="G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39"/>
      <c r="B1" s="139"/>
      <c r="C1" s="139"/>
      <c r="D1" s="139"/>
      <c r="E1" s="19"/>
    </row>
    <row r="2" spans="1:5" ht="27.6">
      <c r="A2" s="140" t="s">
        <v>280</v>
      </c>
      <c r="B2" s="141" t="s">
        <v>304</v>
      </c>
      <c r="C2" s="141" t="s">
        <v>313</v>
      </c>
      <c r="D2" s="142"/>
      <c r="E2" s="19"/>
    </row>
    <row r="3" spans="1:5">
      <c r="A3" s="143" t="s">
        <v>17</v>
      </c>
      <c r="B3" s="144">
        <f t="shared" ref="B3:C10" si="0">B13</f>
        <v>33.411621797110001</v>
      </c>
      <c r="C3" s="144">
        <f t="shared" si="0"/>
        <v>33.055654590010001</v>
      </c>
      <c r="D3" s="142"/>
      <c r="E3" s="19"/>
    </row>
    <row r="4" spans="1:5" ht="17.25" customHeight="1">
      <c r="A4" s="140" t="s">
        <v>54</v>
      </c>
      <c r="B4" s="145">
        <f t="shared" si="0"/>
        <v>1796.1635202174673</v>
      </c>
      <c r="C4" s="145">
        <f t="shared" si="0"/>
        <v>1833.4943338316871</v>
      </c>
      <c r="D4" s="142"/>
      <c r="E4" s="19"/>
    </row>
    <row r="5" spans="1:5" ht="19.5" customHeight="1">
      <c r="A5" s="140" t="s">
        <v>281</v>
      </c>
      <c r="B5" s="144">
        <f t="shared" si="0"/>
        <v>198.624219481398</v>
      </c>
      <c r="C5" s="144">
        <f t="shared" si="0"/>
        <v>199.57294490079062</v>
      </c>
      <c r="D5" s="142"/>
      <c r="E5" s="19"/>
    </row>
    <row r="6" spans="1:5">
      <c r="A6" s="140" t="s">
        <v>158</v>
      </c>
      <c r="B6" s="145">
        <f t="shared" si="0"/>
        <v>1721.2737908844595</v>
      </c>
      <c r="C6" s="145">
        <f t="shared" si="0"/>
        <v>1738.4597624644448</v>
      </c>
      <c r="D6" s="142"/>
      <c r="E6" s="19"/>
    </row>
    <row r="7" spans="1:5">
      <c r="A7" s="140" t="s">
        <v>282</v>
      </c>
      <c r="B7" s="144">
        <f t="shared" si="0"/>
        <v>100.81452594229248</v>
      </c>
      <c r="C7" s="144">
        <f t="shared" si="0"/>
        <v>100.84819703593321</v>
      </c>
      <c r="D7" s="142"/>
      <c r="E7" s="19"/>
    </row>
    <row r="8" spans="1:5">
      <c r="A8" s="140" t="s">
        <v>196</v>
      </c>
      <c r="B8" s="146">
        <f t="shared" si="0"/>
        <v>54.634812426096275</v>
      </c>
      <c r="C8" s="146">
        <f t="shared" si="0"/>
        <v>54.483397031599196</v>
      </c>
      <c r="D8" s="142"/>
      <c r="E8" s="19"/>
    </row>
    <row r="9" spans="1:5">
      <c r="A9" s="140" t="s">
        <v>227</v>
      </c>
      <c r="B9" s="144">
        <f t="shared" si="0"/>
        <v>6.0531176973000003</v>
      </c>
      <c r="C9" s="144">
        <f t="shared" si="0"/>
        <v>6.02151531135</v>
      </c>
      <c r="D9" s="142"/>
      <c r="E9" s="19"/>
    </row>
    <row r="10" spans="1:5">
      <c r="A10" s="140" t="s">
        <v>283</v>
      </c>
      <c r="B10" s="144">
        <f t="shared" si="0"/>
        <v>52.575931037907694</v>
      </c>
      <c r="C10" s="144">
        <f t="shared" si="0"/>
        <v>53.769824668250124</v>
      </c>
      <c r="D10" s="142"/>
      <c r="E10" s="19"/>
    </row>
    <row r="11" spans="1:5">
      <c r="A11" s="140"/>
      <c r="B11" s="144"/>
      <c r="C11" s="144"/>
      <c r="D11" s="142"/>
      <c r="E11" s="19"/>
    </row>
    <row r="12" spans="1:5">
      <c r="A12" s="139"/>
      <c r="B12" s="139"/>
      <c r="C12" s="139"/>
      <c r="D12" s="139"/>
      <c r="E12" s="19"/>
    </row>
    <row r="13" spans="1:5">
      <c r="A13" s="147" t="s">
        <v>17</v>
      </c>
      <c r="B13" s="148">
        <f>'Weekly Valuation'!D24/1000000000</f>
        <v>33.411621797110001</v>
      </c>
      <c r="C13" s="149">
        <f>'Weekly Valuation'!K24/1000000000</f>
        <v>33.055654590010001</v>
      </c>
      <c r="D13" s="139"/>
      <c r="E13" s="19"/>
    </row>
    <row r="14" spans="1:5">
      <c r="A14" s="150" t="s">
        <v>54</v>
      </c>
      <c r="B14" s="148">
        <f>'Weekly Valuation'!D65/1000000000</f>
        <v>1796.1635202174673</v>
      </c>
      <c r="C14" s="151">
        <f>'Weekly Valuation'!K65/1000000000</f>
        <v>1833.4943338316871</v>
      </c>
      <c r="D14" s="139"/>
      <c r="E14" s="19"/>
    </row>
    <row r="15" spans="1:5">
      <c r="A15" s="150" t="s">
        <v>281</v>
      </c>
      <c r="B15" s="148">
        <f>'Weekly Valuation'!D104/1000000000</f>
        <v>198.624219481398</v>
      </c>
      <c r="C15" s="149">
        <f>'Weekly Valuation'!K104/1000000000</f>
        <v>199.57294490079062</v>
      </c>
      <c r="D15" s="139"/>
      <c r="E15" s="19"/>
    </row>
    <row r="16" spans="1:5">
      <c r="A16" s="150" t="s">
        <v>158</v>
      </c>
      <c r="B16" s="148">
        <f>'Weekly Valuation'!D140/1000000000</f>
        <v>1721.2737908844595</v>
      </c>
      <c r="C16" s="151">
        <f>'Weekly Valuation'!K140/1000000000</f>
        <v>1738.4597624644448</v>
      </c>
      <c r="D16" s="139"/>
      <c r="E16" s="19"/>
    </row>
    <row r="17" spans="1:5">
      <c r="A17" s="150" t="s">
        <v>282</v>
      </c>
      <c r="B17" s="148">
        <f>'Weekly Valuation'!D148/1000000000</f>
        <v>100.81452594229248</v>
      </c>
      <c r="C17" s="149">
        <f>'Weekly Valuation'!K148/1000000000</f>
        <v>100.84819703593321</v>
      </c>
      <c r="D17" s="139"/>
      <c r="E17" s="19"/>
    </row>
    <row r="18" spans="1:5">
      <c r="A18" s="150" t="s">
        <v>196</v>
      </c>
      <c r="B18" s="148">
        <f>'Weekly Valuation'!D179/1000000000</f>
        <v>54.634812426096275</v>
      </c>
      <c r="C18" s="152">
        <f>'Weekly Valuation'!K179/1000000000</f>
        <v>54.483397031599196</v>
      </c>
      <c r="D18" s="139"/>
      <c r="E18" s="19"/>
    </row>
    <row r="19" spans="1:5">
      <c r="A19" s="150" t="s">
        <v>227</v>
      </c>
      <c r="B19" s="148">
        <f>'Weekly Valuation'!D185/1000000000</f>
        <v>6.0531176973000003</v>
      </c>
      <c r="C19" s="149">
        <f>'Weekly Valuation'!K185/1000000000</f>
        <v>6.02151531135</v>
      </c>
      <c r="D19" s="139"/>
      <c r="E19" s="19"/>
    </row>
    <row r="20" spans="1:5">
      <c r="A20" s="150" t="s">
        <v>283</v>
      </c>
      <c r="B20" s="148">
        <f>'Weekly Valuation'!D209/1000000000</f>
        <v>52.575931037907694</v>
      </c>
      <c r="C20" s="149">
        <f>'Weekly Valuation'!K209/1000000000</f>
        <v>53.769824668250124</v>
      </c>
      <c r="D20" s="139"/>
      <c r="E20" s="19"/>
    </row>
    <row r="21" spans="1:5">
      <c r="A21" s="153"/>
      <c r="B21" s="139"/>
      <c r="C21" s="154"/>
      <c r="D21" s="139"/>
      <c r="E21" s="19"/>
    </row>
    <row r="22" spans="1:5">
      <c r="A22" s="153"/>
      <c r="B22" s="139"/>
      <c r="C22" s="155"/>
      <c r="D22" s="139"/>
      <c r="E22" s="19"/>
    </row>
    <row r="23" spans="1:5">
      <c r="A23" s="156"/>
      <c r="B23" s="157"/>
      <c r="C23" s="158"/>
      <c r="D23" s="19"/>
      <c r="E23" s="19"/>
    </row>
    <row r="24" spans="1:5">
      <c r="A24" s="156"/>
      <c r="B24" s="157"/>
      <c r="C24" s="157"/>
      <c r="D24" s="19"/>
      <c r="E24" s="19"/>
    </row>
    <row r="25" spans="1:5">
      <c r="A25" s="156"/>
      <c r="B25" s="157"/>
      <c r="C25" s="157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zgtuf3T2oLSpQWYPQhxxiqYDyga25G7Li0AdM+zvp72SfmCjEISdchDpMNW14V7r/Tk/CrFieoKC0Bj2kSLgHQ==" saltValue="zJecSHyJBC3w4Q0w/Iz7d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M13" sqref="M13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59" t="s">
        <v>280</v>
      </c>
      <c r="B1" s="160">
        <v>45674</v>
      </c>
      <c r="C1" s="19"/>
      <c r="D1" s="19"/>
      <c r="E1" s="15"/>
      <c r="F1" s="15"/>
      <c r="G1" s="15"/>
    </row>
    <row r="2" spans="1:7">
      <c r="A2" s="153" t="s">
        <v>227</v>
      </c>
      <c r="B2" s="155">
        <f>'Weekly Valuation'!K185</f>
        <v>6021515311.3500004</v>
      </c>
      <c r="C2" s="19"/>
      <c r="D2" s="19"/>
      <c r="E2" s="15"/>
      <c r="F2" s="15"/>
      <c r="G2" s="15"/>
    </row>
    <row r="3" spans="1:7">
      <c r="A3" s="153" t="s">
        <v>17</v>
      </c>
      <c r="B3" s="155">
        <f>'Weekly Valuation'!K24</f>
        <v>33055654590.010002</v>
      </c>
      <c r="C3" s="19"/>
      <c r="D3" s="19"/>
      <c r="E3" s="15"/>
      <c r="F3" s="15"/>
      <c r="G3" s="15"/>
    </row>
    <row r="4" spans="1:7">
      <c r="A4" s="153" t="s">
        <v>283</v>
      </c>
      <c r="B4" s="158">
        <f>'Weekly Valuation'!K209</f>
        <v>53769824668.250122</v>
      </c>
      <c r="C4" s="19"/>
      <c r="D4" s="19"/>
      <c r="E4" s="15"/>
      <c r="F4" s="15"/>
      <c r="G4" s="15"/>
    </row>
    <row r="5" spans="1:7">
      <c r="A5" s="153" t="s">
        <v>196</v>
      </c>
      <c r="B5" s="155">
        <f>'Weekly Valuation'!K179</f>
        <v>54483397031.599197</v>
      </c>
      <c r="C5" s="19"/>
      <c r="D5" s="19"/>
      <c r="E5" s="15"/>
      <c r="F5" s="15"/>
      <c r="G5" s="15"/>
    </row>
    <row r="6" spans="1:7">
      <c r="A6" s="153" t="s">
        <v>282</v>
      </c>
      <c r="B6" s="155">
        <f>'Weekly Valuation'!K148</f>
        <v>100848197035.93321</v>
      </c>
      <c r="C6" s="19"/>
      <c r="D6" s="19"/>
      <c r="E6" s="15"/>
      <c r="F6" s="15"/>
      <c r="G6" s="15"/>
    </row>
    <row r="7" spans="1:7">
      <c r="A7" s="153" t="s">
        <v>281</v>
      </c>
      <c r="B7" s="155">
        <f>'Weekly Valuation'!K104</f>
        <v>199572944900.79062</v>
      </c>
      <c r="C7" s="19"/>
      <c r="D7" s="19"/>
      <c r="E7" s="15"/>
      <c r="F7" s="15"/>
      <c r="G7" s="15"/>
    </row>
    <row r="8" spans="1:7">
      <c r="A8" s="153" t="s">
        <v>54</v>
      </c>
      <c r="B8" s="154">
        <f>'Weekly Valuation'!K65</f>
        <v>1833494333831.687</v>
      </c>
      <c r="C8" s="19"/>
      <c r="D8" s="19"/>
      <c r="E8" s="15"/>
      <c r="F8" s="15"/>
      <c r="G8" s="15"/>
    </row>
    <row r="9" spans="1:7">
      <c r="A9" s="153" t="s">
        <v>158</v>
      </c>
      <c r="B9" s="154">
        <f>'Weekly Valuation'!K140</f>
        <v>1738459762464.4448</v>
      </c>
      <c r="C9" s="19"/>
      <c r="D9" s="19"/>
      <c r="E9" s="15"/>
      <c r="F9" s="15"/>
      <c r="G9" s="15"/>
    </row>
    <row r="10" spans="1:7">
      <c r="A10" s="139"/>
      <c r="B10" s="139"/>
      <c r="C10" s="19"/>
      <c r="D10" s="19"/>
      <c r="E10" s="15"/>
      <c r="F10" s="15"/>
      <c r="G10" s="15"/>
    </row>
    <row r="11" spans="1:7">
      <c r="A11" s="153"/>
      <c r="B11" s="161"/>
      <c r="C11" s="19"/>
      <c r="D11" s="19"/>
      <c r="E11" s="15"/>
      <c r="F11" s="15"/>
      <c r="G11" s="15"/>
    </row>
    <row r="12" spans="1:7">
      <c r="A12" s="153"/>
      <c r="B12" s="19"/>
      <c r="C12" s="19"/>
      <c r="D12" s="19"/>
      <c r="E12" s="15"/>
      <c r="F12" s="15"/>
      <c r="G12" s="15"/>
    </row>
    <row r="13" spans="1:7">
      <c r="A13" s="157"/>
      <c r="B13" s="157"/>
      <c r="C13" s="19"/>
      <c r="D13" s="19"/>
      <c r="E13" s="15"/>
      <c r="F13" s="15"/>
      <c r="G13" s="15"/>
    </row>
    <row r="14" spans="1:7">
      <c r="A14" s="157"/>
      <c r="B14" s="157"/>
      <c r="C14" s="19"/>
      <c r="D14" s="19"/>
      <c r="E14" s="15"/>
      <c r="F14" s="15"/>
      <c r="G14" s="15"/>
    </row>
    <row r="15" spans="1:7" ht="16.5" customHeight="1">
      <c r="A15" s="129"/>
      <c r="B15" s="129"/>
      <c r="C15" s="15"/>
      <c r="D15" s="15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30"/>
      <c r="B18" s="22"/>
      <c r="C18" s="15"/>
      <c r="D18" s="15"/>
      <c r="E18" s="15"/>
      <c r="F18" s="15"/>
      <c r="G18" s="15"/>
    </row>
    <row r="19" spans="1:17">
      <c r="A19" s="130"/>
      <c r="B19" s="130"/>
      <c r="C19" s="15"/>
      <c r="D19" s="15"/>
      <c r="E19" s="15"/>
      <c r="F19" s="15"/>
      <c r="G19" s="15"/>
    </row>
    <row r="20" spans="1:17">
      <c r="A20" s="130"/>
      <c r="B20" s="130"/>
      <c r="C20" s="15"/>
      <c r="D20" s="15"/>
      <c r="E20" s="15"/>
      <c r="F20" s="15"/>
      <c r="G20" s="15"/>
    </row>
    <row r="21" spans="1:17">
      <c r="A21" s="21"/>
      <c r="B21" s="130"/>
      <c r="C21" s="15"/>
      <c r="D21" s="15"/>
      <c r="E21" s="15"/>
      <c r="F21" s="15"/>
      <c r="G21" s="15"/>
    </row>
    <row r="22" spans="1:17">
      <c r="A22" s="15"/>
      <c r="B22" s="130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20"/>
    </row>
    <row r="33" spans="1:17" ht="15" customHeight="1">
      <c r="A33" s="186"/>
      <c r="B33" s="186"/>
      <c r="C33" s="186"/>
      <c r="D33" s="186"/>
      <c r="E33" s="186"/>
      <c r="F33" s="186"/>
      <c r="G33" s="186"/>
      <c r="H33" s="186"/>
      <c r="I33" s="186"/>
      <c r="J33" s="186"/>
      <c r="K33" s="186"/>
      <c r="L33" s="186"/>
      <c r="M33" s="186"/>
      <c r="N33" s="186"/>
      <c r="O33" s="186"/>
      <c r="P33" s="186"/>
      <c r="Q33" s="20"/>
    </row>
  </sheetData>
  <sheetProtection algorithmName="SHA-512" hashValue="regVPgopKPXtVxtbxhaQ+wXmcvVM0oJbSY7Zd+tnqgsK7eHrvq+tG5l5z1oN6+9VqEU93AlO4TeNUnxbvFOQIA==" saltValue="/T3Af2HlCA+0GiFnA4s1EQ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9"/>
  <sheetViews>
    <sheetView zoomScale="110" zoomScaleNormal="110" workbookViewId="0">
      <selection activeCell="G7" sqref="G7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5"/>
      <c r="M1" s="15"/>
    </row>
    <row r="2" spans="1:13">
      <c r="A2" s="162" t="s">
        <v>284</v>
      </c>
      <c r="B2" s="163">
        <v>45625</v>
      </c>
      <c r="C2" s="163">
        <v>45632</v>
      </c>
      <c r="D2" s="163">
        <v>45639</v>
      </c>
      <c r="E2" s="163">
        <v>45646</v>
      </c>
      <c r="F2" s="163">
        <v>45653</v>
      </c>
      <c r="G2" s="163">
        <v>45660</v>
      </c>
      <c r="H2" s="163">
        <v>45667</v>
      </c>
      <c r="I2" s="163">
        <v>45674</v>
      </c>
      <c r="J2" s="19"/>
      <c r="K2" s="19"/>
      <c r="L2" s="15"/>
      <c r="M2" s="15"/>
    </row>
    <row r="3" spans="1:13">
      <c r="A3" s="162" t="s">
        <v>285</v>
      </c>
      <c r="B3" s="164">
        <f t="shared" ref="B3:I3" si="0">B4</f>
        <v>3850.3823617505013</v>
      </c>
      <c r="C3" s="164">
        <f t="shared" si="0"/>
        <v>3767.9650755489829</v>
      </c>
      <c r="D3" s="164">
        <f t="shared" si="0"/>
        <v>3751.2644931970517</v>
      </c>
      <c r="E3" s="164">
        <f t="shared" si="0"/>
        <v>3792.1276820114672</v>
      </c>
      <c r="F3" s="164">
        <f t="shared" si="0"/>
        <v>3829.831201863391</v>
      </c>
      <c r="G3" s="164">
        <f t="shared" si="0"/>
        <v>3883.4933818535656</v>
      </c>
      <c r="H3" s="164">
        <f t="shared" si="0"/>
        <v>3964.1148250792808</v>
      </c>
      <c r="I3" s="164">
        <f t="shared" si="0"/>
        <v>4019.7056298340649</v>
      </c>
      <c r="J3" s="19"/>
      <c r="K3" s="19"/>
      <c r="L3" s="15"/>
      <c r="M3" s="15"/>
    </row>
    <row r="4" spans="1:13">
      <c r="A4" s="19"/>
      <c r="B4" s="165">
        <f>'NAV Trend'!C10/1000000000</f>
        <v>3850.3823617505013</v>
      </c>
      <c r="C4" s="165">
        <f>'NAV Trend'!D10/1000000000</f>
        <v>3767.9650755489829</v>
      </c>
      <c r="D4" s="165">
        <f>'NAV Trend'!E10/1000000000</f>
        <v>3751.2644931970517</v>
      </c>
      <c r="E4" s="165">
        <f>'NAV Trend'!F10/1000000000</f>
        <v>3792.1276820114672</v>
      </c>
      <c r="F4" s="165">
        <f>'NAV Trend'!G10/1000000000</f>
        <v>3829.831201863391</v>
      </c>
      <c r="G4" s="165">
        <f>'NAV Trend'!H10/1000000000</f>
        <v>3883.4933818535656</v>
      </c>
      <c r="H4" s="166">
        <f>'NAV Trend'!I10/1000000000</f>
        <v>3964.1148250792808</v>
      </c>
      <c r="I4" s="166">
        <f>'NAV Trend'!J10/1000000000</f>
        <v>4019.7056298340649</v>
      </c>
      <c r="J4" s="19"/>
      <c r="K4" s="19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5"/>
      <c r="M5" s="15"/>
    </row>
    <row r="6" spans="1:13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</sheetData>
  <sheetProtection algorithmName="SHA-512" hashValue="zrNMCPkzJaPwXOe6b3Iv6P5ainFlaDxSWjhQzPZ60KukEtfFVstz8ZjtZ8sO71fHGtd7E1glGkJDskDymNdbug==" saltValue="v1m8wCDgA1uebspPy0dlC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F7" sqref="F7"/>
    </sheetView>
  </sheetViews>
  <sheetFormatPr defaultColWidth="9" defaultRowHeight="14.4"/>
  <cols>
    <col min="1" max="1" width="16.55468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</row>
    <row r="2" spans="1:12">
      <c r="A2" s="162" t="s">
        <v>284</v>
      </c>
      <c r="B2" s="163">
        <v>45625</v>
      </c>
      <c r="C2" s="163">
        <v>45632</v>
      </c>
      <c r="D2" s="163">
        <v>45639</v>
      </c>
      <c r="E2" s="163">
        <v>45646</v>
      </c>
      <c r="F2" s="163">
        <v>45653</v>
      </c>
      <c r="G2" s="163">
        <v>45660</v>
      </c>
      <c r="H2" s="163">
        <v>45667</v>
      </c>
      <c r="I2" s="163">
        <v>45674</v>
      </c>
      <c r="J2" s="19"/>
      <c r="K2" s="15"/>
      <c r="L2" s="15"/>
    </row>
    <row r="3" spans="1:12">
      <c r="A3" s="162" t="s">
        <v>286</v>
      </c>
      <c r="B3" s="164">
        <f t="shared" ref="B3:I3" si="0">B4</f>
        <v>12.578926303585625</v>
      </c>
      <c r="C3" s="164">
        <f t="shared" si="0"/>
        <v>12.480727319636602</v>
      </c>
      <c r="D3" s="164">
        <f t="shared" si="0"/>
        <v>12.494363671946113</v>
      </c>
      <c r="E3" s="164">
        <f t="shared" si="0"/>
        <v>12.568890044927004</v>
      </c>
      <c r="F3" s="164">
        <f t="shared" si="0"/>
        <v>12.767135898969396</v>
      </c>
      <c r="G3" s="164">
        <f t="shared" si="0"/>
        <v>12.486443329167654</v>
      </c>
      <c r="H3" s="164">
        <f t="shared" si="0"/>
        <v>13.126291240540001</v>
      </c>
      <c r="I3" s="164">
        <f t="shared" si="0"/>
        <v>12.926648581233682</v>
      </c>
      <c r="J3" s="19"/>
      <c r="K3" s="15"/>
      <c r="L3" s="15"/>
    </row>
    <row r="4" spans="1:12">
      <c r="A4" s="19"/>
      <c r="B4" s="165">
        <f>'NAV Trend'!C16/1000000000</f>
        <v>12.578926303585625</v>
      </c>
      <c r="C4" s="165">
        <f>'NAV Trend'!D16/1000000000</f>
        <v>12.480727319636602</v>
      </c>
      <c r="D4" s="165">
        <f>'NAV Trend'!E16/1000000000</f>
        <v>12.494363671946113</v>
      </c>
      <c r="E4" s="165">
        <f>'NAV Trend'!F16/1000000000</f>
        <v>12.568890044927004</v>
      </c>
      <c r="F4" s="165">
        <f>'NAV Trend'!G16/1000000000</f>
        <v>12.767135898969396</v>
      </c>
      <c r="G4" s="165">
        <f>'NAV Trend'!H16/1000000000</f>
        <v>12.486443329167654</v>
      </c>
      <c r="H4" s="165">
        <f>'NAV Trend'!I16/1000000000</f>
        <v>13.126291240540001</v>
      </c>
      <c r="I4" s="166">
        <f>'NAV Trend'!J16/1000000000</f>
        <v>12.926648581233682</v>
      </c>
      <c r="J4" s="19"/>
      <c r="K4" s="15"/>
      <c r="L4" s="15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5"/>
    </row>
    <row r="7" spans="1:12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j3h7I2kZjlHJ31nc71gfyE1rAWpzMubnLdDFepI8CZtpmUc/06y/lViCQ7kSXGA5z4Q8k2hqYAM9ChMcS1Tqjg==" saltValue="h/tG9DmyBjNCMgzjxeKXi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280</v>
      </c>
      <c r="B1" s="2">
        <v>45618</v>
      </c>
      <c r="C1" s="2">
        <v>45625</v>
      </c>
      <c r="D1" s="2">
        <v>45632</v>
      </c>
      <c r="E1" s="2">
        <v>45639</v>
      </c>
      <c r="F1" s="2">
        <v>45646</v>
      </c>
      <c r="G1" s="2">
        <v>45653</v>
      </c>
      <c r="H1" s="2">
        <v>45660</v>
      </c>
      <c r="I1" s="2">
        <v>45667</v>
      </c>
      <c r="J1" s="2">
        <v>45674</v>
      </c>
    </row>
    <row r="2" spans="1:11">
      <c r="A2" s="3" t="s">
        <v>17</v>
      </c>
      <c r="B2" s="4">
        <v>30063948704.580002</v>
      </c>
      <c r="C2" s="4">
        <v>29963223384.749996</v>
      </c>
      <c r="D2" s="4">
        <v>30290917801.960003</v>
      </c>
      <c r="E2" s="4">
        <v>30219679979.860001</v>
      </c>
      <c r="F2" s="4">
        <v>30560198280.420002</v>
      </c>
      <c r="G2" s="4">
        <v>31203064609.43</v>
      </c>
      <c r="H2" s="4">
        <v>32261498393.230003</v>
      </c>
      <c r="I2" s="4">
        <v>33411621797.110004</v>
      </c>
      <c r="J2" s="4">
        <v>33055654590.010002</v>
      </c>
    </row>
    <row r="3" spans="1:11">
      <c r="A3" s="3" t="s">
        <v>54</v>
      </c>
      <c r="B3" s="4">
        <v>1568511463413.2886</v>
      </c>
      <c r="C3" s="4">
        <v>1581147259519.7791</v>
      </c>
      <c r="D3" s="4">
        <v>1605147165407.8784</v>
      </c>
      <c r="E3" s="4">
        <v>1617261517557.7881</v>
      </c>
      <c r="F3" s="4">
        <v>1651994114175.4978</v>
      </c>
      <c r="G3" s="4">
        <v>1680789898381.158</v>
      </c>
      <c r="H3" s="4">
        <v>1731331455377.9688</v>
      </c>
      <c r="I3" s="4">
        <v>1796163520217.4673</v>
      </c>
      <c r="J3" s="4">
        <v>1833494333831.687</v>
      </c>
    </row>
    <row r="4" spans="1:11">
      <c r="A4" s="3" t="s">
        <v>281</v>
      </c>
      <c r="B4" s="5">
        <v>211308718018.9035</v>
      </c>
      <c r="C4" s="5">
        <v>211817086273.75339</v>
      </c>
      <c r="D4" s="5">
        <v>200489400850.13455</v>
      </c>
      <c r="E4" s="5">
        <v>199225882213.46936</v>
      </c>
      <c r="F4" s="5">
        <v>198371804922.96381</v>
      </c>
      <c r="G4" s="5">
        <v>196299640514.55566</v>
      </c>
      <c r="H4" s="5">
        <v>196558953968.70349</v>
      </c>
      <c r="I4" s="5">
        <v>198624219481.39801</v>
      </c>
      <c r="J4" s="5">
        <v>199572944900.79062</v>
      </c>
    </row>
    <row r="5" spans="1:11">
      <c r="A5" s="3" t="s">
        <v>158</v>
      </c>
      <c r="B5" s="4">
        <v>1806794587019.7612</v>
      </c>
      <c r="C5" s="4">
        <v>1817826880103.7505</v>
      </c>
      <c r="D5" s="4">
        <v>1721227403889.6946</v>
      </c>
      <c r="E5" s="4">
        <v>1693020111552.7451</v>
      </c>
      <c r="F5" s="4">
        <v>1699042162793.3723</v>
      </c>
      <c r="G5" s="4">
        <v>1708643961742.885</v>
      </c>
      <c r="H5" s="4">
        <v>1710039312371.6768</v>
      </c>
      <c r="I5" s="4">
        <v>1721273790884.4595</v>
      </c>
      <c r="J5" s="4">
        <v>1738459762464.4448</v>
      </c>
    </row>
    <row r="6" spans="1:11">
      <c r="A6" s="3" t="s">
        <v>282</v>
      </c>
      <c r="B6" s="6">
        <v>99712365888.853806</v>
      </c>
      <c r="C6" s="6">
        <v>99287613486.429764</v>
      </c>
      <c r="D6" s="6">
        <v>99753756571.315765</v>
      </c>
      <c r="E6" s="6">
        <v>99992536244.061172</v>
      </c>
      <c r="F6" s="6">
        <v>100248262192.26375</v>
      </c>
      <c r="G6" s="6">
        <v>99946034003.712875</v>
      </c>
      <c r="H6" s="6">
        <v>100165676341.88785</v>
      </c>
      <c r="I6" s="6">
        <v>100814525942.29248</v>
      </c>
      <c r="J6" s="6">
        <v>100848197035.93321</v>
      </c>
    </row>
    <row r="7" spans="1:11">
      <c r="A7" s="3" t="s">
        <v>196</v>
      </c>
      <c r="B7" s="7">
        <v>53247703123.154457</v>
      </c>
      <c r="C7" s="7">
        <v>53277880968.774506</v>
      </c>
      <c r="D7" s="7">
        <v>53833340267.497757</v>
      </c>
      <c r="E7" s="7">
        <v>53880440218.66169</v>
      </c>
      <c r="F7" s="7">
        <v>54152150309.321541</v>
      </c>
      <c r="G7" s="7">
        <v>54717751907.536263</v>
      </c>
      <c r="H7" s="7">
        <v>54655185610.452072</v>
      </c>
      <c r="I7" s="7">
        <v>55198098021.346275</v>
      </c>
      <c r="J7" s="7">
        <v>54483397031.599197</v>
      </c>
    </row>
    <row r="8" spans="1:11">
      <c r="A8" s="3" t="s">
        <v>227</v>
      </c>
      <c r="B8" s="6">
        <v>5652206919.4699993</v>
      </c>
      <c r="C8" s="6">
        <v>5645387282.9300003</v>
      </c>
      <c r="D8" s="6">
        <v>5746085220.3999996</v>
      </c>
      <c r="E8" s="6">
        <v>5750433945.7299995</v>
      </c>
      <c r="F8" s="6">
        <v>5821851798.3900003</v>
      </c>
      <c r="G8" s="6">
        <v>5883795695.79</v>
      </c>
      <c r="H8" s="6">
        <v>5956758809.29</v>
      </c>
      <c r="I8" s="6">
        <v>6053117697.3000002</v>
      </c>
      <c r="J8" s="6">
        <v>6021515311.3500004</v>
      </c>
    </row>
    <row r="9" spans="1:11">
      <c r="A9" s="3" t="s">
        <v>283</v>
      </c>
      <c r="B9" s="6">
        <v>51456186883.054207</v>
      </c>
      <c r="C9" s="6">
        <v>51417030730.333893</v>
      </c>
      <c r="D9" s="6">
        <v>51477005540.102272</v>
      </c>
      <c r="E9" s="6">
        <v>51913891484.736198</v>
      </c>
      <c r="F9" s="6">
        <v>51937137539.237915</v>
      </c>
      <c r="G9" s="6">
        <v>52347055008.3237</v>
      </c>
      <c r="H9" s="6">
        <v>52524540980.356323</v>
      </c>
      <c r="I9" s="6">
        <v>52575931037.907692</v>
      </c>
      <c r="J9" s="6">
        <v>53769824668.250122</v>
      </c>
    </row>
    <row r="10" spans="1:11" ht="15.6">
      <c r="A10" s="8" t="s">
        <v>287</v>
      </c>
      <c r="B10" s="9">
        <f t="shared" ref="B10:J10" si="0">SUM(B2:B9)</f>
        <v>3826747179971.0659</v>
      </c>
      <c r="C10" s="9">
        <f t="shared" si="0"/>
        <v>3850382361750.5015</v>
      </c>
      <c r="D10" s="9">
        <f t="shared" si="0"/>
        <v>3767965075548.9829</v>
      </c>
      <c r="E10" s="9">
        <f t="shared" si="0"/>
        <v>3751264493197.0518</v>
      </c>
      <c r="F10" s="9">
        <f t="shared" si="0"/>
        <v>3792127682011.4673</v>
      </c>
      <c r="G10" s="9">
        <f t="shared" si="0"/>
        <v>3829831201863.3911</v>
      </c>
      <c r="H10" s="9">
        <f t="shared" si="0"/>
        <v>3883493381853.5654</v>
      </c>
      <c r="I10" s="9">
        <f t="shared" si="0"/>
        <v>3964114825079.2808</v>
      </c>
      <c r="J10" s="9">
        <f t="shared" si="0"/>
        <v>4019705629834.0649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288</v>
      </c>
      <c r="B12" s="127" t="s">
        <v>289</v>
      </c>
      <c r="C12" s="13">
        <f>(B10+C10)/2</f>
        <v>3838564770860.7837</v>
      </c>
      <c r="D12" s="14">
        <f t="shared" ref="D12:J12" si="1">(C10+D10)/2</f>
        <v>3809173718649.7422</v>
      </c>
      <c r="E12" s="14">
        <f t="shared" si="1"/>
        <v>3759614784373.0176</v>
      </c>
      <c r="F12" s="14">
        <f t="shared" si="1"/>
        <v>3771696087604.2598</v>
      </c>
      <c r="G12" s="14">
        <f t="shared" si="1"/>
        <v>3810979441937.4292</v>
      </c>
      <c r="H12" s="14">
        <f t="shared" si="1"/>
        <v>3856662291858.4785</v>
      </c>
      <c r="I12" s="14">
        <f t="shared" si="1"/>
        <v>3923804103466.4229</v>
      </c>
      <c r="J12" s="14">
        <f t="shared" si="1"/>
        <v>3991910227456.6729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45618</v>
      </c>
      <c r="C15" s="2">
        <v>45625</v>
      </c>
      <c r="D15" s="2">
        <v>45632</v>
      </c>
      <c r="E15" s="2">
        <v>45639</v>
      </c>
      <c r="F15" s="2">
        <v>45646</v>
      </c>
      <c r="G15" s="2">
        <v>45653</v>
      </c>
      <c r="H15" s="2">
        <v>45660</v>
      </c>
      <c r="I15" s="2">
        <v>45667</v>
      </c>
      <c r="J15" s="2">
        <v>45674</v>
      </c>
      <c r="K15" s="15"/>
    </row>
    <row r="16" spans="1:11">
      <c r="A16" s="16" t="s">
        <v>290</v>
      </c>
      <c r="B16" s="17">
        <v>12922326068.600094</v>
      </c>
      <c r="C16" s="17">
        <v>12578926303.585625</v>
      </c>
      <c r="D16" s="17">
        <v>12480727319.636602</v>
      </c>
      <c r="E16" s="17">
        <v>12494363671.946114</v>
      </c>
      <c r="F16" s="17">
        <v>12568890044.927004</v>
      </c>
      <c r="G16" s="17">
        <v>12767135898.969397</v>
      </c>
      <c r="H16" s="17">
        <v>12486443329.167654</v>
      </c>
      <c r="I16" s="17">
        <v>13126291240.540001</v>
      </c>
      <c r="J16" s="17">
        <v>12926648581.233683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8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ZSyJJaJE5xqqaNS7AK7aIewlZGf0SO+49JGWGHKRPx1mUHHXJu2v9mGAxwQb6mDw71ETGZBL6P8XizaRJJhJOw==" saltValue="sg4BgkfaYHGYdImHogG4wg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2025-01-24T17:10:25Z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