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4B3E8E8A-2A23-412A-BB98-6E433A6F40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r:id="rId5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I3" i="5"/>
  <c r="H3" i="5"/>
  <c r="G3" i="5"/>
  <c r="F3" i="5"/>
  <c r="E3" i="5"/>
  <c r="D3" i="5"/>
  <c r="C3" i="5"/>
  <c r="B3" i="5"/>
  <c r="J16" i="4"/>
  <c r="I16" i="4"/>
  <c r="H16" i="4"/>
  <c r="G16" i="4"/>
  <c r="F16" i="4"/>
  <c r="E16" i="4"/>
  <c r="D16" i="4"/>
  <c r="C16" i="4"/>
  <c r="N114" i="1" l="1"/>
  <c r="M114" i="1"/>
  <c r="K114" i="1"/>
  <c r="N119" i="1"/>
  <c r="M119" i="1"/>
  <c r="N103" i="1"/>
  <c r="M103" i="1"/>
  <c r="K103" i="1"/>
  <c r="N104" i="1"/>
  <c r="M104" i="1"/>
  <c r="K104" i="1"/>
  <c r="N113" i="1" l="1"/>
  <c r="M113" i="1"/>
  <c r="N97" i="1"/>
  <c r="M97" i="1"/>
  <c r="K97" i="1"/>
  <c r="N98" i="1"/>
  <c r="M98" i="1"/>
  <c r="K98" i="1"/>
  <c r="N116" i="1"/>
  <c r="M116" i="1"/>
  <c r="N105" i="1"/>
  <c r="M105" i="1"/>
  <c r="K105" i="1"/>
  <c r="N95" i="1" l="1"/>
  <c r="M95" i="1"/>
  <c r="N110" i="1" l="1"/>
  <c r="M110" i="1"/>
  <c r="K110" i="1"/>
  <c r="N96" i="1"/>
  <c r="M96" i="1"/>
  <c r="K96" i="1"/>
  <c r="N102" i="1"/>
  <c r="M102" i="1"/>
  <c r="K102" i="1"/>
  <c r="N115" i="1"/>
  <c r="M115" i="1"/>
  <c r="G119" i="1"/>
  <c r="F119" i="1"/>
  <c r="G116" i="1"/>
  <c r="F116" i="1"/>
  <c r="G115" i="1"/>
  <c r="F115" i="1"/>
  <c r="G114" i="1"/>
  <c r="F114" i="1"/>
  <c r="G113" i="1"/>
  <c r="F113" i="1"/>
  <c r="G110" i="1"/>
  <c r="F110" i="1"/>
  <c r="D114" i="1"/>
  <c r="D110" i="1"/>
  <c r="G105" i="1"/>
  <c r="F105" i="1"/>
  <c r="G104" i="1"/>
  <c r="F104" i="1"/>
  <c r="G103" i="1"/>
  <c r="F103" i="1"/>
  <c r="G102" i="1"/>
  <c r="F102" i="1"/>
  <c r="G98" i="1"/>
  <c r="F98" i="1"/>
  <c r="G97" i="1"/>
  <c r="F97" i="1"/>
  <c r="G96" i="1"/>
  <c r="F96" i="1"/>
  <c r="G95" i="1"/>
  <c r="F95" i="1"/>
  <c r="D105" i="1"/>
  <c r="D104" i="1"/>
  <c r="D103" i="1"/>
  <c r="D102" i="1"/>
  <c r="D98" i="1"/>
  <c r="D97" i="1"/>
  <c r="D96" i="1"/>
  <c r="R114" i="1"/>
  <c r="S114" i="1"/>
  <c r="T114" i="1"/>
  <c r="U114" i="1"/>
  <c r="V114" i="1"/>
  <c r="R76" i="1"/>
  <c r="S76" i="1"/>
  <c r="T76" i="1"/>
  <c r="U76" i="1"/>
  <c r="V76" i="1"/>
  <c r="V187" i="1" l="1"/>
  <c r="T150" i="1"/>
  <c r="S150" i="1"/>
  <c r="R117" i="1" l="1"/>
  <c r="V146" i="1" l="1"/>
  <c r="T138" i="1" l="1"/>
  <c r="R132" i="1"/>
  <c r="S132" i="1"/>
  <c r="T132" i="1"/>
  <c r="U132" i="1"/>
  <c r="V132" i="1"/>
  <c r="R152" i="1"/>
  <c r="S152" i="1"/>
  <c r="T152" i="1"/>
  <c r="U152" i="1"/>
  <c r="V152" i="1"/>
  <c r="R113" i="1" l="1"/>
  <c r="S113" i="1"/>
  <c r="S174" i="1" l="1"/>
  <c r="V113" i="1"/>
  <c r="U113" i="1"/>
  <c r="T113" i="1"/>
  <c r="R193" i="1" l="1"/>
  <c r="R194" i="1"/>
  <c r="R65" i="1" l="1"/>
  <c r="V73" i="1" l="1"/>
  <c r="U73" i="1"/>
  <c r="T73" i="1"/>
  <c r="S73" i="1"/>
  <c r="R73" i="1"/>
  <c r="V79" i="1" l="1"/>
  <c r="U79" i="1"/>
  <c r="T79" i="1"/>
  <c r="S79" i="1"/>
  <c r="R79" i="1"/>
  <c r="I10" i="4" l="1"/>
  <c r="H10" i="4"/>
  <c r="G10" i="4"/>
  <c r="F10" i="4"/>
  <c r="E10" i="4"/>
  <c r="D10" i="4"/>
  <c r="C10" i="4"/>
  <c r="B10" i="4"/>
  <c r="V175" i="1" l="1"/>
  <c r="U175" i="1"/>
  <c r="T175" i="1"/>
  <c r="S175" i="1"/>
  <c r="R175" i="1"/>
  <c r="T32" i="1" l="1"/>
  <c r="S21" i="1" l="1"/>
  <c r="T21" i="1"/>
  <c r="V97" i="1" l="1"/>
  <c r="R97" i="1"/>
  <c r="S97" i="1"/>
  <c r="T97" i="1"/>
  <c r="U97" i="1"/>
  <c r="R12" i="1" l="1"/>
  <c r="R48" i="1" l="1"/>
  <c r="V48" i="1"/>
  <c r="U48" i="1"/>
  <c r="T48" i="1"/>
  <c r="S48" i="1"/>
  <c r="V98" i="1" l="1"/>
  <c r="U98" i="1"/>
  <c r="T98" i="1"/>
  <c r="S98" i="1"/>
  <c r="R98" i="1"/>
  <c r="V124" i="1" l="1"/>
  <c r="U124" i="1"/>
  <c r="T124" i="1"/>
  <c r="S124" i="1"/>
  <c r="R124" i="1"/>
  <c r="R70" i="1" l="1"/>
  <c r="V180" i="1" l="1"/>
  <c r="U180" i="1"/>
  <c r="T180" i="1"/>
  <c r="S180" i="1"/>
  <c r="R180" i="1"/>
  <c r="S168" i="1" l="1"/>
  <c r="D163" i="1" l="1"/>
  <c r="D120" i="1"/>
  <c r="E110" i="1" l="1"/>
  <c r="E114" i="1"/>
  <c r="E98" i="1"/>
  <c r="E113" i="1"/>
  <c r="R89" i="1"/>
  <c r="S89" i="1"/>
  <c r="T89" i="1"/>
  <c r="U89" i="1"/>
  <c r="V89" i="1"/>
  <c r="D203" i="1"/>
  <c r="D182" i="1"/>
  <c r="D128" i="1"/>
  <c r="E124" i="1" s="1"/>
  <c r="D55" i="1"/>
  <c r="E172" i="1" l="1"/>
  <c r="E173" i="1"/>
  <c r="E174" i="1"/>
  <c r="E175" i="1"/>
  <c r="E176" i="1"/>
  <c r="E177" i="1"/>
  <c r="E178" i="1"/>
  <c r="E179" i="1"/>
  <c r="E180" i="1"/>
  <c r="E181" i="1"/>
  <c r="R161" i="1"/>
  <c r="R81" i="1" l="1"/>
  <c r="S81" i="1"/>
  <c r="T81" i="1"/>
  <c r="V81" i="1"/>
  <c r="U81" i="1"/>
  <c r="D22" i="1" l="1"/>
  <c r="R111" i="1" l="1"/>
  <c r="R19" i="1" l="1"/>
  <c r="R192" i="1" l="1"/>
  <c r="S192" i="1"/>
  <c r="T192" i="1"/>
  <c r="U192" i="1"/>
  <c r="V192" i="1"/>
  <c r="S193" i="1"/>
  <c r="T193" i="1"/>
  <c r="U193" i="1"/>
  <c r="V193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S203" i="1"/>
  <c r="U203" i="1"/>
  <c r="V203" i="1"/>
  <c r="V191" i="1"/>
  <c r="U191" i="1"/>
  <c r="T191" i="1"/>
  <c r="S191" i="1"/>
  <c r="R191" i="1"/>
  <c r="U187" i="1"/>
  <c r="T187" i="1"/>
  <c r="S187" i="1"/>
  <c r="R187" i="1"/>
  <c r="V186" i="1"/>
  <c r="U186" i="1"/>
  <c r="T186" i="1"/>
  <c r="S186" i="1"/>
  <c r="R186" i="1"/>
  <c r="R172" i="1"/>
  <c r="S172" i="1"/>
  <c r="T172" i="1"/>
  <c r="U172" i="1"/>
  <c r="V172" i="1"/>
  <c r="R173" i="1"/>
  <c r="S173" i="1"/>
  <c r="T173" i="1"/>
  <c r="U173" i="1"/>
  <c r="V173" i="1"/>
  <c r="R174" i="1"/>
  <c r="T174" i="1"/>
  <c r="U174" i="1"/>
  <c r="V174" i="1"/>
  <c r="R176" i="1"/>
  <c r="S176" i="1"/>
  <c r="T176" i="1"/>
  <c r="U176" i="1"/>
  <c r="V176" i="1"/>
  <c r="R177" i="1"/>
  <c r="S177" i="1"/>
  <c r="T177" i="1"/>
  <c r="U177" i="1"/>
  <c r="V177" i="1"/>
  <c r="R178" i="1"/>
  <c r="S178" i="1"/>
  <c r="T178" i="1"/>
  <c r="U178" i="1"/>
  <c r="V178" i="1"/>
  <c r="R179" i="1"/>
  <c r="S179" i="1"/>
  <c r="T179" i="1"/>
  <c r="U179" i="1"/>
  <c r="V179" i="1"/>
  <c r="R181" i="1"/>
  <c r="S181" i="1"/>
  <c r="T181" i="1"/>
  <c r="U181" i="1"/>
  <c r="V181" i="1"/>
  <c r="S182" i="1"/>
  <c r="U182" i="1"/>
  <c r="V182" i="1"/>
  <c r="V171" i="1"/>
  <c r="U171" i="1"/>
  <c r="T171" i="1"/>
  <c r="S171" i="1"/>
  <c r="R171" i="1"/>
  <c r="V168" i="1"/>
  <c r="U168" i="1"/>
  <c r="T168" i="1"/>
  <c r="R168" i="1"/>
  <c r="V167" i="1"/>
  <c r="U167" i="1"/>
  <c r="T167" i="1"/>
  <c r="S167" i="1"/>
  <c r="R167" i="1"/>
  <c r="S161" i="1"/>
  <c r="T161" i="1"/>
  <c r="U161" i="1"/>
  <c r="V161" i="1"/>
  <c r="R162" i="1"/>
  <c r="S162" i="1"/>
  <c r="T162" i="1"/>
  <c r="U162" i="1"/>
  <c r="V162" i="1"/>
  <c r="S163" i="1"/>
  <c r="U163" i="1"/>
  <c r="V163" i="1"/>
  <c r="V160" i="1"/>
  <c r="U160" i="1"/>
  <c r="T160" i="1"/>
  <c r="S160" i="1"/>
  <c r="R160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U150" i="1"/>
  <c r="V150" i="1"/>
  <c r="R151" i="1"/>
  <c r="S151" i="1"/>
  <c r="T151" i="1"/>
  <c r="U151" i="1"/>
  <c r="V151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31" i="1"/>
  <c r="U131" i="1"/>
  <c r="T131" i="1"/>
  <c r="S131" i="1"/>
  <c r="R131" i="1"/>
  <c r="R125" i="1"/>
  <c r="S125" i="1"/>
  <c r="T125" i="1"/>
  <c r="U125" i="1"/>
  <c r="V125" i="1"/>
  <c r="R126" i="1"/>
  <c r="S126" i="1"/>
  <c r="T126" i="1"/>
  <c r="U126" i="1"/>
  <c r="V126" i="1"/>
  <c r="R127" i="1"/>
  <c r="S127" i="1"/>
  <c r="T127" i="1"/>
  <c r="U127" i="1"/>
  <c r="V127" i="1"/>
  <c r="S128" i="1"/>
  <c r="U128" i="1"/>
  <c r="V128" i="1"/>
  <c r="V123" i="1"/>
  <c r="U123" i="1"/>
  <c r="T123" i="1"/>
  <c r="S123" i="1"/>
  <c r="R123" i="1"/>
  <c r="R110" i="1"/>
  <c r="S110" i="1"/>
  <c r="T110" i="1"/>
  <c r="U110" i="1"/>
  <c r="V110" i="1"/>
  <c r="S111" i="1"/>
  <c r="T111" i="1"/>
  <c r="U111" i="1"/>
  <c r="V111" i="1"/>
  <c r="R112" i="1"/>
  <c r="S112" i="1"/>
  <c r="T112" i="1"/>
  <c r="U112" i="1"/>
  <c r="V112" i="1"/>
  <c r="R115" i="1"/>
  <c r="S115" i="1"/>
  <c r="T115" i="1"/>
  <c r="U115" i="1"/>
  <c r="V115" i="1"/>
  <c r="R116" i="1"/>
  <c r="S116" i="1"/>
  <c r="T116" i="1"/>
  <c r="U116" i="1"/>
  <c r="V116" i="1"/>
  <c r="S117" i="1"/>
  <c r="T117" i="1"/>
  <c r="U117" i="1"/>
  <c r="V117" i="1"/>
  <c r="R118" i="1"/>
  <c r="S118" i="1"/>
  <c r="T118" i="1"/>
  <c r="U118" i="1"/>
  <c r="V118" i="1"/>
  <c r="R119" i="1"/>
  <c r="S119" i="1"/>
  <c r="T119" i="1"/>
  <c r="U119" i="1"/>
  <c r="V119" i="1"/>
  <c r="S120" i="1"/>
  <c r="U120" i="1"/>
  <c r="V120" i="1"/>
  <c r="V109" i="1"/>
  <c r="U109" i="1"/>
  <c r="T109" i="1"/>
  <c r="S109" i="1"/>
  <c r="R109" i="1"/>
  <c r="R96" i="1"/>
  <c r="S96" i="1"/>
  <c r="T96" i="1"/>
  <c r="U96" i="1"/>
  <c r="V96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V95" i="1"/>
  <c r="U95" i="1"/>
  <c r="T95" i="1"/>
  <c r="S95" i="1"/>
  <c r="R95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90" i="1"/>
  <c r="S90" i="1"/>
  <c r="T90" i="1"/>
  <c r="U90" i="1"/>
  <c r="V90" i="1"/>
  <c r="S91" i="1"/>
  <c r="U91" i="1"/>
  <c r="V91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5" i="1"/>
  <c r="O182" i="1" l="1"/>
  <c r="O203" i="1"/>
  <c r="K203" i="1"/>
  <c r="H203" i="1"/>
  <c r="K188" i="1"/>
  <c r="H188" i="1"/>
  <c r="D188" i="1"/>
  <c r="H182" i="1"/>
  <c r="K182" i="1"/>
  <c r="L178" i="1" s="1"/>
  <c r="H163" i="1"/>
  <c r="O163" i="1"/>
  <c r="K163" i="1"/>
  <c r="O157" i="1"/>
  <c r="K157" i="1"/>
  <c r="H157" i="1"/>
  <c r="D157" i="1"/>
  <c r="O128" i="1"/>
  <c r="K128" i="1"/>
  <c r="L124" i="1" s="1"/>
  <c r="H128" i="1"/>
  <c r="T128" i="1" s="1"/>
  <c r="H120" i="1"/>
  <c r="O120" i="1"/>
  <c r="K120" i="1"/>
  <c r="O91" i="1"/>
  <c r="K91" i="1"/>
  <c r="L76" i="1" s="1"/>
  <c r="H91" i="1"/>
  <c r="D91" i="1"/>
  <c r="O55" i="1"/>
  <c r="K55" i="1"/>
  <c r="H55" i="1"/>
  <c r="O22" i="1"/>
  <c r="H22" i="1"/>
  <c r="L113" i="1" l="1"/>
  <c r="L114" i="1"/>
  <c r="E73" i="1"/>
  <c r="E76" i="1"/>
  <c r="E151" i="1"/>
  <c r="E152" i="1"/>
  <c r="L83" i="1"/>
  <c r="L90" i="1"/>
  <c r="L73" i="1"/>
  <c r="L132" i="1"/>
  <c r="L152" i="1"/>
  <c r="E132" i="1"/>
  <c r="L172" i="1"/>
  <c r="L173" i="1"/>
  <c r="L174" i="1"/>
  <c r="L175" i="1"/>
  <c r="L176" i="1"/>
  <c r="L177" i="1"/>
  <c r="L179" i="1"/>
  <c r="L180" i="1"/>
  <c r="L181" i="1"/>
  <c r="L98" i="1"/>
  <c r="L111" i="1"/>
  <c r="L171" i="1"/>
  <c r="E79" i="1"/>
  <c r="L79" i="1"/>
  <c r="L52" i="1"/>
  <c r="L35" i="1"/>
  <c r="L201" i="1"/>
  <c r="L202" i="1"/>
  <c r="E48" i="1"/>
  <c r="L47" i="1"/>
  <c r="L49" i="1"/>
  <c r="L48" i="1"/>
  <c r="L50" i="1"/>
  <c r="L95" i="1"/>
  <c r="L109" i="1"/>
  <c r="L147" i="1"/>
  <c r="L153" i="1"/>
  <c r="L84" i="1"/>
  <c r="L61" i="1"/>
  <c r="L151" i="1"/>
  <c r="L97" i="1"/>
  <c r="L25" i="1"/>
  <c r="L38" i="1"/>
  <c r="T182" i="1"/>
  <c r="L88" i="1"/>
  <c r="L89" i="1"/>
  <c r="E81" i="1"/>
  <c r="E89" i="1"/>
  <c r="T203" i="1"/>
  <c r="L81" i="1"/>
  <c r="T55" i="1"/>
  <c r="T163" i="1"/>
  <c r="R163" i="1"/>
  <c r="T91" i="1"/>
  <c r="T157" i="1"/>
  <c r="T22" i="1"/>
  <c r="R128" i="1"/>
  <c r="R203" i="1"/>
  <c r="T120" i="1"/>
  <c r="O183" i="1"/>
  <c r="O204" i="1" s="1"/>
  <c r="R157" i="1"/>
  <c r="L146" i="1"/>
  <c r="R120" i="1"/>
  <c r="R91" i="1"/>
  <c r="L60" i="1"/>
  <c r="L62" i="1"/>
  <c r="L64" i="1"/>
  <c r="L66" i="1"/>
  <c r="L68" i="1"/>
  <c r="L70" i="1"/>
  <c r="L72" i="1"/>
  <c r="L75" i="1"/>
  <c r="L78" i="1"/>
  <c r="L82" i="1"/>
  <c r="L86" i="1"/>
  <c r="L59" i="1"/>
  <c r="L63" i="1"/>
  <c r="L65" i="1"/>
  <c r="L67" i="1"/>
  <c r="L69" i="1"/>
  <c r="L71" i="1"/>
  <c r="L74" i="1"/>
  <c r="L77" i="1"/>
  <c r="L80" i="1"/>
  <c r="L85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2" i="1"/>
  <c r="H183" i="1"/>
  <c r="H204" i="1" s="1"/>
  <c r="J10" i="4"/>
  <c r="J12" i="4" s="1"/>
  <c r="I12" i="4"/>
  <c r="H12" i="4"/>
  <c r="G12" i="4"/>
  <c r="F12" i="4"/>
  <c r="E12" i="4"/>
  <c r="C12" i="4"/>
  <c r="E199" i="1"/>
  <c r="L200" i="1"/>
  <c r="L199" i="1"/>
  <c r="L197" i="1"/>
  <c r="L196" i="1"/>
  <c r="L195" i="1"/>
  <c r="L193" i="1"/>
  <c r="L192" i="1"/>
  <c r="L191" i="1"/>
  <c r="V188" i="1"/>
  <c r="U188" i="1"/>
  <c r="L186" i="1"/>
  <c r="E186" i="1"/>
  <c r="L168" i="1"/>
  <c r="L160" i="1"/>
  <c r="E162" i="1"/>
  <c r="E156" i="1"/>
  <c r="E153" i="1"/>
  <c r="L145" i="1"/>
  <c r="L143" i="1"/>
  <c r="L140" i="1"/>
  <c r="L137" i="1"/>
  <c r="L135" i="1"/>
  <c r="L131" i="1"/>
  <c r="L126" i="1"/>
  <c r="E127" i="1"/>
  <c r="L127" i="1"/>
  <c r="E88" i="1"/>
  <c r="E87" i="1"/>
  <c r="E85" i="1"/>
  <c r="E83" i="1"/>
  <c r="E80" i="1"/>
  <c r="E77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3" i="1"/>
  <c r="L133" i="1"/>
  <c r="L136" i="1"/>
  <c r="L139" i="1"/>
  <c r="L141" i="1"/>
  <c r="L144" i="1"/>
  <c r="L148" i="1"/>
  <c r="E18" i="1"/>
  <c r="L58" i="1"/>
  <c r="E62" i="1"/>
  <c r="E123" i="1"/>
  <c r="E131" i="1"/>
  <c r="E133" i="1"/>
  <c r="E134" i="1"/>
  <c r="E139" i="1"/>
  <c r="E140" i="1"/>
  <c r="E141" i="1"/>
  <c r="E142" i="1"/>
  <c r="E147" i="1"/>
  <c r="E150" i="1"/>
  <c r="E155" i="1"/>
  <c r="E11" i="1"/>
  <c r="E13" i="1"/>
  <c r="E16" i="1"/>
  <c r="E20" i="1"/>
  <c r="L29" i="1"/>
  <c r="L37" i="1"/>
  <c r="L43" i="1"/>
  <c r="K183" i="1"/>
  <c r="L125" i="1"/>
  <c r="E135" i="1"/>
  <c r="E136" i="1"/>
  <c r="E137" i="1"/>
  <c r="E138" i="1"/>
  <c r="E143" i="1"/>
  <c r="E144" i="1"/>
  <c r="E145" i="1"/>
  <c r="E146" i="1"/>
  <c r="E148" i="1"/>
  <c r="E149" i="1"/>
  <c r="E154" i="1"/>
  <c r="L167" i="1"/>
  <c r="L102" i="1"/>
  <c r="L101" i="1"/>
  <c r="L33" i="1"/>
  <c r="L44" i="1"/>
  <c r="L53" i="1"/>
  <c r="E126" i="1"/>
  <c r="L150" i="1"/>
  <c r="L155" i="1"/>
  <c r="L162" i="1"/>
  <c r="E194" i="1"/>
  <c r="E198" i="1"/>
  <c r="E202" i="1"/>
  <c r="D12" i="4"/>
  <c r="E96" i="1"/>
  <c r="L36" i="1"/>
  <c r="L39" i="1"/>
  <c r="L30" i="1"/>
  <c r="L41" i="1"/>
  <c r="L134" i="1"/>
  <c r="L138" i="1"/>
  <c r="L142" i="1"/>
  <c r="E161" i="1"/>
  <c r="E171" i="1"/>
  <c r="E187" i="1"/>
  <c r="L194" i="1"/>
  <c r="L198" i="1"/>
  <c r="L28" i="1"/>
  <c r="E7" i="1"/>
  <c r="E17" i="1"/>
  <c r="E21" i="1"/>
  <c r="L27" i="1"/>
  <c r="L46" i="1"/>
  <c r="E58" i="1"/>
  <c r="E66" i="1"/>
  <c r="E70" i="1"/>
  <c r="E75" i="1"/>
  <c r="E82" i="1"/>
  <c r="E86" i="1"/>
  <c r="E90" i="1"/>
  <c r="E125" i="1"/>
  <c r="L149" i="1"/>
  <c r="L154" i="1"/>
  <c r="L161" i="1"/>
  <c r="L187" i="1"/>
  <c r="R188" i="1"/>
  <c r="E193" i="1"/>
  <c r="E197" i="1"/>
  <c r="E201" i="1"/>
  <c r="E160" i="1"/>
  <c r="E168" i="1"/>
  <c r="E192" i="1"/>
  <c r="E196" i="1"/>
  <c r="E200" i="1"/>
  <c r="L45" i="1"/>
  <c r="L54" i="1"/>
  <c r="L26" i="1"/>
  <c r="L34" i="1"/>
  <c r="E167" i="1"/>
  <c r="E12" i="1"/>
  <c r="E15" i="1"/>
  <c r="L31" i="1"/>
  <c r="L42" i="1"/>
  <c r="E60" i="1"/>
  <c r="E64" i="1"/>
  <c r="E68" i="1"/>
  <c r="E72" i="1"/>
  <c r="E78" i="1"/>
  <c r="E84" i="1"/>
  <c r="L156" i="1"/>
  <c r="E191" i="1"/>
  <c r="E195" i="1"/>
  <c r="L112" i="1" l="1"/>
  <c r="L96" i="1"/>
  <c r="L99" i="1"/>
  <c r="L105" i="1"/>
  <c r="L116" i="1"/>
  <c r="L100" i="1"/>
  <c r="K204" i="1"/>
  <c r="L22" i="1"/>
  <c r="L157" i="1"/>
  <c r="L55" i="1"/>
  <c r="L128" i="1"/>
  <c r="L91" i="1"/>
  <c r="L120" i="1"/>
  <c r="L182" i="1"/>
  <c r="L163" i="1"/>
  <c r="L104" i="1"/>
  <c r="L103" i="1"/>
  <c r="L119" i="1"/>
  <c r="L115" i="1"/>
  <c r="L117" i="1"/>
  <c r="L106" i="1"/>
  <c r="L118" i="1"/>
  <c r="L110" i="1"/>
  <c r="E118" i="1"/>
  <c r="E115" i="1"/>
  <c r="E106" i="1"/>
  <c r="E103" i="1"/>
  <c r="E100" i="1"/>
  <c r="E105" i="1"/>
  <c r="E101" i="1"/>
  <c r="E111" i="1"/>
  <c r="E102" i="1"/>
  <c r="D183" i="1"/>
  <c r="E119" i="1"/>
  <c r="E95" i="1"/>
  <c r="E104" i="1"/>
  <c r="E99" i="1"/>
  <c r="E117" i="1"/>
  <c r="E116" i="1"/>
  <c r="E112" i="1"/>
  <c r="E109" i="1"/>
  <c r="E120" i="1" l="1"/>
  <c r="R183" i="1"/>
  <c r="E55" i="1"/>
  <c r="E157" i="1"/>
  <c r="D204" i="1"/>
  <c r="E91" i="1"/>
  <c r="E22" i="1"/>
  <c r="E182" i="1"/>
  <c r="E128" i="1"/>
  <c r="E163" i="1"/>
</calcChain>
</file>

<file path=xl/sharedStrings.xml><?xml version="1.0" encoding="utf-8"?>
<sst xmlns="http://schemas.openxmlformats.org/spreadsheetml/2006/main" count="418" uniqueCount="268">
  <si>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</si>
  <si>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</si>
  <si>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</si>
  <si>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</si>
  <si>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</si>
  <si>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</si>
  <si>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</si>
  <si>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</si>
  <si>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</si>
  <si>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</si>
  <si>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</si>
  <si>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</si>
  <si>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</si>
  <si>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</si>
  <si>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</si>
  <si>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</si>
  <si>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</si>
  <si>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</si>
  <si>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</si>
  <si>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</si>
  <si>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</si>
  <si>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</si>
  <si>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</si>
  <si>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</si>
  <si>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</si>
  <si>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</si>
  <si>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</si>
  <si>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</si>
  <si>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</si>
  <si>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</si>
  <si>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</si>
  <si>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</si>
  <si>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</si>
  <si>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</si>
  <si>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</si>
  <si>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</si>
  <si>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</si>
  <si>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</si>
  <si>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</si>
  <si>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</si>
  <si>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</si>
  <si>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</si>
  <si>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</si>
  <si>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</si>
  <si>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</si>
  <si>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</si>
  <si>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</si>
  <si>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</si>
  <si>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</si>
  <si>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</si>
  <si>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</si>
  <si>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</si>
  <si>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</si>
  <si>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</si>
  <si>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</si>
  <si>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</si>
  <si>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</si>
  <si>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</si>
  <si>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</si>
  <si>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</si>
  <si>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</si>
  <si>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</si>
  <si>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</si>
  <si>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</si>
  <si>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</si>
  <si>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</si>
  <si>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</si>
  <si>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</si>
  <si>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</si>
  <si>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</si>
  <si>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</si>
  <si>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</si>
  <si>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</si>
  <si>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</si>
  <si>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</si>
  <si>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</si>
  <si>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</si>
  <si>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</si>
  <si>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</si>
  <si>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</si>
  <si>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</si>
  <si>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</si>
  <si>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</si>
  <si>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</si>
  <si>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</si>
  <si>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</si>
  <si>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</si>
  <si>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</si>
  <si>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</si>
  <si>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</si>
  <si>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</si>
  <si>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</si>
  <si>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</si>
  <si>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</si>
  <si>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</si>
  <si>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</si>
  <si>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</si>
  <si>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</si>
  <si>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</si>
  <si>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</si>
  <si>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</si>
  <si>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</si>
  <si>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</si>
  <si>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</si>
  <si>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</si>
  <si>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</si>
  <si>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</si>
  <si>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</si>
  <si>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</si>
  <si>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</si>
  <si>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</si>
  <si>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</si>
  <si>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</si>
  <si>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</si>
  <si>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</si>
  <si>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</si>
  <si>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</si>
  <si>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</si>
  <si>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</si>
  <si>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</si>
  <si>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</si>
  <si>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</si>
  <si>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</si>
  <si>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</si>
  <si>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</si>
  <si>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</si>
  <si>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</si>
  <si>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</si>
  <si>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</si>
  <si>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</si>
  <si>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</si>
  <si>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</si>
  <si>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</si>
  <si>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</si>
  <si>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</si>
  <si>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</si>
  <si>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</si>
  <si>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</si>
  <si>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</si>
  <si>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</si>
  <si>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</si>
  <si>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</si>
  <si>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</si>
  <si>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</si>
  <si>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</si>
  <si>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</si>
  <si>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</si>
  <si>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</si>
  <si>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</si>
  <si>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</si>
  <si>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</si>
  <si>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</si>
  <si>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</si>
  <si>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</si>
  <si>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</si>
  <si>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</si>
  <si>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</si>
  <si>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</si>
  <si>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</si>
  <si>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</si>
  <si>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</si>
  <si>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</si>
  <si>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</si>
  <si>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</si>
  <si>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</si>
  <si>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</si>
  <si>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</si>
  <si>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</si>
  <si>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</si>
  <si>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</si>
  <si>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</si>
  <si>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</si>
  <si>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</si>
  <si>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</si>
  <si>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</si>
  <si>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</si>
  <si>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</si>
  <si>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</si>
  <si>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</si>
  <si>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</si>
  <si>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</si>
  <si>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</si>
  <si>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</si>
  <si>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</si>
  <si>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</si>
  <si>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</si>
  <si>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</si>
  <si>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</si>
  <si>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</si>
  <si>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</si>
  <si>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</si>
  <si>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</si>
  <si>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</si>
  <si>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</si>
  <si>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</si>
  <si>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</si>
  <si>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</si>
  <si>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</si>
  <si>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</si>
  <si>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</si>
  <si>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</si>
  <si>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</si>
  <si>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</si>
  <si>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</si>
  <si>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</si>
  <si>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</si>
  <si>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</si>
  <si>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</si>
  <si>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</si>
  <si>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</si>
  <si>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</si>
  <si>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</si>
  <si>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</si>
  <si>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</si>
  <si>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</si>
  <si>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</si>
  <si>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</si>
  <si>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</si>
  <si>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</si>
  <si>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</si>
  <si>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</si>
  <si>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</si>
  <si>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</si>
  <si>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</si>
  <si>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</si>
  <si>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</si>
  <si>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</si>
  <si>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</si>
  <si>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</si>
  <si>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</si>
  <si>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</si>
  <si>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</si>
  <si>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</si>
  <si>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</si>
  <si>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</si>
  <si>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</si>
  <si>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</si>
  <si>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</si>
  <si>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</si>
  <si>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</si>
  <si>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</si>
  <si>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</si>
  <si>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</si>
  <si>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</si>
  <si>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</si>
  <si>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</si>
  <si>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</si>
  <si>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</si>
  <si>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</si>
  <si>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</si>
  <si>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</si>
  <si>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</si>
  <si>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</si>
  <si>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</si>
  <si>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</si>
  <si>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</si>
  <si>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</si>
  <si>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</si>
  <si>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NAV, Unit Price and Yield as at Week Ended February 16, 2024</t>
  </si>
  <si>
    <t>Meristem Fixed Income Fund</t>
  </si>
  <si>
    <t>Meristem Dollar Fund</t>
  </si>
  <si>
    <t>Week Ended February 16, 2024</t>
  </si>
  <si>
    <t>WEEKLY VALUATION REPORT OF COLLECTIVE INVESTMENT SCHEMES AS AT WEEK ENDED FRIDAY, FEBRUARY 23, 2024</t>
  </si>
  <si>
    <t>NAV, Unit Price and Yield as at Week Ended February 23,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</si>
  <si>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23rd February, 2024 = </t>
    </r>
    <r>
      <rPr>
        <strike/>
        <sz val="6"/>
        <color theme="0"/>
        <rFont val="Times New Roman"/>
        <family val="1"/>
      </rPr>
      <t>N1,506</t>
    </r>
    <r>
      <rPr>
        <sz val="6"/>
        <color theme="0"/>
        <rFont val="Times New Roman"/>
        <family val="1"/>
      </rPr>
      <t>.852</t>
    </r>
  </si>
  <si>
    <t>16.51% </t>
  </si>
  <si>
    <t>Week Ended February 23, 2024</t>
  </si>
  <si>
    <t>The chart above shows that the Dollar Fund category (Eurobonds and Fixed Income) has the highest share of the Aggregate Net Asset Value (NAV) at 48.06%, followed by Money Market Fund with 33.69%, Bond/Fixed Income Fund at 10.00%, Real Estate Investment Trust at 3.54%.  Next is Balanced Fund at 1.77%, Shari'ah Compliant Fund at 1.76%, Equity Fund at 1.00%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</si>
</sst>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rgb="FFFF0000"/>
      <name val="Arial Narrow"/>
      <family val="2"/>
    </font>
    <font>
      <sz val="6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8" fillId="17" borderId="14" applyNumberFormat="0" applyAlignment="0" applyProtection="0"/>
    <xf numFmtId="0" fontId="39" fillId="18" borderId="15" applyNumberFormat="0" applyAlignment="0" applyProtection="0"/>
    <xf numFmtId="0" fontId="40" fillId="18" borderId="14" applyNumberFormat="0" applyAlignment="0" applyProtection="0"/>
    <xf numFmtId="0" fontId="41" fillId="0" borderId="16" applyNumberFormat="0" applyFill="0" applyAlignment="0" applyProtection="0"/>
    <xf numFmtId="0" fontId="42" fillId="19" borderId="17" applyNumberFormat="0" applyAlignment="0" applyProtection="0"/>
    <xf numFmtId="0" fontId="43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61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0" fontId="30" fillId="0" borderId="5" xfId="0" applyFont="1" applyBorder="1" applyAlignment="1">
      <alignment horizontal="right"/>
    </xf>
    <xf numFmtId="16" fontId="31" fillId="3" borderId="5" xfId="0" applyNumberFormat="1" applyFont="1" applyFill="1" applyBorder="1" applyAlignment="1">
      <alignment wrapText="1"/>
    </xf>
    <xf numFmtId="0" fontId="31" fillId="0" borderId="5" xfId="0" applyFont="1" applyBorder="1" applyAlignment="1">
      <alignment horizontal="right" wrapText="1"/>
    </xf>
    <xf numFmtId="4" fontId="32" fillId="3" borderId="5" xfId="0" applyNumberFormat="1" applyFont="1" applyFill="1" applyBorder="1"/>
    <xf numFmtId="0" fontId="31" fillId="0" borderId="5" xfId="0" applyFont="1" applyBorder="1" applyAlignment="1">
      <alignment horizontal="right"/>
    </xf>
    <xf numFmtId="4" fontId="32" fillId="3" borderId="5" xfId="0" applyNumberFormat="1" applyFont="1" applyFill="1" applyBorder="1" applyAlignment="1">
      <alignment horizontal="right"/>
    </xf>
    <xf numFmtId="164" fontId="32" fillId="3" borderId="5" xfId="1" applyFont="1" applyFill="1" applyBorder="1" applyAlignment="1">
      <alignment horizontal="right" vertical="top" wrapText="1"/>
    </xf>
    <xf numFmtId="16" fontId="31" fillId="3" borderId="5" xfId="0" applyNumberFormat="1" applyFont="1" applyFill="1" applyBorder="1"/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64" fontId="32" fillId="3" borderId="0" xfId="1" applyFont="1" applyFill="1" applyBorder="1" applyAlignment="1">
      <alignment horizontal="right" vertical="top" wrapText="1"/>
    </xf>
    <xf numFmtId="4" fontId="32" fillId="3" borderId="0" xfId="0" applyNumberFormat="1" applyFont="1" applyFill="1"/>
    <xf numFmtId="4" fontId="0" fillId="0" borderId="0" xfId="0" applyNumberFormat="1"/>
    <xf numFmtId="0" fontId="48" fillId="0" borderId="0" xfId="0" applyFont="1" applyAlignment="1">
      <alignment horizontal="right"/>
    </xf>
    <xf numFmtId="166" fontId="0" fillId="0" borderId="0" xfId="0" applyNumberFormat="1"/>
    <xf numFmtId="4" fontId="49" fillId="0" borderId="0" xfId="0" applyNumberFormat="1" applyFont="1"/>
    <xf numFmtId="0" fontId="42" fillId="0" borderId="0" xfId="0" applyFont="1"/>
    <xf numFmtId="16" fontId="50" fillId="3" borderId="0" xfId="0" applyNumberFormat="1" applyFont="1" applyFill="1"/>
    <xf numFmtId="164" fontId="51" fillId="0" borderId="0" xfId="1" applyFont="1"/>
    <xf numFmtId="4" fontId="32" fillId="3" borderId="10" xfId="0" applyNumberFormat="1" applyFont="1" applyFill="1" applyBorder="1" applyAlignment="1">
      <alignment horizontal="right"/>
    </xf>
    <xf numFmtId="4" fontId="32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16" fontId="31" fillId="3" borderId="0" xfId="0" applyNumberFormat="1" applyFont="1" applyFill="1"/>
    <xf numFmtId="164" fontId="18" fillId="0" borderId="0" xfId="1" applyFont="1"/>
    <xf numFmtId="0" fontId="52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" fontId="6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164" fontId="53" fillId="0" borderId="0" xfId="1" applyFont="1"/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57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February 16,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29.579029239597098</c:v>
                </c:pt>
                <c:pt idx="1">
                  <c:v>966.68515744369699</c:v>
                </c:pt>
                <c:pt idx="2">
                  <c:v>283.53629825791899</c:v>
                </c:pt>
                <c:pt idx="3">
                  <c:v>1318.49492212272</c:v>
                </c:pt>
                <c:pt idx="4">
                  <c:v>99.704526748859408</c:v>
                </c:pt>
                <c:pt idx="5" formatCode="_-* #,##0.00_-;\-* #,##0.00_-;_-* &quot;-&quot;??_-;_-@_-">
                  <c:v>50.622521144020894</c:v>
                </c:pt>
                <c:pt idx="6">
                  <c:v>5.3821853148400001</c:v>
                </c:pt>
                <c:pt idx="7">
                  <c:v>50.009391470574201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February 23,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28.1923215617546</c:v>
                </c:pt>
                <c:pt idx="1">
                  <c:v>949.382861578855</c:v>
                </c:pt>
                <c:pt idx="2">
                  <c:v>281.78056618014597</c:v>
                </c:pt>
                <c:pt idx="3">
                  <c:v>1354.2992159068799</c:v>
                </c:pt>
                <c:pt idx="4">
                  <c:v>99.722351454056707</c:v>
                </c:pt>
                <c:pt idx="5" formatCode="_-* #,##0.00_-;\-* #,##0.00_-;_-* &quot;-&quot;??_-;_-@_-">
                  <c:v>49.9432895696497</c:v>
                </c:pt>
                <c:pt idx="6">
                  <c:v>5.2573854849700004</c:v>
                </c:pt>
                <c:pt idx="7">
                  <c:v>49.520617624730797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23RD FEBRUARY,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23-Feb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5257385484.9699993</c:v>
                </c:pt>
                <c:pt idx="1">
                  <c:v>28192321561.754601</c:v>
                </c:pt>
                <c:pt idx="2">
                  <c:v>49520617624.730827</c:v>
                </c:pt>
                <c:pt idx="3" formatCode="_-* #,##0.00_-;\-* #,##0.00_-;_-* &quot;-&quot;??_-;_-@_-">
                  <c:v>49943289569.649658</c:v>
                </c:pt>
                <c:pt idx="4">
                  <c:v>99722351454.056747</c:v>
                </c:pt>
                <c:pt idx="5">
                  <c:v>281780566180.14624</c:v>
                </c:pt>
                <c:pt idx="6">
                  <c:v>949382861578.85535</c:v>
                </c:pt>
                <c:pt idx="7">
                  <c:v>1354299215906.8804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45296</c:v>
                </c:pt>
                <c:pt idx="1">
                  <c:v>45303</c:v>
                </c:pt>
                <c:pt idx="2">
                  <c:v>45310</c:v>
                </c:pt>
                <c:pt idx="3">
                  <c:v>45317</c:v>
                </c:pt>
                <c:pt idx="4">
                  <c:v>45324</c:v>
                </c:pt>
                <c:pt idx="5">
                  <c:v>45331</c:v>
                </c:pt>
                <c:pt idx="6">
                  <c:v>45338</c:v>
                </c:pt>
                <c:pt idx="7">
                  <c:v>45345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2137.5250442199799</c:v>
                </c:pt>
                <c:pt idx="1">
                  <c:v>2218.2047771558</c:v>
                </c:pt>
                <c:pt idx="2">
                  <c:v>2215.4714039116297</c:v>
                </c:pt>
                <c:pt idx="3">
                  <c:v>2278.1721966806804</c:v>
                </c:pt>
                <c:pt idx="4">
                  <c:v>2700.5588140210298</c:v>
                </c:pt>
                <c:pt idx="5">
                  <c:v>2722.5323614454901</c:v>
                </c:pt>
                <c:pt idx="6">
                  <c:v>2804.0140317422201</c:v>
                </c:pt>
                <c:pt idx="7">
                  <c:v>2818.09860936104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396240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8"/>
  <sheetViews>
    <sheetView tabSelected="1" zoomScaleNormal="100" workbookViewId="0">
      <pane ySplit="3" topLeftCell="A4" activePane="bottomLeft" state="frozen"/>
      <selection activeCell="P12" sqref="P12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8" t="s">
        <v>262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1"/>
    </row>
    <row r="2" spans="1:25" ht="15" customHeight="1">
      <c r="A2" s="1"/>
      <c r="B2" s="1"/>
      <c r="C2" s="1"/>
      <c r="D2" s="155" t="s">
        <v>258</v>
      </c>
      <c r="E2" s="156"/>
      <c r="F2" s="156"/>
      <c r="G2" s="156"/>
      <c r="H2" s="156"/>
      <c r="I2" s="156"/>
      <c r="J2" s="157"/>
      <c r="K2" s="155" t="s">
        <v>263</v>
      </c>
      <c r="L2" s="156"/>
      <c r="M2" s="156"/>
      <c r="N2" s="156"/>
      <c r="O2" s="156"/>
      <c r="P2" s="156"/>
      <c r="Q2" s="157"/>
      <c r="R2" s="155" t="s">
        <v>0</v>
      </c>
      <c r="S2" s="156"/>
      <c r="T2" s="157"/>
      <c r="U2" s="152" t="s">
        <v>1</v>
      </c>
      <c r="V2" s="152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5" ht="15" customHeight="1">
      <c r="A5" s="154" t="s">
        <v>15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5">
      <c r="A6" s="75">
        <v>1</v>
      </c>
      <c r="B6" s="141" t="s">
        <v>16</v>
      </c>
      <c r="C6" s="142" t="s">
        <v>17</v>
      </c>
      <c r="D6" s="2">
        <v>1343398054.8900001</v>
      </c>
      <c r="E6" s="3">
        <f t="shared" ref="E6:E21" si="0">(D6/$D$22)</f>
        <v>4.5417246252679885E-2</v>
      </c>
      <c r="F6" s="8">
        <v>357.98849999999999</v>
      </c>
      <c r="G6" s="8">
        <v>357.25549999999998</v>
      </c>
      <c r="H6" s="60">
        <v>1731</v>
      </c>
      <c r="I6" s="5">
        <v>8.3999999999999995E-3</v>
      </c>
      <c r="J6" s="5">
        <v>0.15529999999999999</v>
      </c>
      <c r="K6" s="2">
        <v>1257197223.5899999</v>
      </c>
      <c r="L6" s="3">
        <f>(K6/$K$22)</f>
        <v>4.4593604000867391E-2</v>
      </c>
      <c r="M6" s="8">
        <v>350.26389999999998</v>
      </c>
      <c r="N6" s="8">
        <v>350.26389999999998</v>
      </c>
      <c r="O6" s="60">
        <v>1731</v>
      </c>
      <c r="P6" s="5">
        <v>2.1600000000000001E-2</v>
      </c>
      <c r="Q6" s="5">
        <v>0.1303</v>
      </c>
      <c r="R6" s="80">
        <f>((K6-D6)/D6)</f>
        <v>-6.4166261806191519E-2</v>
      </c>
      <c r="S6" s="80">
        <f>((N6-G6)/G6)</f>
        <v>-1.9570307525006631E-2</v>
      </c>
      <c r="T6" s="80">
        <f>((O6-H6)/H6)</f>
        <v>0</v>
      </c>
      <c r="U6" s="81">
        <f>P6-I6</f>
        <v>1.3200000000000002E-2</v>
      </c>
      <c r="V6" s="83">
        <f>Q6-J6</f>
        <v>-2.4999999999999994E-2</v>
      </c>
    </row>
    <row r="7" spans="1:25">
      <c r="A7" s="75">
        <v>2</v>
      </c>
      <c r="B7" s="141" t="s">
        <v>18</v>
      </c>
      <c r="C7" s="142" t="s">
        <v>19</v>
      </c>
      <c r="D7" s="4">
        <v>648020765.15999997</v>
      </c>
      <c r="E7" s="3">
        <f t="shared" si="0"/>
        <v>2.1908114695410701E-2</v>
      </c>
      <c r="F7" s="4">
        <v>236.70660000000001</v>
      </c>
      <c r="G7" s="4">
        <v>239.2328</v>
      </c>
      <c r="H7" s="60">
        <v>385</v>
      </c>
      <c r="I7" s="5">
        <v>-1.333E-3</v>
      </c>
      <c r="J7" s="5">
        <v>0.22359999999999999</v>
      </c>
      <c r="K7" s="4">
        <v>620666292.78999996</v>
      </c>
      <c r="L7" s="3">
        <f t="shared" ref="L7:L21" si="1">(K7/$K$22)</f>
        <v>2.2015437481104398E-2</v>
      </c>
      <c r="M7" s="4">
        <v>227.3092</v>
      </c>
      <c r="N7" s="4">
        <v>229.77950000000001</v>
      </c>
      <c r="O7" s="60">
        <v>385</v>
      </c>
      <c r="P7" s="5">
        <v>8.9599999999999999E-4</v>
      </c>
      <c r="Q7" s="5">
        <v>0.17499999999999999</v>
      </c>
      <c r="R7" s="80">
        <f t="shared" ref="R7:R22" si="2">((K7-D7)/D7)</f>
        <v>-4.2212339234601583E-2</v>
      </c>
      <c r="S7" s="80">
        <f t="shared" ref="S7:S22" si="3">((N7-G7)/G7)</f>
        <v>-3.951506649589849E-2</v>
      </c>
      <c r="T7" s="80">
        <f t="shared" ref="T7:T22" si="4">((O7-H7)/H7)</f>
        <v>0</v>
      </c>
      <c r="U7" s="81">
        <f t="shared" ref="U7:U22" si="5">P7-I7</f>
        <v>2.2290000000000001E-3</v>
      </c>
      <c r="V7" s="83">
        <f t="shared" ref="V7:V22" si="6">Q7-J7</f>
        <v>-4.8600000000000004E-2</v>
      </c>
    </row>
    <row r="8" spans="1:25">
      <c r="A8" s="75">
        <v>3</v>
      </c>
      <c r="B8" s="141" t="s">
        <v>20</v>
      </c>
      <c r="C8" s="142" t="s">
        <v>21</v>
      </c>
      <c r="D8" s="4">
        <v>4278943001.5999999</v>
      </c>
      <c r="E8" s="3">
        <f t="shared" si="0"/>
        <v>0.14466137366914764</v>
      </c>
      <c r="F8" s="4">
        <v>39.195599999999999</v>
      </c>
      <c r="G8" s="4">
        <v>40.377400000000002</v>
      </c>
      <c r="H8" s="62">
        <v>6376</v>
      </c>
      <c r="I8" s="6">
        <v>0.56320000000000003</v>
      </c>
      <c r="J8" s="6">
        <v>2.2040000000000002</v>
      </c>
      <c r="K8" s="4">
        <v>4085480564.6500001</v>
      </c>
      <c r="L8" s="3">
        <f t="shared" si="1"/>
        <v>0.14491465542136547</v>
      </c>
      <c r="M8" s="4">
        <v>37.511400000000002</v>
      </c>
      <c r="N8" s="4">
        <v>38.642400000000002</v>
      </c>
      <c r="O8" s="62">
        <v>6377</v>
      </c>
      <c r="P8" s="6">
        <v>-2.2467000000000001</v>
      </c>
      <c r="Q8" s="6">
        <v>1.5447</v>
      </c>
      <c r="R8" s="80">
        <f t="shared" si="2"/>
        <v>-4.5212669782621444E-2</v>
      </c>
      <c r="S8" s="80">
        <f t="shared" si="3"/>
        <v>-4.2969581993887652E-2</v>
      </c>
      <c r="T8" s="80">
        <f t="shared" si="4"/>
        <v>1.5683814303638644E-4</v>
      </c>
      <c r="U8" s="81">
        <f t="shared" si="5"/>
        <v>-2.8099000000000003</v>
      </c>
      <c r="V8" s="83">
        <f t="shared" si="6"/>
        <v>-0.65930000000000022</v>
      </c>
      <c r="X8" s="102"/>
      <c r="Y8" s="102"/>
    </row>
    <row r="9" spans="1:25">
      <c r="A9" s="75">
        <v>4</v>
      </c>
      <c r="B9" s="141" t="s">
        <v>22</v>
      </c>
      <c r="C9" s="142" t="s">
        <v>23</v>
      </c>
      <c r="D9" s="4">
        <v>835968473.05999994</v>
      </c>
      <c r="E9" s="3">
        <f t="shared" si="0"/>
        <v>2.8262201111755852E-2</v>
      </c>
      <c r="F9" s="4">
        <v>246.81</v>
      </c>
      <c r="G9" s="4">
        <v>246.81</v>
      </c>
      <c r="H9" s="60">
        <v>1776</v>
      </c>
      <c r="I9" s="5">
        <v>7.9000000000000008E-3</v>
      </c>
      <c r="J9" s="5">
        <v>0.2114</v>
      </c>
      <c r="K9" s="4">
        <v>774285281.07000005</v>
      </c>
      <c r="L9" s="3">
        <f t="shared" si="1"/>
        <v>2.7464403006823925E-2</v>
      </c>
      <c r="M9" s="4">
        <v>240.53</v>
      </c>
      <c r="N9" s="4">
        <v>240.53</v>
      </c>
      <c r="O9" s="60">
        <v>1774</v>
      </c>
      <c r="P9" s="5">
        <v>-2.5499999999999998E-2</v>
      </c>
      <c r="Q9" s="5">
        <v>0.18049999999999999</v>
      </c>
      <c r="R9" s="80">
        <f t="shared" si="2"/>
        <v>-7.378650508698395E-2</v>
      </c>
      <c r="S9" s="80">
        <f t="shared" si="3"/>
        <v>-2.5444674040760104E-2</v>
      </c>
      <c r="T9" s="80">
        <f t="shared" si="4"/>
        <v>-1.1261261261261261E-3</v>
      </c>
      <c r="U9" s="81">
        <f t="shared" si="5"/>
        <v>-3.3399999999999999E-2</v>
      </c>
      <c r="V9" s="83">
        <f t="shared" si="6"/>
        <v>-3.0900000000000011E-2</v>
      </c>
    </row>
    <row r="10" spans="1:25">
      <c r="A10" s="75">
        <v>5</v>
      </c>
      <c r="B10" s="141" t="s">
        <v>24</v>
      </c>
      <c r="C10" s="142" t="s">
        <v>25</v>
      </c>
      <c r="D10" s="7">
        <v>101283941.48</v>
      </c>
      <c r="E10" s="3">
        <f t="shared" si="0"/>
        <v>3.4241807146399646E-3</v>
      </c>
      <c r="F10" s="4">
        <v>159.6147</v>
      </c>
      <c r="G10" s="4">
        <v>160.14230000000001</v>
      </c>
      <c r="H10" s="62">
        <v>85</v>
      </c>
      <c r="I10" s="6">
        <v>-1.547E-3</v>
      </c>
      <c r="J10" s="6">
        <v>0.35920000000000002</v>
      </c>
      <c r="K10" s="7">
        <v>98455352.439999998</v>
      </c>
      <c r="L10" s="3">
        <f t="shared" si="1"/>
        <v>3.4922754489847855E-3</v>
      </c>
      <c r="M10" s="4">
        <v>155.90209999999999</v>
      </c>
      <c r="N10" s="4">
        <v>156.40020000000001</v>
      </c>
      <c r="O10" s="62">
        <v>86</v>
      </c>
      <c r="P10" s="6">
        <v>-2.3609999999999999E-2</v>
      </c>
      <c r="Q10" s="6">
        <v>0.3412</v>
      </c>
      <c r="R10" s="80">
        <f t="shared" si="2"/>
        <v>-2.7927319954847461E-2</v>
      </c>
      <c r="S10" s="80">
        <f t="shared" si="3"/>
        <v>-2.3367342669613173E-2</v>
      </c>
      <c r="T10" s="80">
        <f t="shared" si="4"/>
        <v>1.1764705882352941E-2</v>
      </c>
      <c r="U10" s="81">
        <f t="shared" si="5"/>
        <v>-2.2062999999999999E-2</v>
      </c>
      <c r="V10" s="83">
        <f t="shared" si="6"/>
        <v>-1.8000000000000016E-2</v>
      </c>
    </row>
    <row r="11" spans="1:25">
      <c r="A11" s="75">
        <v>6</v>
      </c>
      <c r="B11" s="141" t="s">
        <v>26</v>
      </c>
      <c r="C11" s="142" t="s">
        <v>27</v>
      </c>
      <c r="D11" s="4">
        <v>1132638610.8499999</v>
      </c>
      <c r="E11" s="3">
        <f t="shared" si="0"/>
        <v>3.8291946692210907E-2</v>
      </c>
      <c r="F11" s="4">
        <v>276.79000000000002</v>
      </c>
      <c r="G11" s="4">
        <v>280.77</v>
      </c>
      <c r="H11" s="62">
        <v>1615</v>
      </c>
      <c r="I11" s="6">
        <v>-2.0899999999999998E-2</v>
      </c>
      <c r="J11" s="6">
        <v>0.113</v>
      </c>
      <c r="K11" s="4">
        <v>1117190540.04</v>
      </c>
      <c r="L11" s="3">
        <f t="shared" si="1"/>
        <v>3.9627475786015741E-2</v>
      </c>
      <c r="M11" s="4">
        <v>264.54000000000002</v>
      </c>
      <c r="N11" s="4">
        <v>268.14999999999998</v>
      </c>
      <c r="O11" s="62">
        <v>1618</v>
      </c>
      <c r="P11" s="6">
        <v>-4.4600000000000001E-2</v>
      </c>
      <c r="Q11" s="6">
        <v>6.3799999999999996E-2</v>
      </c>
      <c r="R11" s="80">
        <f t="shared" si="2"/>
        <v>-1.3639011298058067E-2</v>
      </c>
      <c r="S11" s="80">
        <f t="shared" si="3"/>
        <v>-4.4947822060761498E-2</v>
      </c>
      <c r="T11" s="80">
        <f t="shared" si="4"/>
        <v>1.8575851393188853E-3</v>
      </c>
      <c r="U11" s="81">
        <f t="shared" si="5"/>
        <v>-2.3700000000000002E-2</v>
      </c>
      <c r="V11" s="83">
        <f t="shared" si="6"/>
        <v>-4.9200000000000008E-2</v>
      </c>
    </row>
    <row r="12" spans="1:25">
      <c r="A12" s="75">
        <v>7</v>
      </c>
      <c r="B12" s="141" t="s">
        <v>28</v>
      </c>
      <c r="C12" s="142" t="s">
        <v>29</v>
      </c>
      <c r="D12" s="2">
        <v>325124691.62</v>
      </c>
      <c r="E12" s="3">
        <f t="shared" si="0"/>
        <v>1.0991729613112502E-2</v>
      </c>
      <c r="F12" s="4">
        <v>163.54</v>
      </c>
      <c r="G12" s="4">
        <v>166.32</v>
      </c>
      <c r="H12" s="60">
        <v>2379</v>
      </c>
      <c r="I12" s="5">
        <v>-1.0699999999999999E-2</v>
      </c>
      <c r="J12" s="5">
        <v>-2.5329999999999998E-2</v>
      </c>
      <c r="K12" s="2">
        <v>320379940.85000002</v>
      </c>
      <c r="L12" s="3">
        <f t="shared" si="1"/>
        <v>1.1364085080691758E-2</v>
      </c>
      <c r="M12" s="4">
        <v>161.15</v>
      </c>
      <c r="N12" s="4">
        <v>163.83000000000001</v>
      </c>
      <c r="O12" s="60">
        <v>2379</v>
      </c>
      <c r="P12" s="5">
        <v>-1.4614E-2</v>
      </c>
      <c r="Q12" s="5">
        <v>-3.9570000000000001E-2</v>
      </c>
      <c r="R12" s="80">
        <f t="shared" si="2"/>
        <v>-1.4593634049626603E-2</v>
      </c>
      <c r="S12" s="80">
        <f t="shared" si="3"/>
        <v>-1.4971139971139856E-2</v>
      </c>
      <c r="T12" s="80">
        <f t="shared" si="4"/>
        <v>0</v>
      </c>
      <c r="U12" s="81">
        <f t="shared" si="5"/>
        <v>-3.9140000000000008E-3</v>
      </c>
      <c r="V12" s="83">
        <f t="shared" si="6"/>
        <v>-1.4240000000000003E-2</v>
      </c>
    </row>
    <row r="13" spans="1:25">
      <c r="A13" s="75">
        <v>8</v>
      </c>
      <c r="B13" s="141" t="s">
        <v>30</v>
      </c>
      <c r="C13" s="142" t="s">
        <v>31</v>
      </c>
      <c r="D13" s="7">
        <v>54902428.350000001</v>
      </c>
      <c r="E13" s="3">
        <f t="shared" si="0"/>
        <v>1.8561267817573527E-3</v>
      </c>
      <c r="F13" s="4">
        <v>198.48</v>
      </c>
      <c r="G13" s="4">
        <v>205.5</v>
      </c>
      <c r="H13" s="60">
        <v>7</v>
      </c>
      <c r="I13" s="5">
        <v>-1.4E-3</v>
      </c>
      <c r="J13" s="5">
        <v>0.104</v>
      </c>
      <c r="K13" s="7">
        <v>51533087.700000003</v>
      </c>
      <c r="L13" s="3">
        <f t="shared" si="1"/>
        <v>1.8279121705929047E-3</v>
      </c>
      <c r="M13" s="4">
        <v>198.48</v>
      </c>
      <c r="N13" s="4">
        <v>205.5</v>
      </c>
      <c r="O13" s="60">
        <v>7</v>
      </c>
      <c r="P13" s="5">
        <v>-6.1400000000000003E-2</v>
      </c>
      <c r="Q13" s="5">
        <v>-6.2600000000000003E-2</v>
      </c>
      <c r="R13" s="80">
        <f t="shared" si="2"/>
        <v>-6.1369610621239461E-2</v>
      </c>
      <c r="S13" s="80">
        <f t="shared" si="3"/>
        <v>0</v>
      </c>
      <c r="T13" s="80">
        <f t="shared" si="4"/>
        <v>0</v>
      </c>
      <c r="U13" s="81">
        <f t="shared" si="5"/>
        <v>-6.0000000000000005E-2</v>
      </c>
      <c r="V13" s="83">
        <f t="shared" si="6"/>
        <v>-0.1666</v>
      </c>
    </row>
    <row r="14" spans="1:25" ht="14.25" customHeight="1">
      <c r="A14" s="75">
        <v>9</v>
      </c>
      <c r="B14" s="141" t="s">
        <v>238</v>
      </c>
      <c r="C14" s="142" t="s">
        <v>32</v>
      </c>
      <c r="D14" s="2">
        <v>511114405.89709997</v>
      </c>
      <c r="E14" s="3">
        <f t="shared" si="0"/>
        <v>1.7279620698737373E-2</v>
      </c>
      <c r="F14" s="4">
        <v>1.6521999999999999</v>
      </c>
      <c r="G14" s="4">
        <v>1.7063999999999999</v>
      </c>
      <c r="H14" s="60">
        <v>431</v>
      </c>
      <c r="I14" s="5">
        <v>-2.7316613681855784E-2</v>
      </c>
      <c r="J14" s="5">
        <v>-2.5078184929486214E-2</v>
      </c>
      <c r="K14" s="2">
        <v>501373546.4346</v>
      </c>
      <c r="L14" s="3">
        <f t="shared" si="1"/>
        <v>1.7784046104055436E-2</v>
      </c>
      <c r="M14" s="4">
        <v>1.6162000000000001</v>
      </c>
      <c r="N14" s="4">
        <v>1.6688000000000001</v>
      </c>
      <c r="O14" s="60">
        <v>436</v>
      </c>
      <c r="P14" s="5">
        <v>-2.1789129645321315E-2</v>
      </c>
      <c r="Q14" s="5">
        <v>-4.6320882752109549E-2</v>
      </c>
      <c r="R14" s="80">
        <f t="shared" si="2"/>
        <v>-1.905808044170262E-2</v>
      </c>
      <c r="S14" s="80">
        <f t="shared" si="3"/>
        <v>-2.2034692920768786E-2</v>
      </c>
      <c r="T14" s="80">
        <f t="shared" si="4"/>
        <v>1.1600928074245939E-2</v>
      </c>
      <c r="U14" s="81">
        <f t="shared" si="5"/>
        <v>5.5274840365344691E-3</v>
      </c>
      <c r="V14" s="83">
        <f t="shared" si="6"/>
        <v>-2.1242697822623335E-2</v>
      </c>
    </row>
    <row r="15" spans="1:25">
      <c r="A15" s="75">
        <v>10</v>
      </c>
      <c r="B15" s="141" t="s">
        <v>33</v>
      </c>
      <c r="C15" s="142" t="s">
        <v>34</v>
      </c>
      <c r="D15" s="2">
        <v>1687972587.76</v>
      </c>
      <c r="E15" s="3">
        <f t="shared" si="0"/>
        <v>5.7066530956341559E-2</v>
      </c>
      <c r="F15" s="4">
        <v>3.41</v>
      </c>
      <c r="G15" s="4">
        <v>3.47</v>
      </c>
      <c r="H15" s="60">
        <v>3667</v>
      </c>
      <c r="I15" s="5">
        <v>-2.0899999999999998E-2</v>
      </c>
      <c r="J15" s="5">
        <v>0.22739999999999999</v>
      </c>
      <c r="K15" s="2">
        <v>1617008706.1500001</v>
      </c>
      <c r="L15" s="3">
        <f t="shared" si="1"/>
        <v>5.7356351537349685E-2</v>
      </c>
      <c r="M15" s="4">
        <v>3.26</v>
      </c>
      <c r="N15" s="4">
        <v>3.32</v>
      </c>
      <c r="O15" s="60">
        <v>3668</v>
      </c>
      <c r="P15" s="5">
        <v>-5.0599999999999999E-2</v>
      </c>
      <c r="Q15" s="5">
        <v>0.17580000000000001</v>
      </c>
      <c r="R15" s="80">
        <f t="shared" si="2"/>
        <v>-4.2040896946182939E-2</v>
      </c>
      <c r="S15" s="80">
        <f t="shared" si="3"/>
        <v>-4.3227665706051972E-2</v>
      </c>
      <c r="T15" s="80">
        <f t="shared" si="4"/>
        <v>2.7270248159258248E-4</v>
      </c>
      <c r="U15" s="81">
        <f t="shared" si="5"/>
        <v>-2.9700000000000001E-2</v>
      </c>
      <c r="V15" s="83">
        <f t="shared" si="6"/>
        <v>-5.1599999999999979E-2</v>
      </c>
    </row>
    <row r="16" spans="1:25">
      <c r="A16" s="75">
        <v>11</v>
      </c>
      <c r="B16" s="141" t="s">
        <v>35</v>
      </c>
      <c r="C16" s="142" t="s">
        <v>36</v>
      </c>
      <c r="D16" s="4">
        <v>697964571.44000006</v>
      </c>
      <c r="E16" s="3">
        <f t="shared" si="0"/>
        <v>2.3596601693257838E-2</v>
      </c>
      <c r="F16" s="4">
        <v>20.070896000000001</v>
      </c>
      <c r="G16" s="4">
        <v>20.245322000000002</v>
      </c>
      <c r="H16" s="60">
        <v>321</v>
      </c>
      <c r="I16" s="5">
        <v>5.7254642378337106E-3</v>
      </c>
      <c r="J16" s="5">
        <v>9.3204931697350224E-2</v>
      </c>
      <c r="K16" s="4">
        <v>648021137.63999999</v>
      </c>
      <c r="L16" s="3">
        <f t="shared" si="1"/>
        <v>2.2985731636911325E-2</v>
      </c>
      <c r="M16" s="4">
        <v>19.143170000000001</v>
      </c>
      <c r="N16" s="4">
        <v>19.326777</v>
      </c>
      <c r="O16" s="60">
        <v>326</v>
      </c>
      <c r="P16" s="5">
        <v>-4.6222450656911329E-2</v>
      </c>
      <c r="Q16" s="5">
        <v>4.2674320684077172E-2</v>
      </c>
      <c r="R16" s="80">
        <f t="shared" si="2"/>
        <v>-7.1555829398273998E-2</v>
      </c>
      <c r="S16" s="80">
        <f t="shared" si="3"/>
        <v>-4.5370728111906622E-2</v>
      </c>
      <c r="T16" s="80">
        <f t="shared" si="4"/>
        <v>1.5576323987538941E-2</v>
      </c>
      <c r="U16" s="81">
        <f t="shared" si="5"/>
        <v>-5.194791489474504E-2</v>
      </c>
      <c r="V16" s="83">
        <f t="shared" si="6"/>
        <v>-5.0530611013273052E-2</v>
      </c>
    </row>
    <row r="17" spans="1:22">
      <c r="A17" s="75">
        <v>12</v>
      </c>
      <c r="B17" s="141" t="s">
        <v>37</v>
      </c>
      <c r="C17" s="142" t="s">
        <v>38</v>
      </c>
      <c r="D17" s="4">
        <v>353452051.89999998</v>
      </c>
      <c r="E17" s="3">
        <f t="shared" si="0"/>
        <v>1.1949413519860817E-2</v>
      </c>
      <c r="F17" s="4">
        <v>2.5464720000000001</v>
      </c>
      <c r="G17" s="4">
        <v>2.5775190000000001</v>
      </c>
      <c r="H17" s="60">
        <v>18</v>
      </c>
      <c r="I17" s="5">
        <v>-2.1399999999999999E-2</v>
      </c>
      <c r="J17" s="5">
        <v>0.1802</v>
      </c>
      <c r="K17" s="4">
        <v>340820033.80000001</v>
      </c>
      <c r="L17" s="3">
        <f t="shared" si="1"/>
        <v>1.2089108484856132E-2</v>
      </c>
      <c r="M17" s="4">
        <v>2.455463</v>
      </c>
      <c r="N17" s="4">
        <v>2.4873729999999998</v>
      </c>
      <c r="O17" s="60">
        <v>18</v>
      </c>
      <c r="P17" s="5">
        <v>-3.6700000000000003E-2</v>
      </c>
      <c r="Q17" s="5">
        <v>0.13850000000000001</v>
      </c>
      <c r="R17" s="80">
        <f t="shared" si="2"/>
        <v>-3.5738986468167012E-2</v>
      </c>
      <c r="S17" s="80">
        <f t="shared" si="3"/>
        <v>-3.4973941996159982E-2</v>
      </c>
      <c r="T17" s="80">
        <f t="shared" si="4"/>
        <v>0</v>
      </c>
      <c r="U17" s="81">
        <f t="shared" si="5"/>
        <v>-1.5300000000000005E-2</v>
      </c>
      <c r="V17" s="83">
        <f t="shared" si="6"/>
        <v>-4.1699999999999987E-2</v>
      </c>
    </row>
    <row r="18" spans="1:22">
      <c r="A18" s="75">
        <v>13</v>
      </c>
      <c r="B18" s="141" t="s">
        <v>39</v>
      </c>
      <c r="C18" s="142" t="s">
        <v>40</v>
      </c>
      <c r="D18" s="2">
        <v>1222364234.3399999</v>
      </c>
      <c r="E18" s="3">
        <f t="shared" si="0"/>
        <v>4.1325366848200526E-2</v>
      </c>
      <c r="F18" s="4">
        <v>27.14</v>
      </c>
      <c r="G18" s="4">
        <v>27.76</v>
      </c>
      <c r="H18" s="60">
        <v>8834</v>
      </c>
      <c r="I18" s="5">
        <v>-2.3E-3</v>
      </c>
      <c r="J18" s="5">
        <v>7.9699999999999993E-2</v>
      </c>
      <c r="K18" s="2">
        <v>1176621118.3</v>
      </c>
      <c r="L18" s="3">
        <f t="shared" si="1"/>
        <v>4.1735517088319234E-2</v>
      </c>
      <c r="M18" s="4">
        <v>26.21</v>
      </c>
      <c r="N18" s="4">
        <v>26.81</v>
      </c>
      <c r="O18" s="60">
        <v>8834</v>
      </c>
      <c r="P18" s="5">
        <v>-3.4000000000000002E-2</v>
      </c>
      <c r="Q18" s="5">
        <v>4.2999999999999997E-2</v>
      </c>
      <c r="R18" s="80">
        <f t="shared" si="2"/>
        <v>-3.7421837742739897E-2</v>
      </c>
      <c r="S18" s="80">
        <f t="shared" si="3"/>
        <v>-3.4221902017291167E-2</v>
      </c>
      <c r="T18" s="80">
        <f t="shared" si="4"/>
        <v>0</v>
      </c>
      <c r="U18" s="81">
        <f t="shared" si="5"/>
        <v>-3.1700000000000006E-2</v>
      </c>
      <c r="V18" s="83">
        <f t="shared" si="6"/>
        <v>-3.6699999999999997E-2</v>
      </c>
    </row>
    <row r="19" spans="1:22" ht="12.75" customHeight="1">
      <c r="A19" s="75">
        <v>14</v>
      </c>
      <c r="B19" s="141" t="s">
        <v>41</v>
      </c>
      <c r="C19" s="142" t="s">
        <v>42</v>
      </c>
      <c r="D19" s="2">
        <v>657942717.39999998</v>
      </c>
      <c r="E19" s="3">
        <f t="shared" si="0"/>
        <v>2.2243553433431134E-2</v>
      </c>
      <c r="F19" s="4">
        <v>6010.25</v>
      </c>
      <c r="G19" s="4">
        <v>6082.13</v>
      </c>
      <c r="H19" s="60">
        <v>21</v>
      </c>
      <c r="I19" s="5">
        <v>-2.18E-2</v>
      </c>
      <c r="J19" s="5">
        <v>0.11650000000000001</v>
      </c>
      <c r="K19" s="2">
        <v>579653508.25</v>
      </c>
      <c r="L19" s="3">
        <f t="shared" si="1"/>
        <v>2.0560687312688421E-2</v>
      </c>
      <c r="M19" s="4">
        <v>5751.78</v>
      </c>
      <c r="N19" s="4">
        <v>5824.95</v>
      </c>
      <c r="O19" s="60">
        <v>21</v>
      </c>
      <c r="P19" s="5">
        <v>-4.2299999999999997E-2</v>
      </c>
      <c r="Q19" s="5">
        <v>6.93E-2</v>
      </c>
      <c r="R19" s="80">
        <f t="shared" si="2"/>
        <v>-0.1189909198469076</v>
      </c>
      <c r="S19" s="80">
        <f t="shared" si="3"/>
        <v>-4.2284528610864992E-2</v>
      </c>
      <c r="T19" s="80">
        <f t="shared" si="4"/>
        <v>0</v>
      </c>
      <c r="U19" s="81">
        <f t="shared" si="5"/>
        <v>-2.0499999999999997E-2</v>
      </c>
      <c r="V19" s="83">
        <f t="shared" si="6"/>
        <v>-4.7200000000000006E-2</v>
      </c>
    </row>
    <row r="20" spans="1:22">
      <c r="A20" s="75">
        <v>15</v>
      </c>
      <c r="B20" s="141" t="s">
        <v>43</v>
      </c>
      <c r="C20" s="142" t="s">
        <v>42</v>
      </c>
      <c r="D20" s="4">
        <v>12294298856.049999</v>
      </c>
      <c r="E20" s="3">
        <f t="shared" si="0"/>
        <v>0.41564240518048395</v>
      </c>
      <c r="F20" s="4">
        <v>20301.57</v>
      </c>
      <c r="G20" s="4">
        <v>20536.16</v>
      </c>
      <c r="H20" s="60">
        <v>17363</v>
      </c>
      <c r="I20" s="5">
        <v>-1.5100000000000001E-2</v>
      </c>
      <c r="J20" s="5">
        <v>0.1183</v>
      </c>
      <c r="K20" s="4">
        <v>11708551424.790001</v>
      </c>
      <c r="L20" s="3">
        <f t="shared" si="1"/>
        <v>0.41530994172092928</v>
      </c>
      <c r="M20" s="4">
        <v>19365.759999999998</v>
      </c>
      <c r="N20" s="4">
        <v>19584.73</v>
      </c>
      <c r="O20" s="60">
        <v>17364</v>
      </c>
      <c r="P20" s="5">
        <v>-4.6300000000000001E-2</v>
      </c>
      <c r="Q20" s="5">
        <v>6.6500000000000004E-2</v>
      </c>
      <c r="R20" s="80">
        <f t="shared" si="2"/>
        <v>-4.7643825655966809E-2</v>
      </c>
      <c r="S20" s="80">
        <f t="shared" si="3"/>
        <v>-4.6329498796269616E-2</v>
      </c>
      <c r="T20" s="80">
        <f t="shared" si="4"/>
        <v>5.7593733801762371E-5</v>
      </c>
      <c r="U20" s="81">
        <f t="shared" si="5"/>
        <v>-3.1199999999999999E-2</v>
      </c>
      <c r="V20" s="83">
        <f t="shared" si="6"/>
        <v>-5.1799999999999999E-2</v>
      </c>
    </row>
    <row r="21" spans="1:22">
      <c r="A21" s="75">
        <v>16</v>
      </c>
      <c r="B21" s="142" t="s">
        <v>44</v>
      </c>
      <c r="C21" s="142" t="s">
        <v>45</v>
      </c>
      <c r="D21" s="4">
        <v>3433639847.8000002</v>
      </c>
      <c r="E21" s="3">
        <f t="shared" si="0"/>
        <v>0.11608358813897202</v>
      </c>
      <c r="F21" s="4">
        <v>1.6420999999999999</v>
      </c>
      <c r="G21" s="8">
        <v>1.6604000000000001</v>
      </c>
      <c r="H21" s="60">
        <v>3666</v>
      </c>
      <c r="I21" s="5">
        <v>-2.3E-3</v>
      </c>
      <c r="J21" s="5">
        <v>0.20830000000000001</v>
      </c>
      <c r="K21" s="4">
        <v>3295083803.2600002</v>
      </c>
      <c r="L21" s="3">
        <f t="shared" si="1"/>
        <v>0.11687876771844413</v>
      </c>
      <c r="M21" s="4">
        <v>1.5783</v>
      </c>
      <c r="N21" s="8">
        <v>1.5956999999999999</v>
      </c>
      <c r="O21" s="60">
        <v>3666</v>
      </c>
      <c r="P21" s="5">
        <v>-3.8899999999999997E-2</v>
      </c>
      <c r="Q21" s="5">
        <v>0.16139999999999999</v>
      </c>
      <c r="R21" s="80">
        <f t="shared" si="2"/>
        <v>-4.0352526963122096E-2</v>
      </c>
      <c r="S21" s="80">
        <f t="shared" si="3"/>
        <v>-3.8966514092989762E-2</v>
      </c>
      <c r="T21" s="80">
        <f t="shared" si="4"/>
        <v>0</v>
      </c>
      <c r="U21" s="81">
        <f t="shared" si="5"/>
        <v>-3.6599999999999994E-2</v>
      </c>
      <c r="V21" s="83">
        <f t="shared" si="6"/>
        <v>-4.6900000000000025E-2</v>
      </c>
    </row>
    <row r="22" spans="1:22">
      <c r="A22" s="75"/>
      <c r="B22" s="19"/>
      <c r="C22" s="71" t="s">
        <v>46</v>
      </c>
      <c r="D22" s="58">
        <f>SUM(D6:D21)</f>
        <v>29579029239.597099</v>
      </c>
      <c r="E22" s="100">
        <f>(D22/$D$183)</f>
        <v>1.0548816412740523E-2</v>
      </c>
      <c r="F22" s="30"/>
      <c r="G22" s="31"/>
      <c r="H22" s="65">
        <f>SUM(H6:H21)</f>
        <v>48675</v>
      </c>
      <c r="I22" s="28"/>
      <c r="J22" s="60">
        <v>0</v>
      </c>
      <c r="K22" s="58">
        <f>SUM(K6:K21)</f>
        <v>28192321561.754601</v>
      </c>
      <c r="L22" s="100">
        <f>(K22/$K$183)</f>
        <v>1.000402238165354E-2</v>
      </c>
      <c r="M22" s="30"/>
      <c r="N22" s="31"/>
      <c r="O22" s="65">
        <f>SUM(O6:O21)</f>
        <v>48690</v>
      </c>
      <c r="P22" s="28"/>
      <c r="Q22" s="65"/>
      <c r="R22" s="80">
        <f t="shared" si="2"/>
        <v>-4.6881446534632366E-2</v>
      </c>
      <c r="S22" s="80" t="e">
        <f t="shared" si="3"/>
        <v>#DIV/0!</v>
      </c>
      <c r="T22" s="80">
        <f t="shared" si="4"/>
        <v>3.0816640986132513E-4</v>
      </c>
      <c r="U22" s="81">
        <f t="shared" si="5"/>
        <v>0</v>
      </c>
      <c r="V22" s="83">
        <f t="shared" si="6"/>
        <v>0</v>
      </c>
    </row>
    <row r="23" spans="1:22" ht="9" customHeight="1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</row>
    <row r="24" spans="1:22" ht="15" customHeight="1">
      <c r="A24" s="154" t="s">
        <v>47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</row>
    <row r="25" spans="1:22">
      <c r="A25" s="75">
        <v>17</v>
      </c>
      <c r="B25" s="141" t="s">
        <v>48</v>
      </c>
      <c r="C25" s="142" t="s">
        <v>17</v>
      </c>
      <c r="D25" s="9">
        <v>943489390.72000003</v>
      </c>
      <c r="E25" s="3">
        <f>(D25/$K$55)</f>
        <v>9.9379231383105626E-4</v>
      </c>
      <c r="F25" s="8">
        <v>100</v>
      </c>
      <c r="G25" s="8">
        <v>100</v>
      </c>
      <c r="H25" s="60">
        <v>756</v>
      </c>
      <c r="I25" s="5">
        <v>0.1028</v>
      </c>
      <c r="J25" s="5">
        <v>0.1028</v>
      </c>
      <c r="K25" s="9">
        <v>880738138.89999998</v>
      </c>
      <c r="L25" s="3">
        <f t="shared" ref="L25:L54" si="7">(K25/$K$55)</f>
        <v>9.2769542672731958E-4</v>
      </c>
      <c r="M25" s="8">
        <v>100</v>
      </c>
      <c r="N25" s="8">
        <v>100</v>
      </c>
      <c r="O25" s="60">
        <v>756</v>
      </c>
      <c r="P25" s="5">
        <v>0.10290000000000001</v>
      </c>
      <c r="Q25" s="5">
        <v>0.10290000000000001</v>
      </c>
      <c r="R25" s="80">
        <f>((K25-D25)/D25)</f>
        <v>-6.6509758813623782E-2</v>
      </c>
      <c r="S25" s="80">
        <f>((N25-G25)/G25)</f>
        <v>0</v>
      </c>
      <c r="T25" s="80">
        <f>((O25-H25)/H25)</f>
        <v>0</v>
      </c>
      <c r="U25" s="81">
        <f>P25-I25</f>
        <v>1.0000000000000286E-4</v>
      </c>
      <c r="V25" s="83">
        <f>Q25-J25</f>
        <v>1.0000000000000286E-4</v>
      </c>
    </row>
    <row r="26" spans="1:22">
      <c r="A26" s="75">
        <v>18</v>
      </c>
      <c r="B26" s="141" t="s">
        <v>49</v>
      </c>
      <c r="C26" s="142" t="s">
        <v>50</v>
      </c>
      <c r="D26" s="9">
        <v>5095567742.8699999</v>
      </c>
      <c r="E26" s="3">
        <f t="shared" ref="E26:E54" si="8">(D26/$K$55)</f>
        <v>5.3672421834073357E-3</v>
      </c>
      <c r="F26" s="8">
        <v>100</v>
      </c>
      <c r="G26" s="8">
        <v>100</v>
      </c>
      <c r="H26" s="60">
        <v>1209</v>
      </c>
      <c r="I26" s="5">
        <v>3.2139999999999998E-3</v>
      </c>
      <c r="J26" s="5">
        <v>1.0375000000000001E-2</v>
      </c>
      <c r="K26" s="9">
        <v>5153788096.4300003</v>
      </c>
      <c r="L26" s="3">
        <f t="shared" si="7"/>
        <v>5.4285666036345747E-3</v>
      </c>
      <c r="M26" s="8">
        <v>100</v>
      </c>
      <c r="N26" s="8">
        <v>100</v>
      </c>
      <c r="O26" s="60">
        <v>1211</v>
      </c>
      <c r="P26" s="5">
        <v>0.13581699999999999</v>
      </c>
      <c r="Q26" s="5">
        <v>0.13581699999999999</v>
      </c>
      <c r="R26" s="80">
        <f t="shared" ref="R26:R55" si="9">((K26-D26)/D26)</f>
        <v>1.1425685320632928E-2</v>
      </c>
      <c r="S26" s="80">
        <f t="shared" ref="S26:S55" si="10">((N26-G26)/G26)</f>
        <v>0</v>
      </c>
      <c r="T26" s="80">
        <f t="shared" ref="T26:T55" si="11">((O26-H26)/H26)</f>
        <v>1.6542597187758478E-3</v>
      </c>
      <c r="U26" s="81">
        <f t="shared" ref="U26:U55" si="12">P26-I26</f>
        <v>0.132603</v>
      </c>
      <c r="V26" s="83">
        <f t="shared" ref="V26:V55" si="13">Q26-J26</f>
        <v>0.125442</v>
      </c>
    </row>
    <row r="27" spans="1:22">
      <c r="A27" s="75">
        <v>19</v>
      </c>
      <c r="B27" s="141" t="s">
        <v>51</v>
      </c>
      <c r="C27" s="142" t="s">
        <v>19</v>
      </c>
      <c r="D27" s="9">
        <v>339970387.94999999</v>
      </c>
      <c r="E27" s="3">
        <f t="shared" si="8"/>
        <v>3.5809619249352987E-4</v>
      </c>
      <c r="F27" s="8">
        <v>100</v>
      </c>
      <c r="G27" s="8">
        <v>100</v>
      </c>
      <c r="H27" s="60">
        <v>1369</v>
      </c>
      <c r="I27" s="5">
        <v>0.11210000000000001</v>
      </c>
      <c r="J27" s="5">
        <v>0.11210000000000001</v>
      </c>
      <c r="K27" s="9">
        <v>317231320.18000001</v>
      </c>
      <c r="L27" s="3">
        <f t="shared" si="7"/>
        <v>3.3414477237606098E-4</v>
      </c>
      <c r="M27" s="8">
        <v>100</v>
      </c>
      <c r="N27" s="8">
        <v>100</v>
      </c>
      <c r="O27" s="60">
        <v>1370</v>
      </c>
      <c r="P27" s="5">
        <v>0.1129</v>
      </c>
      <c r="Q27" s="5">
        <v>0.1129</v>
      </c>
      <c r="R27" s="80">
        <f t="shared" si="9"/>
        <v>-6.688543642614031E-2</v>
      </c>
      <c r="S27" s="80">
        <f t="shared" si="10"/>
        <v>0</v>
      </c>
      <c r="T27" s="80">
        <f t="shared" si="11"/>
        <v>7.3046018991964939E-4</v>
      </c>
      <c r="U27" s="81">
        <f t="shared" si="12"/>
        <v>7.9999999999999516E-4</v>
      </c>
      <c r="V27" s="83">
        <f t="shared" si="13"/>
        <v>7.9999999999999516E-4</v>
      </c>
    </row>
    <row r="28" spans="1:22">
      <c r="A28" s="75">
        <v>20</v>
      </c>
      <c r="B28" s="141" t="s">
        <v>52</v>
      </c>
      <c r="C28" s="142" t="s">
        <v>21</v>
      </c>
      <c r="D28" s="9">
        <v>85136886986.589996</v>
      </c>
      <c r="E28" s="3">
        <f t="shared" si="8"/>
        <v>8.9676031064016171E-2</v>
      </c>
      <c r="F28" s="8">
        <v>1</v>
      </c>
      <c r="G28" s="8">
        <v>1</v>
      </c>
      <c r="H28" s="60">
        <v>56002</v>
      </c>
      <c r="I28" s="5">
        <v>0.1094</v>
      </c>
      <c r="J28" s="5">
        <v>0.1094</v>
      </c>
      <c r="K28" s="9">
        <v>84377450498.570007</v>
      </c>
      <c r="L28" s="3">
        <f t="shared" si="7"/>
        <v>8.8876104586770713E-2</v>
      </c>
      <c r="M28" s="8">
        <v>1</v>
      </c>
      <c r="N28" s="8">
        <v>1</v>
      </c>
      <c r="O28" s="60">
        <v>56110</v>
      </c>
      <c r="P28" s="5">
        <v>0.10970000000000001</v>
      </c>
      <c r="Q28" s="5">
        <v>0.10970000000000001</v>
      </c>
      <c r="R28" s="80">
        <f t="shared" si="9"/>
        <v>-8.9201815441009562E-3</v>
      </c>
      <c r="S28" s="80">
        <f t="shared" si="10"/>
        <v>0</v>
      </c>
      <c r="T28" s="80">
        <f t="shared" si="11"/>
        <v>1.9285025534802329E-3</v>
      </c>
      <c r="U28" s="81">
        <f t="shared" si="12"/>
        <v>3.0000000000000859E-4</v>
      </c>
      <c r="V28" s="83">
        <f t="shared" si="13"/>
        <v>3.0000000000000859E-4</v>
      </c>
    </row>
    <row r="29" spans="1:22">
      <c r="A29" s="75">
        <v>21</v>
      </c>
      <c r="B29" s="141" t="s">
        <v>53</v>
      </c>
      <c r="C29" s="142" t="s">
        <v>23</v>
      </c>
      <c r="D29" s="9">
        <v>48037840827.459999</v>
      </c>
      <c r="E29" s="3">
        <f t="shared" si="8"/>
        <v>5.0599018342896422E-2</v>
      </c>
      <c r="F29" s="8">
        <v>1</v>
      </c>
      <c r="G29" s="8">
        <v>1</v>
      </c>
      <c r="H29" s="60">
        <v>26720</v>
      </c>
      <c r="I29" s="5">
        <v>0.1154</v>
      </c>
      <c r="J29" s="5">
        <v>0.1154</v>
      </c>
      <c r="K29" s="9">
        <v>46933735777.339996</v>
      </c>
      <c r="L29" s="3">
        <f t="shared" si="7"/>
        <v>4.9436047011937448E-2</v>
      </c>
      <c r="M29" s="8">
        <v>1</v>
      </c>
      <c r="N29" s="8">
        <v>1</v>
      </c>
      <c r="O29" s="60">
        <v>26748</v>
      </c>
      <c r="P29" s="5">
        <v>9.5799999999999996E-2</v>
      </c>
      <c r="Q29" s="5">
        <v>9.5799999999999996E-2</v>
      </c>
      <c r="R29" s="80">
        <f t="shared" si="9"/>
        <v>-2.2984069040190087E-2</v>
      </c>
      <c r="S29" s="80">
        <f t="shared" si="10"/>
        <v>0</v>
      </c>
      <c r="T29" s="80">
        <f t="shared" si="11"/>
        <v>1.0479041916167664E-3</v>
      </c>
      <c r="U29" s="81">
        <f t="shared" si="12"/>
        <v>-1.9600000000000006E-2</v>
      </c>
      <c r="V29" s="83">
        <f t="shared" si="13"/>
        <v>-1.9600000000000006E-2</v>
      </c>
    </row>
    <row r="30" spans="1:22" ht="15" customHeight="1">
      <c r="A30" s="75">
        <v>22</v>
      </c>
      <c r="B30" s="141" t="s">
        <v>54</v>
      </c>
      <c r="C30" s="142" t="s">
        <v>40</v>
      </c>
      <c r="D30" s="9">
        <v>8420577388.0100002</v>
      </c>
      <c r="E30" s="3">
        <f t="shared" si="8"/>
        <v>8.8695274886322461E-3</v>
      </c>
      <c r="F30" s="8">
        <v>100</v>
      </c>
      <c r="G30" s="8">
        <v>100</v>
      </c>
      <c r="H30" s="60">
        <v>2883</v>
      </c>
      <c r="I30" s="5">
        <v>0.12520000000000001</v>
      </c>
      <c r="J30" s="5">
        <v>0.12520000000000001</v>
      </c>
      <c r="K30" s="9">
        <v>8604028685.6599998</v>
      </c>
      <c r="L30" s="3">
        <f t="shared" si="7"/>
        <v>9.062759645093248E-3</v>
      </c>
      <c r="M30" s="8">
        <v>100</v>
      </c>
      <c r="N30" s="8">
        <v>100</v>
      </c>
      <c r="O30" s="60">
        <v>2885</v>
      </c>
      <c r="P30" s="5">
        <v>0.129</v>
      </c>
      <c r="Q30" s="5">
        <v>0.129</v>
      </c>
      <c r="R30" s="80">
        <f t="shared" si="9"/>
        <v>2.1786071096646487E-2</v>
      </c>
      <c r="S30" s="80">
        <f t="shared" si="10"/>
        <v>0</v>
      </c>
      <c r="T30" s="80">
        <f t="shared" si="11"/>
        <v>6.9372181755116198E-4</v>
      </c>
      <c r="U30" s="81">
        <f t="shared" si="12"/>
        <v>3.7999999999999978E-3</v>
      </c>
      <c r="V30" s="83">
        <f t="shared" si="13"/>
        <v>3.7999999999999978E-3</v>
      </c>
    </row>
    <row r="31" spans="1:22">
      <c r="A31" s="75">
        <v>23</v>
      </c>
      <c r="B31" s="141" t="s">
        <v>55</v>
      </c>
      <c r="C31" s="142" t="s">
        <v>56</v>
      </c>
      <c r="D31" s="9">
        <v>14634044722.719999</v>
      </c>
      <c r="E31" s="3">
        <f t="shared" si="8"/>
        <v>1.5414271012205862E-2</v>
      </c>
      <c r="F31" s="8">
        <v>100</v>
      </c>
      <c r="G31" s="8">
        <v>100</v>
      </c>
      <c r="H31" s="60">
        <v>1977</v>
      </c>
      <c r="I31" s="5">
        <v>0.126178875218803</v>
      </c>
      <c r="J31" s="5">
        <v>0.126178875218803</v>
      </c>
      <c r="K31" s="9">
        <v>14414330041.32</v>
      </c>
      <c r="L31" s="3">
        <f t="shared" si="7"/>
        <v>1.5182842059470601E-2</v>
      </c>
      <c r="M31" s="8">
        <v>100</v>
      </c>
      <c r="N31" s="8">
        <v>100</v>
      </c>
      <c r="O31" s="60">
        <v>1987</v>
      </c>
      <c r="P31" s="5">
        <v>0.128060870987316</v>
      </c>
      <c r="Q31" s="5">
        <v>0.128060870987316</v>
      </c>
      <c r="R31" s="80">
        <f t="shared" si="9"/>
        <v>-1.5013940818349619E-2</v>
      </c>
      <c r="S31" s="80">
        <f t="shared" si="10"/>
        <v>0</v>
      </c>
      <c r="T31" s="80">
        <f t="shared" si="11"/>
        <v>5.0581689428426911E-3</v>
      </c>
      <c r="U31" s="81">
        <f t="shared" si="12"/>
        <v>1.8819957685130007E-3</v>
      </c>
      <c r="V31" s="83">
        <f t="shared" si="13"/>
        <v>1.8819957685130007E-3</v>
      </c>
    </row>
    <row r="32" spans="1:22">
      <c r="A32" s="75">
        <v>24</v>
      </c>
      <c r="B32" s="141" t="s">
        <v>57</v>
      </c>
      <c r="C32" s="142" t="s">
        <v>58</v>
      </c>
      <c r="D32" s="9">
        <v>5712704102.5200005</v>
      </c>
      <c r="E32" s="3">
        <f t="shared" si="8"/>
        <v>6.0172816823547701E-3</v>
      </c>
      <c r="F32" s="8">
        <v>100</v>
      </c>
      <c r="G32" s="8">
        <v>100</v>
      </c>
      <c r="H32" s="60">
        <v>5794</v>
      </c>
      <c r="I32" s="5">
        <v>0.1094</v>
      </c>
      <c r="J32" s="5">
        <v>0.1094</v>
      </c>
      <c r="K32" s="9">
        <v>5711381190.3900003</v>
      </c>
      <c r="L32" s="3">
        <f t="shared" si="7"/>
        <v>6.0158882380621269E-3</v>
      </c>
      <c r="M32" s="8">
        <v>100</v>
      </c>
      <c r="N32" s="8">
        <v>100</v>
      </c>
      <c r="O32" s="60">
        <v>5807</v>
      </c>
      <c r="P32" s="5">
        <v>0.12280000000000001</v>
      </c>
      <c r="Q32" s="5">
        <v>0.12280000000000001</v>
      </c>
      <c r="R32" s="80">
        <f t="shared" si="9"/>
        <v>-2.3157371820055385E-4</v>
      </c>
      <c r="S32" s="80">
        <f t="shared" si="10"/>
        <v>0</v>
      </c>
      <c r="T32" s="80">
        <f t="shared" si="11"/>
        <v>2.2437003797031413E-3</v>
      </c>
      <c r="U32" s="81">
        <f t="shared" si="12"/>
        <v>1.3400000000000009E-2</v>
      </c>
      <c r="V32" s="83">
        <f t="shared" si="13"/>
        <v>1.3400000000000009E-2</v>
      </c>
    </row>
    <row r="33" spans="1:22">
      <c r="A33" s="75">
        <v>25</v>
      </c>
      <c r="B33" s="141" t="s">
        <v>59</v>
      </c>
      <c r="C33" s="142" t="s">
        <v>60</v>
      </c>
      <c r="D33" s="9">
        <v>44514190.369999997</v>
      </c>
      <c r="E33" s="3">
        <f t="shared" si="8"/>
        <v>4.6887501524907894E-5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4.6887501524907894E-5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41" t="s">
        <v>61</v>
      </c>
      <c r="C34" s="142" t="s">
        <v>62</v>
      </c>
      <c r="D34" s="9">
        <v>5502113737.4700003</v>
      </c>
      <c r="E34" s="3">
        <f t="shared" si="8"/>
        <v>5.7954635164993414E-3</v>
      </c>
      <c r="F34" s="8">
        <v>1</v>
      </c>
      <c r="G34" s="8">
        <v>1</v>
      </c>
      <c r="H34" s="60">
        <v>2137</v>
      </c>
      <c r="I34" s="5">
        <v>0.13070000000000001</v>
      </c>
      <c r="J34" s="5">
        <v>0.13070000000000001</v>
      </c>
      <c r="K34" s="9">
        <v>5463908183.4499998</v>
      </c>
      <c r="L34" s="3">
        <f t="shared" si="7"/>
        <v>5.7552210015286544E-3</v>
      </c>
      <c r="M34" s="8">
        <v>1</v>
      </c>
      <c r="N34" s="8">
        <v>1</v>
      </c>
      <c r="O34" s="60">
        <v>2140</v>
      </c>
      <c r="P34" s="5">
        <v>0.1134</v>
      </c>
      <c r="Q34" s="5">
        <v>0.1134</v>
      </c>
      <c r="R34" s="80">
        <f t="shared" si="9"/>
        <v>-6.9437957561321257E-3</v>
      </c>
      <c r="S34" s="80">
        <f t="shared" si="10"/>
        <v>0</v>
      </c>
      <c r="T34" s="80">
        <f t="shared" si="11"/>
        <v>1.4038371548900327E-3</v>
      </c>
      <c r="U34" s="81">
        <f t="shared" si="12"/>
        <v>-1.730000000000001E-2</v>
      </c>
      <c r="V34" s="83">
        <f t="shared" si="13"/>
        <v>-1.730000000000001E-2</v>
      </c>
    </row>
    <row r="35" spans="1:22">
      <c r="A35" s="75">
        <v>27</v>
      </c>
      <c r="B35" s="141" t="s">
        <v>63</v>
      </c>
      <c r="C35" s="142" t="s">
        <v>64</v>
      </c>
      <c r="D35" s="9">
        <v>14092266204.25</v>
      </c>
      <c r="E35" s="3">
        <f t="shared" si="8"/>
        <v>1.4843607120539433E-2</v>
      </c>
      <c r="F35" s="11">
        <v>100</v>
      </c>
      <c r="G35" s="11">
        <v>100</v>
      </c>
      <c r="H35" s="60">
        <v>2590</v>
      </c>
      <c r="I35" s="5">
        <v>0.1109</v>
      </c>
      <c r="J35" s="5">
        <v>0.1109</v>
      </c>
      <c r="K35" s="9">
        <v>13721082969.17</v>
      </c>
      <c r="L35" s="3">
        <f t="shared" si="7"/>
        <v>1.4452633941960341E-2</v>
      </c>
      <c r="M35" s="11">
        <v>100</v>
      </c>
      <c r="N35" s="11">
        <v>100</v>
      </c>
      <c r="O35" s="60">
        <v>2572</v>
      </c>
      <c r="P35" s="5">
        <v>0.10829999999999999</v>
      </c>
      <c r="Q35" s="5">
        <v>0.10829999999999999</v>
      </c>
      <c r="R35" s="80">
        <f t="shared" si="9"/>
        <v>-2.6339499247328799E-2</v>
      </c>
      <c r="S35" s="80">
        <f t="shared" si="10"/>
        <v>0</v>
      </c>
      <c r="T35" s="80">
        <f t="shared" si="11"/>
        <v>-6.9498069498069494E-3</v>
      </c>
      <c r="U35" s="81">
        <f t="shared" si="12"/>
        <v>-2.6000000000000051E-3</v>
      </c>
      <c r="V35" s="83">
        <f t="shared" si="13"/>
        <v>-2.6000000000000051E-3</v>
      </c>
    </row>
    <row r="36" spans="1:22">
      <c r="A36" s="75">
        <v>28</v>
      </c>
      <c r="B36" s="141" t="s">
        <v>65</v>
      </c>
      <c r="C36" s="142" t="s">
        <v>64</v>
      </c>
      <c r="D36" s="9">
        <v>1233482507.26</v>
      </c>
      <c r="E36" s="3">
        <f t="shared" si="8"/>
        <v>1.2992466550414419E-3</v>
      </c>
      <c r="F36" s="11">
        <v>1000000</v>
      </c>
      <c r="G36" s="11">
        <v>1000000</v>
      </c>
      <c r="H36" s="60">
        <v>7</v>
      </c>
      <c r="I36" s="5">
        <v>0.10929999999999999</v>
      </c>
      <c r="J36" s="5">
        <v>0.10929999999999999</v>
      </c>
      <c r="K36" s="9">
        <v>1154814922.3499999</v>
      </c>
      <c r="L36" s="3">
        <f t="shared" si="7"/>
        <v>1.2163848422853392E-3</v>
      </c>
      <c r="M36" s="11">
        <v>1000000</v>
      </c>
      <c r="N36" s="11">
        <v>1000000</v>
      </c>
      <c r="O36" s="60">
        <v>6</v>
      </c>
      <c r="P36" s="5">
        <v>0.11550000000000001</v>
      </c>
      <c r="Q36" s="5">
        <v>0.11550000000000001</v>
      </c>
      <c r="R36" s="80">
        <f t="shared" si="9"/>
        <v>-6.3776814382839164E-2</v>
      </c>
      <c r="S36" s="80">
        <f t="shared" si="10"/>
        <v>0</v>
      </c>
      <c r="T36" s="80">
        <f t="shared" si="11"/>
        <v>-0.14285714285714285</v>
      </c>
      <c r="U36" s="81">
        <f t="shared" si="12"/>
        <v>6.2000000000000111E-3</v>
      </c>
      <c r="V36" s="83">
        <f t="shared" si="13"/>
        <v>6.2000000000000111E-3</v>
      </c>
    </row>
    <row r="37" spans="1:22">
      <c r="A37" s="75">
        <v>29</v>
      </c>
      <c r="B37" s="141" t="s">
        <v>66</v>
      </c>
      <c r="C37" s="142" t="s">
        <v>67</v>
      </c>
      <c r="D37" s="9">
        <v>3874216938.5999999</v>
      </c>
      <c r="E37" s="3">
        <f t="shared" si="8"/>
        <v>4.0807740432106049E-3</v>
      </c>
      <c r="F37" s="8">
        <v>1</v>
      </c>
      <c r="G37" s="8">
        <v>1</v>
      </c>
      <c r="H37" s="60">
        <v>452</v>
      </c>
      <c r="I37" s="5">
        <v>0.14249999999999999</v>
      </c>
      <c r="J37" s="5">
        <v>0.14249999999999999</v>
      </c>
      <c r="K37" s="9">
        <v>3659655310.5700002</v>
      </c>
      <c r="L37" s="3">
        <f t="shared" si="7"/>
        <v>3.8547728831799968E-3</v>
      </c>
      <c r="M37" s="8">
        <v>1</v>
      </c>
      <c r="N37" s="8">
        <v>1</v>
      </c>
      <c r="O37" s="60">
        <v>455</v>
      </c>
      <c r="P37" s="5">
        <v>0.14099999999999999</v>
      </c>
      <c r="Q37" s="5">
        <v>0.14099999999999999</v>
      </c>
      <c r="R37" s="80">
        <f t="shared" si="9"/>
        <v>-5.5381934318715367E-2</v>
      </c>
      <c r="S37" s="80">
        <f t="shared" si="10"/>
        <v>0</v>
      </c>
      <c r="T37" s="80">
        <f t="shared" si="11"/>
        <v>6.6371681415929203E-3</v>
      </c>
      <c r="U37" s="81">
        <f t="shared" si="12"/>
        <v>-1.5000000000000013E-3</v>
      </c>
      <c r="V37" s="83">
        <f t="shared" si="13"/>
        <v>-1.5000000000000013E-3</v>
      </c>
    </row>
    <row r="38" spans="1:22">
      <c r="A38" s="75">
        <v>30</v>
      </c>
      <c r="B38" s="141" t="s">
        <v>68</v>
      </c>
      <c r="C38" s="142" t="s">
        <v>27</v>
      </c>
      <c r="D38" s="9">
        <v>211060122977.73999</v>
      </c>
      <c r="E38" s="3">
        <f t="shared" si="8"/>
        <v>0.22231296931855288</v>
      </c>
      <c r="F38" s="8">
        <v>100</v>
      </c>
      <c r="G38" s="8">
        <v>100</v>
      </c>
      <c r="H38" s="60">
        <v>15183</v>
      </c>
      <c r="I38" s="5">
        <v>0.1193</v>
      </c>
      <c r="J38" s="5">
        <v>0.1193</v>
      </c>
      <c r="K38" s="9">
        <v>209463896042.73001</v>
      </c>
      <c r="L38" s="3">
        <f t="shared" si="7"/>
        <v>0.22063163821430753</v>
      </c>
      <c r="M38" s="8">
        <v>100</v>
      </c>
      <c r="N38" s="8">
        <v>100</v>
      </c>
      <c r="O38" s="60">
        <v>15201</v>
      </c>
      <c r="P38" s="5">
        <v>0.13289999999999999</v>
      </c>
      <c r="Q38" s="5">
        <v>0.13289999999999999</v>
      </c>
      <c r="R38" s="80">
        <f t="shared" si="9"/>
        <v>-7.5629015679969519E-3</v>
      </c>
      <c r="S38" s="80">
        <f t="shared" si="10"/>
        <v>0</v>
      </c>
      <c r="T38" s="80">
        <f t="shared" si="11"/>
        <v>1.1855364552459987E-3</v>
      </c>
      <c r="U38" s="81">
        <f t="shared" si="12"/>
        <v>1.3599999999999987E-2</v>
      </c>
      <c r="V38" s="83">
        <f t="shared" si="13"/>
        <v>1.3599999999999987E-2</v>
      </c>
    </row>
    <row r="39" spans="1:22">
      <c r="A39" s="75">
        <v>31</v>
      </c>
      <c r="B39" s="141" t="s">
        <v>69</v>
      </c>
      <c r="C39" s="142" t="s">
        <v>70</v>
      </c>
      <c r="D39" s="9">
        <v>285229304.99000001</v>
      </c>
      <c r="E39" s="3">
        <f t="shared" si="8"/>
        <v>3.0043654307773595E-4</v>
      </c>
      <c r="F39" s="8">
        <v>1</v>
      </c>
      <c r="G39" s="8">
        <v>1</v>
      </c>
      <c r="H39" s="61">
        <v>445</v>
      </c>
      <c r="I39" s="12">
        <v>9.5000000000000001E-2</v>
      </c>
      <c r="J39" s="12">
        <v>9.5000000000000001E-2</v>
      </c>
      <c r="K39" s="9">
        <v>286874017.74000001</v>
      </c>
      <c r="L39" s="3">
        <f t="shared" si="7"/>
        <v>3.0216894505860257E-4</v>
      </c>
      <c r="M39" s="8">
        <v>1</v>
      </c>
      <c r="N39" s="8">
        <v>1</v>
      </c>
      <c r="O39" s="61">
        <v>449</v>
      </c>
      <c r="P39" s="12">
        <v>0.1091</v>
      </c>
      <c r="Q39" s="12">
        <v>0.1091</v>
      </c>
      <c r="R39" s="80">
        <f t="shared" si="9"/>
        <v>5.7662825005223876E-3</v>
      </c>
      <c r="S39" s="80">
        <f t="shared" si="10"/>
        <v>0</v>
      </c>
      <c r="T39" s="80">
        <f t="shared" si="11"/>
        <v>8.988764044943821E-3</v>
      </c>
      <c r="U39" s="81">
        <f t="shared" si="12"/>
        <v>1.4100000000000001E-2</v>
      </c>
      <c r="V39" s="83">
        <f t="shared" si="13"/>
        <v>1.4100000000000001E-2</v>
      </c>
    </row>
    <row r="40" spans="1:22">
      <c r="A40" s="75">
        <v>32</v>
      </c>
      <c r="B40" s="141" t="s">
        <v>71</v>
      </c>
      <c r="C40" s="142" t="s">
        <v>72</v>
      </c>
      <c r="D40" s="9">
        <v>675235909.13999999</v>
      </c>
      <c r="E40" s="3">
        <f t="shared" si="8"/>
        <v>7.1123667433500978E-4</v>
      </c>
      <c r="F40" s="8">
        <v>10</v>
      </c>
      <c r="G40" s="8">
        <v>10</v>
      </c>
      <c r="H40" s="60">
        <v>358</v>
      </c>
      <c r="I40" s="5">
        <v>0.1065</v>
      </c>
      <c r="J40" s="5">
        <v>0.1065</v>
      </c>
      <c r="K40" s="9">
        <v>681525544.72000003</v>
      </c>
      <c r="L40" s="3">
        <f t="shared" si="7"/>
        <v>7.1786164707734492E-4</v>
      </c>
      <c r="M40" s="8">
        <v>10</v>
      </c>
      <c r="N40" s="8">
        <v>10</v>
      </c>
      <c r="O40" s="60">
        <v>358</v>
      </c>
      <c r="P40" s="5">
        <v>0.1043</v>
      </c>
      <c r="Q40" s="5">
        <v>0.1043</v>
      </c>
      <c r="R40" s="80">
        <f t="shared" si="9"/>
        <v>9.3147231876496393E-3</v>
      </c>
      <c r="S40" s="80">
        <f t="shared" si="10"/>
        <v>0</v>
      </c>
      <c r="T40" s="80">
        <f t="shared" si="11"/>
        <v>0</v>
      </c>
      <c r="U40" s="81">
        <f t="shared" si="12"/>
        <v>-2.1999999999999936E-3</v>
      </c>
      <c r="V40" s="83">
        <f t="shared" si="13"/>
        <v>-2.1999999999999936E-3</v>
      </c>
    </row>
    <row r="41" spans="1:22">
      <c r="A41" s="75">
        <v>33</v>
      </c>
      <c r="B41" s="141" t="s">
        <v>73</v>
      </c>
      <c r="C41" s="142" t="s">
        <v>74</v>
      </c>
      <c r="D41" s="9">
        <v>3183835690.8692579</v>
      </c>
      <c r="E41" s="3">
        <f t="shared" si="8"/>
        <v>3.353584543936714E-3</v>
      </c>
      <c r="F41" s="8">
        <v>100</v>
      </c>
      <c r="G41" s="8">
        <v>100</v>
      </c>
      <c r="H41" s="60">
        <v>1417</v>
      </c>
      <c r="I41" s="5">
        <v>0.10624701380331993</v>
      </c>
      <c r="J41" s="5">
        <v>0.10624701380331993</v>
      </c>
      <c r="K41" s="9">
        <v>3144682326.2276578</v>
      </c>
      <c r="L41" s="3">
        <f t="shared" si="7"/>
        <v>3.312343685031291E-3</v>
      </c>
      <c r="M41" s="8">
        <v>100</v>
      </c>
      <c r="N41" s="8">
        <v>100</v>
      </c>
      <c r="O41" s="60">
        <v>1417</v>
      </c>
      <c r="P41" s="5">
        <v>0.10879999999999999</v>
      </c>
      <c r="Q41" s="5">
        <v>0.10879999999999999</v>
      </c>
      <c r="R41" s="80">
        <f t="shared" si="9"/>
        <v>-1.2297545615775918E-2</v>
      </c>
      <c r="S41" s="80">
        <f t="shared" si="10"/>
        <v>0</v>
      </c>
      <c r="T41" s="80">
        <f t="shared" si="11"/>
        <v>0</v>
      </c>
      <c r="U41" s="81">
        <f t="shared" si="12"/>
        <v>2.5529861966800682E-3</v>
      </c>
      <c r="V41" s="83">
        <f t="shared" si="13"/>
        <v>2.5529861966800682E-3</v>
      </c>
    </row>
    <row r="42" spans="1:22" ht="15.75" customHeight="1">
      <c r="A42" s="75">
        <v>34</v>
      </c>
      <c r="B42" s="141" t="s">
        <v>239</v>
      </c>
      <c r="C42" s="142" t="s">
        <v>32</v>
      </c>
      <c r="D42" s="9">
        <v>22537484910.6875</v>
      </c>
      <c r="E42" s="3">
        <f t="shared" si="8"/>
        <v>2.3739089700025667E-2</v>
      </c>
      <c r="F42" s="8">
        <v>1</v>
      </c>
      <c r="G42" s="8">
        <v>1</v>
      </c>
      <c r="H42" s="60">
        <v>11473</v>
      </c>
      <c r="I42" s="5">
        <v>9.2348626092132097E-2</v>
      </c>
      <c r="J42" s="5">
        <v>9.2348626092132097E-2</v>
      </c>
      <c r="K42" s="9">
        <v>20054929263.007702</v>
      </c>
      <c r="L42" s="3">
        <f t="shared" si="7"/>
        <v>2.1124174529183817E-2</v>
      </c>
      <c r="M42" s="8">
        <v>1</v>
      </c>
      <c r="N42" s="8">
        <v>1</v>
      </c>
      <c r="O42" s="60">
        <v>11496</v>
      </c>
      <c r="P42" s="5">
        <v>0.12416187759966177</v>
      </c>
      <c r="Q42" s="5">
        <v>0.12416187759966177</v>
      </c>
      <c r="R42" s="80">
        <f t="shared" si="9"/>
        <v>-0.11015229328018521</v>
      </c>
      <c r="S42" s="80">
        <f t="shared" si="10"/>
        <v>0</v>
      </c>
      <c r="T42" s="80">
        <f t="shared" si="11"/>
        <v>2.0047067026932801E-3</v>
      </c>
      <c r="U42" s="81">
        <f t="shared" si="12"/>
        <v>3.1813251507529672E-2</v>
      </c>
      <c r="V42" s="83">
        <f t="shared" si="13"/>
        <v>3.1813251507529672E-2</v>
      </c>
    </row>
    <row r="43" spans="1:22">
      <c r="A43" s="75">
        <v>35</v>
      </c>
      <c r="B43" s="141" t="s">
        <v>75</v>
      </c>
      <c r="C43" s="142" t="s">
        <v>34</v>
      </c>
      <c r="D43" s="9">
        <v>3442914242.5700002</v>
      </c>
      <c r="E43" s="3">
        <f t="shared" si="8"/>
        <v>3.6264760845211796E-3</v>
      </c>
      <c r="F43" s="8">
        <v>1</v>
      </c>
      <c r="G43" s="8">
        <v>1</v>
      </c>
      <c r="H43" s="60">
        <v>828</v>
      </c>
      <c r="I43" s="5">
        <v>8.2000000000000003E-2</v>
      </c>
      <c r="J43" s="5">
        <v>8.2000000000000003E-2</v>
      </c>
      <c r="K43" s="9">
        <v>3428875022.1399999</v>
      </c>
      <c r="L43" s="3">
        <f t="shared" si="7"/>
        <v>3.6116883513545488E-3</v>
      </c>
      <c r="M43" s="8">
        <v>1</v>
      </c>
      <c r="N43" s="8">
        <v>1</v>
      </c>
      <c r="O43" s="60">
        <v>839</v>
      </c>
      <c r="P43" s="5">
        <v>0.1002</v>
      </c>
      <c r="Q43" s="5">
        <v>8.3199999999999996E-2</v>
      </c>
      <c r="R43" s="80">
        <f t="shared" si="9"/>
        <v>-4.0777142388305843E-3</v>
      </c>
      <c r="S43" s="80">
        <f t="shared" si="10"/>
        <v>0</v>
      </c>
      <c r="T43" s="80">
        <f t="shared" si="11"/>
        <v>1.3285024154589372E-2</v>
      </c>
      <c r="U43" s="81">
        <f t="shared" si="12"/>
        <v>1.8199999999999994E-2</v>
      </c>
      <c r="V43" s="83">
        <f t="shared" si="13"/>
        <v>1.1999999999999927E-3</v>
      </c>
    </row>
    <row r="44" spans="1:22">
      <c r="A44" s="75">
        <v>36</v>
      </c>
      <c r="B44" s="141" t="s">
        <v>76</v>
      </c>
      <c r="C44" s="142" t="s">
        <v>36</v>
      </c>
      <c r="D44" s="13">
        <v>4144702047.8099999</v>
      </c>
      <c r="E44" s="3">
        <f t="shared" si="8"/>
        <v>4.3656802914234438E-3</v>
      </c>
      <c r="F44" s="8">
        <v>10</v>
      </c>
      <c r="G44" s="8">
        <v>10</v>
      </c>
      <c r="H44" s="60">
        <v>1977</v>
      </c>
      <c r="I44" s="5">
        <v>0.12640000000000001</v>
      </c>
      <c r="J44" s="5">
        <v>0.12640000000000001</v>
      </c>
      <c r="K44" s="13">
        <v>4011645325.27</v>
      </c>
      <c r="L44" s="3">
        <f t="shared" si="7"/>
        <v>4.2255295388401049E-3</v>
      </c>
      <c r="M44" s="8">
        <v>10</v>
      </c>
      <c r="N44" s="8">
        <v>10</v>
      </c>
      <c r="O44" s="60">
        <v>1973</v>
      </c>
      <c r="P44" s="5">
        <v>0.14510000000000001</v>
      </c>
      <c r="Q44" s="5">
        <v>0.14510000000000001</v>
      </c>
      <c r="R44" s="80">
        <f t="shared" si="9"/>
        <v>-3.210284382451694E-2</v>
      </c>
      <c r="S44" s="80">
        <f t="shared" si="10"/>
        <v>0</v>
      </c>
      <c r="T44" s="80">
        <f t="shared" si="11"/>
        <v>-2.0232675771370764E-3</v>
      </c>
      <c r="U44" s="81">
        <f t="shared" si="12"/>
        <v>1.8699999999999994E-2</v>
      </c>
      <c r="V44" s="83">
        <f t="shared" si="13"/>
        <v>1.8699999999999994E-2</v>
      </c>
    </row>
    <row r="45" spans="1:22">
      <c r="A45" s="75">
        <v>37</v>
      </c>
      <c r="B45" s="141" t="s">
        <v>77</v>
      </c>
      <c r="C45" s="142" t="s">
        <v>78</v>
      </c>
      <c r="D45" s="9">
        <v>4325458971.79</v>
      </c>
      <c r="E45" s="3">
        <f t="shared" si="8"/>
        <v>4.5560744214369082E-3</v>
      </c>
      <c r="F45" s="8">
        <v>100</v>
      </c>
      <c r="G45" s="8">
        <v>100</v>
      </c>
      <c r="H45" s="60">
        <v>2068</v>
      </c>
      <c r="I45" s="5">
        <v>0.11840000000000001</v>
      </c>
      <c r="J45" s="5">
        <v>0.11840000000000001</v>
      </c>
      <c r="K45" s="9">
        <v>4330345931.7200003</v>
      </c>
      <c r="L45" s="3">
        <f t="shared" si="7"/>
        <v>4.5612219337080621E-3</v>
      </c>
      <c r="M45" s="8">
        <v>100</v>
      </c>
      <c r="N45" s="8">
        <v>100</v>
      </c>
      <c r="O45" s="60">
        <v>2072</v>
      </c>
      <c r="P45" s="5">
        <v>0.11940000000000001</v>
      </c>
      <c r="Q45" s="5">
        <v>0.11940000000000001</v>
      </c>
      <c r="R45" s="80">
        <f t="shared" si="9"/>
        <v>1.1298130353038442E-3</v>
      </c>
      <c r="S45" s="80">
        <f t="shared" si="10"/>
        <v>0</v>
      </c>
      <c r="T45" s="80">
        <f t="shared" si="11"/>
        <v>1.9342359767891683E-3</v>
      </c>
      <c r="U45" s="81">
        <f t="shared" si="12"/>
        <v>1.0000000000000009E-3</v>
      </c>
      <c r="V45" s="83">
        <f t="shared" si="13"/>
        <v>1.0000000000000009E-3</v>
      </c>
    </row>
    <row r="46" spans="1:22">
      <c r="A46" s="75">
        <v>38</v>
      </c>
      <c r="B46" s="141" t="s">
        <v>79</v>
      </c>
      <c r="C46" s="142" t="s">
        <v>80</v>
      </c>
      <c r="D46" s="9">
        <v>150955905.99000001</v>
      </c>
      <c r="E46" s="3">
        <f t="shared" si="8"/>
        <v>1.5900424591503085E-4</v>
      </c>
      <c r="F46" s="8">
        <v>1</v>
      </c>
      <c r="G46" s="8">
        <v>1</v>
      </c>
      <c r="H46" s="60">
        <v>61</v>
      </c>
      <c r="I46" s="5">
        <v>7.4499999999999997E-2</v>
      </c>
      <c r="J46" s="5">
        <v>7.4499999999999997E-2</v>
      </c>
      <c r="K46" s="9">
        <v>150155912.02000001</v>
      </c>
      <c r="L46" s="3">
        <f t="shared" si="7"/>
        <v>1.5816159959985556E-4</v>
      </c>
      <c r="M46" s="8">
        <v>1</v>
      </c>
      <c r="N46" s="8">
        <v>1</v>
      </c>
      <c r="O46" s="60">
        <v>61</v>
      </c>
      <c r="P46" s="5">
        <v>7.4899999999999994E-2</v>
      </c>
      <c r="Q46" s="5">
        <v>7.4899999999999994E-2</v>
      </c>
      <c r="R46" s="80">
        <f t="shared" si="9"/>
        <v>-5.2995208418873917E-3</v>
      </c>
      <c r="S46" s="80">
        <f t="shared" si="10"/>
        <v>0</v>
      </c>
      <c r="T46" s="80">
        <f t="shared" si="11"/>
        <v>0</v>
      </c>
      <c r="U46" s="81">
        <f t="shared" si="12"/>
        <v>3.9999999999999758E-4</v>
      </c>
      <c r="V46" s="83">
        <f t="shared" si="13"/>
        <v>3.9999999999999758E-4</v>
      </c>
    </row>
    <row r="47" spans="1:22">
      <c r="A47" s="75">
        <v>39</v>
      </c>
      <c r="B47" s="141" t="s">
        <v>81</v>
      </c>
      <c r="C47" s="142" t="s">
        <v>38</v>
      </c>
      <c r="D47" s="13">
        <v>760359743.13999999</v>
      </c>
      <c r="E47" s="3">
        <f t="shared" si="8"/>
        <v>8.0089895648157838E-4</v>
      </c>
      <c r="F47" s="8">
        <v>10</v>
      </c>
      <c r="G47" s="8">
        <v>10</v>
      </c>
      <c r="H47" s="60">
        <v>647</v>
      </c>
      <c r="I47" s="5">
        <v>0</v>
      </c>
      <c r="J47" s="5">
        <v>0</v>
      </c>
      <c r="K47" s="13">
        <v>709130417.88999999</v>
      </c>
      <c r="L47" s="3">
        <f t="shared" si="7"/>
        <v>7.4693829706457145E-4</v>
      </c>
      <c r="M47" s="8">
        <v>10</v>
      </c>
      <c r="N47" s="8">
        <v>10</v>
      </c>
      <c r="O47" s="60">
        <v>649</v>
      </c>
      <c r="P47" s="5">
        <v>0</v>
      </c>
      <c r="Q47" s="5">
        <v>0</v>
      </c>
      <c r="R47" s="80">
        <f t="shared" si="9"/>
        <v>-6.7375115150681356E-2</v>
      </c>
      <c r="S47" s="80">
        <f t="shared" si="10"/>
        <v>0</v>
      </c>
      <c r="T47" s="80">
        <f t="shared" si="11"/>
        <v>3.0911901081916537E-3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41" t="s">
        <v>247</v>
      </c>
      <c r="C48" s="142" t="s">
        <v>248</v>
      </c>
      <c r="D48" s="13">
        <v>573435164.61000001</v>
      </c>
      <c r="E48" s="3">
        <f t="shared" si="8"/>
        <v>6.0400833827604407E-4</v>
      </c>
      <c r="F48" s="8">
        <v>1</v>
      </c>
      <c r="G48" s="8">
        <v>1</v>
      </c>
      <c r="H48" s="60">
        <v>36</v>
      </c>
      <c r="I48" s="5">
        <v>0.12479999999999999</v>
      </c>
      <c r="J48" s="5">
        <v>0.12479999999999999</v>
      </c>
      <c r="K48" s="13">
        <v>599349674.52999997</v>
      </c>
      <c r="L48" s="3">
        <f t="shared" si="7"/>
        <v>6.3130450188795433E-4</v>
      </c>
      <c r="M48" s="8">
        <v>1</v>
      </c>
      <c r="N48" s="8">
        <v>1</v>
      </c>
      <c r="O48" s="60">
        <v>37</v>
      </c>
      <c r="P48" s="5">
        <v>0.1263</v>
      </c>
      <c r="Q48" s="5">
        <v>0.1263</v>
      </c>
      <c r="R48" s="80">
        <f t="shared" si="9"/>
        <v>4.5191699985166971E-2</v>
      </c>
      <c r="S48" s="80">
        <f t="shared" si="10"/>
        <v>0</v>
      </c>
      <c r="T48" s="80">
        <f t="shared" si="11"/>
        <v>2.7777777777777776E-2</v>
      </c>
      <c r="U48" s="81">
        <f t="shared" si="12"/>
        <v>1.5000000000000013E-3</v>
      </c>
      <c r="V48" s="83">
        <f t="shared" si="13"/>
        <v>1.5000000000000013E-3</v>
      </c>
    </row>
    <row r="49" spans="1:22">
      <c r="A49" s="75">
        <v>41</v>
      </c>
      <c r="B49" s="141" t="s">
        <v>82</v>
      </c>
      <c r="C49" s="142" t="s">
        <v>42</v>
      </c>
      <c r="D49" s="9">
        <v>438695889187.59998</v>
      </c>
      <c r="E49" s="3">
        <f t="shared" si="8"/>
        <v>0.46208532610124653</v>
      </c>
      <c r="F49" s="8">
        <v>100</v>
      </c>
      <c r="G49" s="8">
        <v>100</v>
      </c>
      <c r="H49" s="60">
        <v>114252</v>
      </c>
      <c r="I49" s="5">
        <v>0.1197</v>
      </c>
      <c r="J49" s="5">
        <v>0.1197</v>
      </c>
      <c r="K49" s="9">
        <v>428561205185.57001</v>
      </c>
      <c r="L49" s="3">
        <f t="shared" si="7"/>
        <v>0.45141030297603901</v>
      </c>
      <c r="M49" s="8">
        <v>100</v>
      </c>
      <c r="N49" s="8">
        <v>100</v>
      </c>
      <c r="O49" s="60">
        <v>114644</v>
      </c>
      <c r="P49" s="5">
        <v>0.1255</v>
      </c>
      <c r="Q49" s="5">
        <v>0.1255</v>
      </c>
      <c r="R49" s="80">
        <f t="shared" si="9"/>
        <v>-2.3101844014991584E-2</v>
      </c>
      <c r="S49" s="80">
        <f t="shared" si="10"/>
        <v>0</v>
      </c>
      <c r="T49" s="80">
        <f t="shared" si="11"/>
        <v>3.4310121485838321E-3</v>
      </c>
      <c r="U49" s="81">
        <f t="shared" si="12"/>
        <v>5.7999999999999996E-3</v>
      </c>
      <c r="V49" s="83">
        <f t="shared" si="13"/>
        <v>5.7999999999999996E-3</v>
      </c>
    </row>
    <row r="50" spans="1:22">
      <c r="A50" s="75">
        <v>42</v>
      </c>
      <c r="B50" s="141" t="s">
        <v>83</v>
      </c>
      <c r="C50" s="142" t="s">
        <v>84</v>
      </c>
      <c r="D50" s="9">
        <v>3109895313</v>
      </c>
      <c r="E50" s="3">
        <f t="shared" si="8"/>
        <v>3.2757019732040879E-3</v>
      </c>
      <c r="F50" s="8">
        <v>1</v>
      </c>
      <c r="G50" s="8">
        <v>1</v>
      </c>
      <c r="H50" s="60">
        <v>341</v>
      </c>
      <c r="I50" s="5">
        <v>0.14480985499999999</v>
      </c>
      <c r="J50" s="5">
        <v>0.14480985499999999</v>
      </c>
      <c r="K50" s="9">
        <v>2983157694.52</v>
      </c>
      <c r="L50" s="3">
        <f t="shared" si="7"/>
        <v>3.1422072329796531E-3</v>
      </c>
      <c r="M50" s="8">
        <v>1</v>
      </c>
      <c r="N50" s="8">
        <v>1</v>
      </c>
      <c r="O50" s="60">
        <v>327</v>
      </c>
      <c r="P50" s="5">
        <v>0.1469494338</v>
      </c>
      <c r="Q50" s="5">
        <v>0.1469494338</v>
      </c>
      <c r="R50" s="80">
        <f t="shared" si="9"/>
        <v>-4.0753017617734845E-2</v>
      </c>
      <c r="S50" s="80">
        <f t="shared" si="10"/>
        <v>0</v>
      </c>
      <c r="T50" s="80">
        <f t="shared" si="11"/>
        <v>-4.1055718475073312E-2</v>
      </c>
      <c r="U50" s="81">
        <f t="shared" si="12"/>
        <v>2.1395788000000138E-3</v>
      </c>
      <c r="V50" s="83">
        <f t="shared" si="13"/>
        <v>2.1395788000000138E-3</v>
      </c>
    </row>
    <row r="51" spans="1:22">
      <c r="A51" s="75">
        <v>43</v>
      </c>
      <c r="B51" s="141" t="s">
        <v>85</v>
      </c>
      <c r="C51" s="142" t="s">
        <v>45</v>
      </c>
      <c r="D51" s="9">
        <v>46591398961.139999</v>
      </c>
      <c r="E51" s="3">
        <f t="shared" si="8"/>
        <v>4.9075458223099742E-2</v>
      </c>
      <c r="F51" s="8">
        <v>1</v>
      </c>
      <c r="G51" s="8">
        <v>1</v>
      </c>
      <c r="H51" s="60">
        <v>19608</v>
      </c>
      <c r="I51" s="5">
        <v>0.1192</v>
      </c>
      <c r="J51" s="5">
        <v>0.1192</v>
      </c>
      <c r="K51" s="9">
        <v>46547019127.889999</v>
      </c>
      <c r="L51" s="3">
        <f t="shared" si="7"/>
        <v>4.9028712242056648E-2</v>
      </c>
      <c r="M51" s="8">
        <v>1</v>
      </c>
      <c r="N51" s="8">
        <v>1</v>
      </c>
      <c r="O51" s="60">
        <v>19753</v>
      </c>
      <c r="P51" s="5">
        <v>0.1197</v>
      </c>
      <c r="Q51" s="5">
        <v>0.1197</v>
      </c>
      <c r="R51" s="80">
        <f t="shared" si="9"/>
        <v>-9.5253274723550206E-4</v>
      </c>
      <c r="S51" s="80">
        <f t="shared" si="10"/>
        <v>0</v>
      </c>
      <c r="T51" s="80">
        <f t="shared" si="11"/>
        <v>7.3949408404732761E-3</v>
      </c>
      <c r="U51" s="81">
        <f t="shared" si="12"/>
        <v>5.0000000000000044E-4</v>
      </c>
      <c r="V51" s="83">
        <f t="shared" si="13"/>
        <v>5.0000000000000044E-4</v>
      </c>
    </row>
    <row r="52" spans="1:22">
      <c r="A52" s="75">
        <v>44</v>
      </c>
      <c r="B52" s="141" t="s">
        <v>86</v>
      </c>
      <c r="C52" s="142" t="s">
        <v>87</v>
      </c>
      <c r="D52" s="9">
        <v>1452830270.2299998</v>
      </c>
      <c r="E52" s="3">
        <f t="shared" si="8"/>
        <v>1.5302891267848407E-3</v>
      </c>
      <c r="F52" s="8">
        <v>1</v>
      </c>
      <c r="G52" s="8">
        <v>1</v>
      </c>
      <c r="H52" s="60">
        <v>75</v>
      </c>
      <c r="I52" s="5">
        <v>9.6500000000000002E-2</v>
      </c>
      <c r="J52" s="5">
        <v>9.6500000000000002E-2</v>
      </c>
      <c r="K52" s="9">
        <v>1413269665.8699999</v>
      </c>
      <c r="L52" s="3">
        <f t="shared" si="7"/>
        <v>1.4886193158360635E-3</v>
      </c>
      <c r="M52" s="8">
        <v>1</v>
      </c>
      <c r="N52" s="8">
        <v>1</v>
      </c>
      <c r="O52" s="60">
        <v>74</v>
      </c>
      <c r="P52" s="5">
        <v>0.10730000000000001</v>
      </c>
      <c r="Q52" s="5">
        <v>0.10730000000000001</v>
      </c>
      <c r="R52" s="80">
        <f t="shared" si="9"/>
        <v>-2.7230024849177321E-2</v>
      </c>
      <c r="S52" s="80">
        <f t="shared" si="10"/>
        <v>0</v>
      </c>
      <c r="T52" s="80">
        <f t="shared" si="11"/>
        <v>-1.3333333333333334E-2</v>
      </c>
      <c r="U52" s="81">
        <f t="shared" si="12"/>
        <v>1.0800000000000004E-2</v>
      </c>
      <c r="V52" s="83">
        <f t="shared" si="13"/>
        <v>1.0800000000000004E-2</v>
      </c>
    </row>
    <row r="53" spans="1:22">
      <c r="A53" s="75">
        <v>45</v>
      </c>
      <c r="B53" s="141" t="s">
        <v>88</v>
      </c>
      <c r="C53" s="142" t="s">
        <v>89</v>
      </c>
      <c r="D53" s="9">
        <v>1050165205</v>
      </c>
      <c r="E53" s="3">
        <f t="shared" si="8"/>
        <v>1.1061556380463201E-3</v>
      </c>
      <c r="F53" s="8">
        <v>1</v>
      </c>
      <c r="G53" s="8">
        <v>1</v>
      </c>
      <c r="H53" s="60">
        <v>210</v>
      </c>
      <c r="I53" s="5">
        <v>0.1094</v>
      </c>
      <c r="J53" s="5">
        <v>0.1094</v>
      </c>
      <c r="K53" s="9">
        <v>1002572591.71</v>
      </c>
      <c r="L53" s="3">
        <f t="shared" si="7"/>
        <v>1.0560255849180681E-3</v>
      </c>
      <c r="M53" s="8">
        <v>1</v>
      </c>
      <c r="N53" s="8">
        <v>1</v>
      </c>
      <c r="O53" s="60">
        <v>210</v>
      </c>
      <c r="P53" s="5">
        <v>0.11070000000000001</v>
      </c>
      <c r="Q53" s="5">
        <v>0.11070000000000001</v>
      </c>
      <c r="R53" s="80">
        <f t="shared" si="9"/>
        <v>-4.5319167939867101E-2</v>
      </c>
      <c r="S53" s="80">
        <f t="shared" si="10"/>
        <v>0</v>
      </c>
      <c r="T53" s="80">
        <f t="shared" si="11"/>
        <v>0</v>
      </c>
      <c r="U53" s="81">
        <f t="shared" si="12"/>
        <v>1.3000000000000095E-3</v>
      </c>
      <c r="V53" s="83">
        <f t="shared" si="13"/>
        <v>1.3000000000000095E-3</v>
      </c>
    </row>
    <row r="54" spans="1:22">
      <c r="A54" s="75">
        <v>46</v>
      </c>
      <c r="B54" s="141" t="s">
        <v>90</v>
      </c>
      <c r="C54" s="142" t="s">
        <v>91</v>
      </c>
      <c r="D54" s="9">
        <v>31577568510.599998</v>
      </c>
      <c r="E54" s="3">
        <f t="shared" si="8"/>
        <v>3.3261152890505574E-2</v>
      </c>
      <c r="F54" s="8">
        <v>1</v>
      </c>
      <c r="G54" s="8">
        <v>1</v>
      </c>
      <c r="H54" s="60">
        <v>3286</v>
      </c>
      <c r="I54" s="5">
        <v>0.11840000000000001</v>
      </c>
      <c r="J54" s="5">
        <v>0.11840000000000001</v>
      </c>
      <c r="K54" s="9">
        <v>31577568510.599998</v>
      </c>
      <c r="L54" s="3">
        <f t="shared" si="7"/>
        <v>3.3261152890505574E-2</v>
      </c>
      <c r="M54" s="8">
        <v>1</v>
      </c>
      <c r="N54" s="8">
        <v>1</v>
      </c>
      <c r="O54" s="60">
        <v>3286</v>
      </c>
      <c r="P54" s="5">
        <v>0.11840000000000001</v>
      </c>
      <c r="Q54" s="5">
        <v>0.11840000000000001</v>
      </c>
      <c r="R54" s="80">
        <f t="shared" si="9"/>
        <v>0</v>
      </c>
      <c r="S54" s="80">
        <f t="shared" si="10"/>
        <v>0</v>
      </c>
      <c r="T54" s="80">
        <f t="shared" si="11"/>
        <v>0</v>
      </c>
      <c r="U54" s="81">
        <f t="shared" si="12"/>
        <v>0</v>
      </c>
      <c r="V54" s="83">
        <f t="shared" si="13"/>
        <v>0</v>
      </c>
    </row>
    <row r="55" spans="1:22">
      <c r="A55" s="75"/>
      <c r="B55" s="19"/>
      <c r="C55" s="71" t="s">
        <v>46</v>
      </c>
      <c r="D55" s="59">
        <f>SUM(D25:D54)</f>
        <v>966685157443.69678</v>
      </c>
      <c r="E55" s="100">
        <f>(D55/$D$183)</f>
        <v>0.34475047075390852</v>
      </c>
      <c r="F55" s="30"/>
      <c r="G55" s="11"/>
      <c r="H55" s="65">
        <f>SUM(H25:H54)</f>
        <v>274161</v>
      </c>
      <c r="I55" s="32"/>
      <c r="J55" s="32"/>
      <c r="K55" s="59">
        <f>SUM(K25:K54)</f>
        <v>949382861578.85535</v>
      </c>
      <c r="L55" s="100">
        <f>(K55/$K$183)</f>
        <v>0.33688773644230702</v>
      </c>
      <c r="M55" s="30"/>
      <c r="N55" s="11"/>
      <c r="O55" s="65">
        <f>SUM(O25:O54)</f>
        <v>274893</v>
      </c>
      <c r="P55" s="32"/>
      <c r="Q55" s="32"/>
      <c r="R55" s="80">
        <f t="shared" si="9"/>
        <v>-1.7898584385629381E-2</v>
      </c>
      <c r="S55" s="80" t="e">
        <f t="shared" si="10"/>
        <v>#DIV/0!</v>
      </c>
      <c r="T55" s="80">
        <f t="shared" si="11"/>
        <v>2.6699639992559115E-3</v>
      </c>
      <c r="U55" s="81">
        <f t="shared" si="12"/>
        <v>0</v>
      </c>
      <c r="V55" s="83">
        <f t="shared" si="13"/>
        <v>0</v>
      </c>
    </row>
    <row r="56" spans="1:22" ht="9" customHeight="1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</row>
    <row r="57" spans="1:22" ht="15" customHeight="1">
      <c r="A57" s="154" t="s">
        <v>92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</row>
    <row r="58" spans="1:22">
      <c r="A58" s="75">
        <v>47</v>
      </c>
      <c r="B58" s="141" t="s">
        <v>93</v>
      </c>
      <c r="C58" s="142" t="s">
        <v>19</v>
      </c>
      <c r="D58" s="2">
        <v>462647725.98000002</v>
      </c>
      <c r="E58" s="3">
        <f>(D58/$D$91)</f>
        <v>1.6317054600153962E-3</v>
      </c>
      <c r="F58" s="14">
        <v>1.246</v>
      </c>
      <c r="G58" s="14">
        <v>1.246</v>
      </c>
      <c r="H58" s="60">
        <v>396</v>
      </c>
      <c r="I58" s="5">
        <v>3.21E-4</v>
      </c>
      <c r="J58" s="5">
        <v>-2.6599999999999999E-2</v>
      </c>
      <c r="K58" s="2">
        <v>446053573.60000002</v>
      </c>
      <c r="L58" s="3">
        <f t="shared" ref="L58:L78" si="14">(K58/$K$91)</f>
        <v>1.5829820333132262E-3</v>
      </c>
      <c r="M58" s="14">
        <v>1.2139</v>
      </c>
      <c r="N58" s="14">
        <v>1.2139</v>
      </c>
      <c r="O58" s="60">
        <v>397</v>
      </c>
      <c r="P58" s="5">
        <v>4.1199999999999999E-4</v>
      </c>
      <c r="Q58" s="5">
        <v>-5.1700000000000003E-2</v>
      </c>
      <c r="R58" s="80">
        <f>((K58-D58)/D58)</f>
        <v>-3.5867791946560548E-2</v>
      </c>
      <c r="S58" s="80">
        <f>((N58-G58)/G58)</f>
        <v>-2.5762439807383641E-2</v>
      </c>
      <c r="T58" s="80">
        <f>((O58-H58)/H58)</f>
        <v>2.5252525252525255E-3</v>
      </c>
      <c r="U58" s="81">
        <f>P58-I58</f>
        <v>9.0999999999999989E-5</v>
      </c>
      <c r="V58" s="83">
        <f>Q58-J58</f>
        <v>-2.5100000000000004E-2</v>
      </c>
    </row>
    <row r="59" spans="1:22">
      <c r="A59" s="75">
        <v>48</v>
      </c>
      <c r="B59" s="141" t="s">
        <v>94</v>
      </c>
      <c r="C59" s="142" t="s">
        <v>21</v>
      </c>
      <c r="D59" s="2">
        <v>1355547495.26</v>
      </c>
      <c r="E59" s="3">
        <f>(D59/$D$91)</f>
        <v>4.7808605232862499E-3</v>
      </c>
      <c r="F59" s="14">
        <v>1.1044</v>
      </c>
      <c r="G59" s="14">
        <v>1.1044</v>
      </c>
      <c r="H59" s="60">
        <v>584</v>
      </c>
      <c r="I59" s="5">
        <v>0.17100000000000001</v>
      </c>
      <c r="J59" s="5">
        <v>-0.3745</v>
      </c>
      <c r="K59" s="2">
        <v>1356113488.47</v>
      </c>
      <c r="L59" s="3">
        <f t="shared" si="14"/>
        <v>4.8126579730236535E-3</v>
      </c>
      <c r="M59" s="14">
        <v>1.101</v>
      </c>
      <c r="N59" s="14">
        <v>1.101</v>
      </c>
      <c r="O59" s="60">
        <v>584</v>
      </c>
      <c r="P59" s="5">
        <v>-0.161</v>
      </c>
      <c r="Q59" s="5">
        <v>-0.3458</v>
      </c>
      <c r="R59" s="80">
        <f t="shared" ref="R59:R91" si="15">((K59-D59)/D59)</f>
        <v>4.1753845732382704E-4</v>
      </c>
      <c r="S59" s="80">
        <f t="shared" ref="S59:S91" si="16">((N59-G59)/G59)</f>
        <v>-3.0785947120609103E-3</v>
      </c>
      <c r="T59" s="80">
        <f t="shared" ref="T59:T91" si="17">((O59-H59)/H59)</f>
        <v>0</v>
      </c>
      <c r="U59" s="81">
        <f t="shared" ref="U59:U91" si="18">P59-I59</f>
        <v>-0.33200000000000002</v>
      </c>
      <c r="V59" s="83">
        <f t="shared" ref="V59:V91" si="19">Q59-J59</f>
        <v>2.8700000000000003E-2</v>
      </c>
    </row>
    <row r="60" spans="1:22">
      <c r="A60" s="75">
        <v>49</v>
      </c>
      <c r="B60" s="141" t="s">
        <v>95</v>
      </c>
      <c r="C60" s="142" t="s">
        <v>21</v>
      </c>
      <c r="D60" s="2">
        <v>1018086030.04</v>
      </c>
      <c r="E60" s="3">
        <f>(D60/$D$91)</f>
        <v>3.5906726450731113E-3</v>
      </c>
      <c r="F60" s="14">
        <v>1.0143</v>
      </c>
      <c r="G60" s="14">
        <v>1.0143</v>
      </c>
      <c r="H60" s="60">
        <v>145</v>
      </c>
      <c r="I60" s="5">
        <v>9.2999999999999999E-2</v>
      </c>
      <c r="J60" s="5">
        <v>-0.40679999999999999</v>
      </c>
      <c r="K60" s="2">
        <v>1016724174.46</v>
      </c>
      <c r="L60" s="3">
        <f t="shared" si="14"/>
        <v>3.6082125472414379E-3</v>
      </c>
      <c r="M60" s="14">
        <v>1.016</v>
      </c>
      <c r="N60" s="14">
        <v>1.016</v>
      </c>
      <c r="O60" s="60">
        <v>144</v>
      </c>
      <c r="P60" s="5">
        <v>8.7599999999999997E-2</v>
      </c>
      <c r="Q60" s="5">
        <v>-0.34329999999999999</v>
      </c>
      <c r="R60" s="80">
        <f t="shared" si="15"/>
        <v>-1.3376625744942372E-3</v>
      </c>
      <c r="S60" s="80">
        <f t="shared" si="16"/>
        <v>1.6760327319333874E-3</v>
      </c>
      <c r="T60" s="80">
        <f t="shared" si="17"/>
        <v>-6.8965517241379309E-3</v>
      </c>
      <c r="U60" s="81">
        <f t="shared" si="18"/>
        <v>-5.400000000000002E-3</v>
      </c>
      <c r="V60" s="83">
        <f t="shared" si="19"/>
        <v>6.3500000000000001E-2</v>
      </c>
    </row>
    <row r="61" spans="1:22">
      <c r="A61" s="75">
        <v>50</v>
      </c>
      <c r="B61" s="141" t="s">
        <v>96</v>
      </c>
      <c r="C61" s="142" t="s">
        <v>97</v>
      </c>
      <c r="D61" s="2">
        <v>268569354.38</v>
      </c>
      <c r="E61" s="3">
        <f>(D61/$D$91)</f>
        <v>9.472133057746837E-4</v>
      </c>
      <c r="F61" s="7">
        <v>1140.45</v>
      </c>
      <c r="G61" s="7">
        <v>1140.45</v>
      </c>
      <c r="H61" s="60">
        <v>116</v>
      </c>
      <c r="I61" s="5">
        <v>-5.9999999999999995E-4</v>
      </c>
      <c r="J61" s="5">
        <v>1.9599999999999999E-2</v>
      </c>
      <c r="K61" s="2">
        <v>268569354.38</v>
      </c>
      <c r="L61" s="3">
        <f t="shared" si="14"/>
        <v>9.5311524858069827E-4</v>
      </c>
      <c r="M61" s="7">
        <v>1131.6300000000001</v>
      </c>
      <c r="N61" s="7">
        <v>1131.6300000000001</v>
      </c>
      <c r="O61" s="60">
        <v>116</v>
      </c>
      <c r="P61" s="5">
        <v>-8.2000000000000007E-3</v>
      </c>
      <c r="Q61" s="5">
        <v>1.9599999999999999E-2</v>
      </c>
      <c r="R61" s="80">
        <f t="shared" si="15"/>
        <v>0</v>
      </c>
      <c r="S61" s="80">
        <f t="shared" si="16"/>
        <v>-7.7337892936997993E-3</v>
      </c>
      <c r="T61" s="80">
        <f t="shared" si="17"/>
        <v>0</v>
      </c>
      <c r="U61" s="81">
        <f t="shared" si="18"/>
        <v>-7.6000000000000009E-3</v>
      </c>
      <c r="V61" s="83">
        <f t="shared" si="19"/>
        <v>0</v>
      </c>
    </row>
    <row r="62" spans="1:22" ht="15" customHeight="1">
      <c r="A62" s="75">
        <v>51</v>
      </c>
      <c r="B62" s="141" t="s">
        <v>98</v>
      </c>
      <c r="C62" s="142" t="s">
        <v>99</v>
      </c>
      <c r="D62" s="2">
        <v>1631425935.1700001</v>
      </c>
      <c r="E62" s="3">
        <f>(D62/$K$91)</f>
        <v>5.7897035174775211E-3</v>
      </c>
      <c r="F62" s="7">
        <v>1.0273000000000001</v>
      </c>
      <c r="G62" s="7">
        <v>1.0273000000000001</v>
      </c>
      <c r="H62" s="60">
        <v>825</v>
      </c>
      <c r="I62" s="5">
        <v>1.9E-3</v>
      </c>
      <c r="J62" s="5">
        <v>1.0500000000000001E-2</v>
      </c>
      <c r="K62" s="2">
        <v>1643743088.26</v>
      </c>
      <c r="L62" s="3">
        <f t="shared" si="14"/>
        <v>5.8334153790049956E-3</v>
      </c>
      <c r="M62" s="7">
        <v>1.0287999999999999</v>
      </c>
      <c r="N62" s="7">
        <v>1.0287999999999999</v>
      </c>
      <c r="O62" s="60">
        <v>825</v>
      </c>
      <c r="P62" s="5">
        <v>1.5E-3</v>
      </c>
      <c r="Q62" s="5">
        <v>1.1900000000000001E-2</v>
      </c>
      <c r="R62" s="80">
        <f t="shared" si="15"/>
        <v>7.5499309067416694E-3</v>
      </c>
      <c r="S62" s="80">
        <f t="shared" si="16"/>
        <v>1.4601382264186067E-3</v>
      </c>
      <c r="T62" s="80">
        <f t="shared" si="17"/>
        <v>0</v>
      </c>
      <c r="U62" s="81">
        <f t="shared" si="18"/>
        <v>-3.9999999999999996E-4</v>
      </c>
      <c r="V62" s="83">
        <v>7.87</v>
      </c>
    </row>
    <row r="63" spans="1:22">
      <c r="A63" s="75">
        <v>52</v>
      </c>
      <c r="B63" s="141" t="s">
        <v>100</v>
      </c>
      <c r="C63" s="142" t="s">
        <v>101</v>
      </c>
      <c r="D63" s="2">
        <v>399425186.9573794</v>
      </c>
      <c r="E63" s="3">
        <f t="shared" ref="E63:E78" si="20">(D63/$D$91)</f>
        <v>1.4087268170301153E-3</v>
      </c>
      <c r="F63" s="7">
        <v>2.2656999999999998</v>
      </c>
      <c r="G63" s="7">
        <v>2.2656999999999998</v>
      </c>
      <c r="H63" s="60">
        <v>1398</v>
      </c>
      <c r="I63" s="5">
        <v>9.9400000000000002E-2</v>
      </c>
      <c r="J63" s="5">
        <v>9.9599999999999994E-2</v>
      </c>
      <c r="K63" s="2">
        <v>400197354.91140842</v>
      </c>
      <c r="L63" s="3">
        <f t="shared" si="14"/>
        <v>1.4202446972711264E-3</v>
      </c>
      <c r="M63" s="7">
        <v>2.2700999999999998</v>
      </c>
      <c r="N63" s="7">
        <v>2.2700999999999998</v>
      </c>
      <c r="O63" s="60">
        <v>1398</v>
      </c>
      <c r="P63" s="5">
        <v>0.10150000000000001</v>
      </c>
      <c r="Q63" s="5">
        <v>0.1</v>
      </c>
      <c r="R63" s="80">
        <f t="shared" si="15"/>
        <v>1.9331979535667531E-3</v>
      </c>
      <c r="S63" s="80">
        <f t="shared" si="16"/>
        <v>1.9420046784657985E-3</v>
      </c>
      <c r="T63" s="80">
        <f t="shared" si="17"/>
        <v>0</v>
      </c>
      <c r="U63" s="81">
        <f t="shared" si="18"/>
        <v>2.1000000000000046E-3</v>
      </c>
      <c r="V63" s="83">
        <f t="shared" si="19"/>
        <v>4.0000000000001146E-4</v>
      </c>
    </row>
    <row r="64" spans="1:22">
      <c r="A64" s="75">
        <v>53</v>
      </c>
      <c r="B64" s="141" t="s">
        <v>102</v>
      </c>
      <c r="C64" s="142" t="s">
        <v>56</v>
      </c>
      <c r="D64" s="2">
        <v>2600832005.3614535</v>
      </c>
      <c r="E64" s="3">
        <f t="shared" si="20"/>
        <v>9.1728361459935768E-3</v>
      </c>
      <c r="F64" s="2">
        <v>4039.8578947168185</v>
      </c>
      <c r="G64" s="2">
        <v>4039.8578947168185</v>
      </c>
      <c r="H64" s="60">
        <v>1050</v>
      </c>
      <c r="I64" s="5">
        <v>7.8568785734205532E-2</v>
      </c>
      <c r="J64" s="5">
        <v>8.0184271416475383E-2</v>
      </c>
      <c r="K64" s="2">
        <v>2607031388.0695128</v>
      </c>
      <c r="L64" s="3">
        <f t="shared" si="14"/>
        <v>9.2519914464321198E-3</v>
      </c>
      <c r="M64" s="2">
        <v>4045.7023297422957</v>
      </c>
      <c r="N64" s="2">
        <v>4045.7023297422957</v>
      </c>
      <c r="O64" s="60">
        <v>1051</v>
      </c>
      <c r="P64" s="5">
        <v>7.5641388352582689E-2</v>
      </c>
      <c r="Q64" s="5">
        <v>7.9696343907535258E-2</v>
      </c>
      <c r="R64" s="80">
        <f t="shared" si="15"/>
        <v>2.383615202858035E-3</v>
      </c>
      <c r="S64" s="80">
        <f t="shared" si="16"/>
        <v>1.4466932198581388E-3</v>
      </c>
      <c r="T64" s="80">
        <f t="shared" si="17"/>
        <v>9.5238095238095238E-4</v>
      </c>
      <c r="U64" s="81">
        <f t="shared" si="18"/>
        <v>-2.9273973816228427E-3</v>
      </c>
      <c r="V64" s="83">
        <f t="shared" si="19"/>
        <v>-4.8792750894012527E-4</v>
      </c>
    </row>
    <row r="65" spans="1:22">
      <c r="A65" s="75">
        <v>54</v>
      </c>
      <c r="B65" s="141" t="s">
        <v>103</v>
      </c>
      <c r="C65" s="142" t="s">
        <v>58</v>
      </c>
      <c r="D65" s="2">
        <v>354940287.87</v>
      </c>
      <c r="E65" s="3">
        <f t="shared" si="20"/>
        <v>1.2518336807343395E-3</v>
      </c>
      <c r="F65" s="14">
        <v>108.88</v>
      </c>
      <c r="G65" s="14">
        <v>108.88</v>
      </c>
      <c r="H65" s="60">
        <v>125</v>
      </c>
      <c r="I65" s="5">
        <v>1.9E-3</v>
      </c>
      <c r="J65" s="5">
        <v>8.4599999999999995E-2</v>
      </c>
      <c r="K65" s="2">
        <v>344561078.86000001</v>
      </c>
      <c r="L65" s="3">
        <f t="shared" si="14"/>
        <v>1.222799299223912E-3</v>
      </c>
      <c r="M65" s="14">
        <v>109.15</v>
      </c>
      <c r="N65" s="14">
        <v>109.15</v>
      </c>
      <c r="O65" s="60">
        <v>125</v>
      </c>
      <c r="P65" s="5">
        <v>2.5000000000000001E-3</v>
      </c>
      <c r="Q65" s="5">
        <v>0.10440000000000001</v>
      </c>
      <c r="R65" s="80">
        <f t="shared" si="15"/>
        <v>-2.9242127097731625E-2</v>
      </c>
      <c r="S65" s="80">
        <f t="shared" si="16"/>
        <v>2.4797942689200061E-3</v>
      </c>
      <c r="T65" s="80">
        <f t="shared" si="17"/>
        <v>0</v>
      </c>
      <c r="U65" s="81">
        <f t="shared" si="18"/>
        <v>6.0000000000000006E-4</v>
      </c>
      <c r="V65" s="83">
        <f t="shared" si="19"/>
        <v>1.9800000000000012E-2</v>
      </c>
    </row>
    <row r="66" spans="1:22">
      <c r="A66" s="75">
        <v>55</v>
      </c>
      <c r="B66" s="141" t="s">
        <v>104</v>
      </c>
      <c r="C66" s="142" t="s">
        <v>105</v>
      </c>
      <c r="D66" s="2">
        <v>318030804</v>
      </c>
      <c r="E66" s="3">
        <f t="shared" si="20"/>
        <v>1.1216581649475554E-3</v>
      </c>
      <c r="F66" s="14">
        <v>1.3466</v>
      </c>
      <c r="G66" s="14">
        <v>1.3466</v>
      </c>
      <c r="H66" s="60">
        <v>315</v>
      </c>
      <c r="I66" s="5">
        <v>-1.0435038212815995E-2</v>
      </c>
      <c r="J66" s="5">
        <v>8.9557694904146556E-3</v>
      </c>
      <c r="K66" s="2">
        <v>315068257.52999997</v>
      </c>
      <c r="L66" s="3">
        <f t="shared" si="14"/>
        <v>1.1181333823020727E-3</v>
      </c>
      <c r="M66" s="14">
        <v>1.3325</v>
      </c>
      <c r="N66" s="14">
        <v>1.3325</v>
      </c>
      <c r="O66" s="60">
        <v>316</v>
      </c>
      <c r="P66" s="5">
        <v>-1.0500000000000001E-2</v>
      </c>
      <c r="Q66" s="5">
        <v>-1.1999999999999999E-3</v>
      </c>
      <c r="R66" s="80">
        <f t="shared" si="15"/>
        <v>-9.3152815159377733E-3</v>
      </c>
      <c r="S66" s="80">
        <f t="shared" si="16"/>
        <v>-1.0470815386900343E-2</v>
      </c>
      <c r="T66" s="80">
        <f t="shared" si="17"/>
        <v>3.1746031746031746E-3</v>
      </c>
      <c r="U66" s="81">
        <f t="shared" si="18"/>
        <v>-6.4961787184006012E-5</v>
      </c>
      <c r="V66" s="83">
        <f t="shared" si="19"/>
        <v>-1.0155769490414655E-2</v>
      </c>
    </row>
    <row r="67" spans="1:22">
      <c r="A67" s="75">
        <v>56</v>
      </c>
      <c r="B67" s="141" t="s">
        <v>106</v>
      </c>
      <c r="C67" s="142" t="s">
        <v>25</v>
      </c>
      <c r="D67" s="2">
        <v>73703454.430000007</v>
      </c>
      <c r="E67" s="3">
        <f t="shared" si="20"/>
        <v>2.5994362937952886E-4</v>
      </c>
      <c r="F67" s="14">
        <v>113.9945</v>
      </c>
      <c r="G67" s="14">
        <v>113.9945</v>
      </c>
      <c r="H67" s="60">
        <v>90</v>
      </c>
      <c r="I67" s="5">
        <v>3.1749999999999999E-3</v>
      </c>
      <c r="J67" s="5">
        <v>0.34889999999999999</v>
      </c>
      <c r="K67" s="2">
        <v>74063833.900000006</v>
      </c>
      <c r="L67" s="3">
        <f t="shared" si="14"/>
        <v>2.6284223537491926E-4</v>
      </c>
      <c r="M67" s="14">
        <v>114.2419</v>
      </c>
      <c r="N67" s="14">
        <v>114.2419</v>
      </c>
      <c r="O67" s="60">
        <v>91</v>
      </c>
      <c r="P67" s="5">
        <v>3.0800000000000001E-4</v>
      </c>
      <c r="Q67" s="5">
        <v>0.13009999999999999</v>
      </c>
      <c r="R67" s="80">
        <f t="shared" si="15"/>
        <v>4.889587235592463E-3</v>
      </c>
      <c r="S67" s="80">
        <f t="shared" si="16"/>
        <v>2.1702801450947102E-3</v>
      </c>
      <c r="T67" s="80">
        <f t="shared" si="17"/>
        <v>1.1111111111111112E-2</v>
      </c>
      <c r="U67" s="81">
        <f t="shared" si="18"/>
        <v>-2.8669999999999998E-3</v>
      </c>
      <c r="V67" s="83">
        <f t="shared" si="19"/>
        <v>-0.21879999999999999</v>
      </c>
    </row>
    <row r="68" spans="1:22">
      <c r="A68" s="75">
        <v>57</v>
      </c>
      <c r="B68" s="141" t="s">
        <v>107</v>
      </c>
      <c r="C68" s="142" t="s">
        <v>108</v>
      </c>
      <c r="D68" s="2">
        <v>1188438331.77</v>
      </c>
      <c r="E68" s="3">
        <f t="shared" si="20"/>
        <v>4.1914856724585472E-3</v>
      </c>
      <c r="F68" s="7">
        <v>1000</v>
      </c>
      <c r="G68" s="7">
        <v>1000</v>
      </c>
      <c r="H68" s="60">
        <v>280</v>
      </c>
      <c r="I68" s="5">
        <v>4.8674818014193798E-5</v>
      </c>
      <c r="J68" s="5">
        <v>0.15090000000000001</v>
      </c>
      <c r="K68" s="2">
        <v>1202798675.78</v>
      </c>
      <c r="L68" s="3">
        <f t="shared" si="14"/>
        <v>4.2685650472113609E-3</v>
      </c>
      <c r="M68" s="7">
        <v>1000</v>
      </c>
      <c r="N68" s="7">
        <v>1000</v>
      </c>
      <c r="O68" s="60">
        <v>281</v>
      </c>
      <c r="P68" s="5">
        <v>1.20833733026875E-4</v>
      </c>
      <c r="Q68" s="5">
        <v>0.151</v>
      </c>
      <c r="R68" s="80">
        <f t="shared" si="15"/>
        <v>1.2083373302687418E-2</v>
      </c>
      <c r="S68" s="80">
        <f t="shared" si="16"/>
        <v>0</v>
      </c>
      <c r="T68" s="80">
        <f t="shared" si="17"/>
        <v>3.5714285714285713E-3</v>
      </c>
      <c r="U68" s="81">
        <f t="shared" si="18"/>
        <v>7.2158915012681193E-5</v>
      </c>
      <c r="V68" s="83">
        <f t="shared" si="19"/>
        <v>9.9999999999988987E-5</v>
      </c>
    </row>
    <row r="69" spans="1:22">
      <c r="A69" s="75">
        <v>58</v>
      </c>
      <c r="B69" s="141" t="s">
        <v>109</v>
      </c>
      <c r="C69" s="142" t="s">
        <v>64</v>
      </c>
      <c r="D69" s="2">
        <v>215178459.41</v>
      </c>
      <c r="E69" s="3">
        <f t="shared" si="20"/>
        <v>7.5890974359220451E-4</v>
      </c>
      <c r="F69" s="7">
        <v>1057.3399999999999</v>
      </c>
      <c r="G69" s="7">
        <v>1061.68</v>
      </c>
      <c r="H69" s="60">
        <v>78</v>
      </c>
      <c r="I69" s="5">
        <v>-8.0000000000000004E-4</v>
      </c>
      <c r="J69" s="5">
        <v>8.9999999999999998E-4</v>
      </c>
      <c r="K69" s="2">
        <v>214913952.75999999</v>
      </c>
      <c r="L69" s="3">
        <f t="shared" si="14"/>
        <v>7.626996981140371E-4</v>
      </c>
      <c r="M69" s="7">
        <v>1055.8</v>
      </c>
      <c r="N69" s="7">
        <v>1060.75</v>
      </c>
      <c r="O69" s="60">
        <v>78</v>
      </c>
      <c r="P69" s="5">
        <v>-1.1000000000000001E-3</v>
      </c>
      <c r="Q69" s="5">
        <v>-2.0000000000000001E-4</v>
      </c>
      <c r="R69" s="80">
        <f t="shared" si="15"/>
        <v>-1.2292431627462126E-3</v>
      </c>
      <c r="S69" s="80">
        <f t="shared" si="16"/>
        <v>-8.75970160500399E-4</v>
      </c>
      <c r="T69" s="80">
        <f t="shared" si="17"/>
        <v>0</v>
      </c>
      <c r="U69" s="81">
        <f t="shared" si="18"/>
        <v>-3.0000000000000003E-4</v>
      </c>
      <c r="V69" s="83">
        <f t="shared" si="19"/>
        <v>-1.1000000000000001E-3</v>
      </c>
    </row>
    <row r="70" spans="1:22">
      <c r="A70" s="75">
        <v>59</v>
      </c>
      <c r="B70" s="141" t="s">
        <v>110</v>
      </c>
      <c r="C70" s="142" t="s">
        <v>67</v>
      </c>
      <c r="D70" s="2">
        <v>752048372.5</v>
      </c>
      <c r="E70" s="3">
        <f t="shared" si="20"/>
        <v>2.6523883436465659E-3</v>
      </c>
      <c r="F70" s="15">
        <v>1.1076999999999999</v>
      </c>
      <c r="G70" s="15">
        <v>1.1076999999999999</v>
      </c>
      <c r="H70" s="60">
        <v>36</v>
      </c>
      <c r="I70" s="5">
        <v>1.4465238224390415E-3</v>
      </c>
      <c r="J70" s="5">
        <v>7.6443335022238212E-3</v>
      </c>
      <c r="K70" s="2">
        <v>862399537.65999997</v>
      </c>
      <c r="L70" s="3">
        <f t="shared" si="14"/>
        <v>3.0605358962500486E-3</v>
      </c>
      <c r="M70" s="15">
        <v>1.1211</v>
      </c>
      <c r="N70" s="15">
        <v>1.1211</v>
      </c>
      <c r="O70" s="60">
        <v>36</v>
      </c>
      <c r="P70" s="5">
        <v>1.2097138214318027E-2</v>
      </c>
      <c r="Q70" s="5">
        <v>5.3353939291894692E-2</v>
      </c>
      <c r="R70" s="80">
        <f t="shared" si="15"/>
        <v>0.14673413199893598</v>
      </c>
      <c r="S70" s="80">
        <f t="shared" si="16"/>
        <v>1.2097138214318027E-2</v>
      </c>
      <c r="T70" s="80">
        <f t="shared" si="17"/>
        <v>0</v>
      </c>
      <c r="U70" s="81">
        <f t="shared" si="18"/>
        <v>1.0650614391878985E-2</v>
      </c>
      <c r="V70" s="83">
        <f t="shared" si="19"/>
        <v>4.5709605789670871E-2</v>
      </c>
    </row>
    <row r="71" spans="1:22">
      <c r="A71" s="75">
        <v>60</v>
      </c>
      <c r="B71" s="141" t="s">
        <v>111</v>
      </c>
      <c r="C71" s="142" t="s">
        <v>27</v>
      </c>
      <c r="D71" s="2">
        <v>63284691592.440002</v>
      </c>
      <c r="E71" s="3">
        <f t="shared" si="20"/>
        <v>0.22319784796962072</v>
      </c>
      <c r="F71" s="15">
        <v>1570.41</v>
      </c>
      <c r="G71" s="2">
        <v>1570.41</v>
      </c>
      <c r="H71" s="60">
        <v>2457</v>
      </c>
      <c r="I71" s="5">
        <v>2.0999999999999999E-3</v>
      </c>
      <c r="J71" s="5">
        <v>1.49E-2</v>
      </c>
      <c r="K71" s="2">
        <v>62703406257.099998</v>
      </c>
      <c r="L71" s="3">
        <f t="shared" si="14"/>
        <v>0.22252565926428311</v>
      </c>
      <c r="M71" s="15">
        <v>1574.18</v>
      </c>
      <c r="N71" s="2">
        <v>1574.18</v>
      </c>
      <c r="O71" s="60">
        <v>2464</v>
      </c>
      <c r="P71" s="5">
        <v>2.3999999999999998E-3</v>
      </c>
      <c r="Q71" s="5">
        <v>1.7299999999999999E-2</v>
      </c>
      <c r="R71" s="80">
        <f t="shared" si="15"/>
        <v>-9.1852440252619388E-3</v>
      </c>
      <c r="S71" s="80">
        <f t="shared" si="16"/>
        <v>2.4006469648053578E-3</v>
      </c>
      <c r="T71" s="80">
        <f t="shared" si="17"/>
        <v>2.8490028490028491E-3</v>
      </c>
      <c r="U71" s="81">
        <f t="shared" si="18"/>
        <v>2.9999999999999992E-4</v>
      </c>
      <c r="V71" s="83">
        <f t="shared" si="19"/>
        <v>2.3999999999999994E-3</v>
      </c>
    </row>
    <row r="72" spans="1:22">
      <c r="A72" s="75">
        <v>61</v>
      </c>
      <c r="B72" s="141" t="s">
        <v>112</v>
      </c>
      <c r="C72" s="142" t="s">
        <v>72</v>
      </c>
      <c r="D72" s="2">
        <v>25363551.960000001</v>
      </c>
      <c r="E72" s="3">
        <f t="shared" si="20"/>
        <v>8.9454338353984019E-5</v>
      </c>
      <c r="F72" s="2">
        <v>0.77349999999999997</v>
      </c>
      <c r="G72" s="2">
        <v>0.77349999999999997</v>
      </c>
      <c r="H72" s="60">
        <v>746</v>
      </c>
      <c r="I72" s="5">
        <v>1.1999999999999999E-3</v>
      </c>
      <c r="J72" s="5">
        <v>1.1900000000000001E-2</v>
      </c>
      <c r="K72" s="2">
        <v>25414171.550000001</v>
      </c>
      <c r="L72" s="3">
        <f t="shared" si="14"/>
        <v>9.0191356680546824E-5</v>
      </c>
      <c r="M72" s="2">
        <v>0.77510000000000001</v>
      </c>
      <c r="N72" s="2">
        <v>0.77510000000000001</v>
      </c>
      <c r="O72" s="60">
        <v>746</v>
      </c>
      <c r="P72" s="5">
        <v>3.2000000000000002E-3</v>
      </c>
      <c r="Q72" s="5">
        <v>1.4E-2</v>
      </c>
      <c r="R72" s="80">
        <f t="shared" si="15"/>
        <v>1.9957610858222972E-3</v>
      </c>
      <c r="S72" s="80">
        <f t="shared" si="16"/>
        <v>2.0685197155785985E-3</v>
      </c>
      <c r="T72" s="80">
        <f t="shared" si="17"/>
        <v>0</v>
      </c>
      <c r="U72" s="81">
        <f t="shared" si="18"/>
        <v>2E-3</v>
      </c>
      <c r="V72" s="83">
        <f t="shared" si="19"/>
        <v>2.0999999999999994E-3</v>
      </c>
    </row>
    <row r="73" spans="1:22">
      <c r="A73" s="75">
        <v>62</v>
      </c>
      <c r="B73" s="141" t="s">
        <v>251</v>
      </c>
      <c r="C73" s="142" t="s">
        <v>32</v>
      </c>
      <c r="D73" s="2">
        <v>8745809128.9391994</v>
      </c>
      <c r="E73" s="3">
        <f t="shared" si="20"/>
        <v>3.0845465581213073E-2</v>
      </c>
      <c r="F73" s="14">
        <v>1</v>
      </c>
      <c r="G73" s="14">
        <v>1</v>
      </c>
      <c r="H73" s="60">
        <v>5535</v>
      </c>
      <c r="I73" s="5">
        <v>0.06</v>
      </c>
      <c r="J73" s="5">
        <v>0.06</v>
      </c>
      <c r="K73" s="2">
        <v>8745930252.1884003</v>
      </c>
      <c r="L73" s="3">
        <f t="shared" si="14"/>
        <v>3.1038088860241005E-2</v>
      </c>
      <c r="M73" s="14">
        <v>1</v>
      </c>
      <c r="N73" s="14">
        <v>1</v>
      </c>
      <c r="O73" s="60">
        <v>5538</v>
      </c>
      <c r="P73" s="5">
        <v>0.06</v>
      </c>
      <c r="Q73" s="5">
        <v>0.06</v>
      </c>
      <c r="R73" s="80">
        <f>((K73-D73)/D73)</f>
        <v>1.3849290261781903E-5</v>
      </c>
      <c r="S73" s="80">
        <f>((N73-G73)/G73)</f>
        <v>0</v>
      </c>
      <c r="T73" s="80">
        <f>((O73-H73)/H73)</f>
        <v>5.4200542005420054E-4</v>
      </c>
      <c r="U73" s="81">
        <f>P73-I73</f>
        <v>0</v>
      </c>
      <c r="V73" s="83">
        <f>Q73-J73</f>
        <v>0</v>
      </c>
    </row>
    <row r="74" spans="1:22">
      <c r="A74" s="75">
        <v>63</v>
      </c>
      <c r="B74" s="141" t="s">
        <v>113</v>
      </c>
      <c r="C74" s="142" t="s">
        <v>114</v>
      </c>
      <c r="D74" s="2">
        <v>1048061559.3099999</v>
      </c>
      <c r="E74" s="3">
        <f t="shared" si="20"/>
        <v>3.6963928983675684E-3</v>
      </c>
      <c r="F74" s="2">
        <v>214.52266399999999</v>
      </c>
      <c r="G74" s="2">
        <v>216.874427</v>
      </c>
      <c r="H74" s="60">
        <v>488</v>
      </c>
      <c r="I74" s="5">
        <v>1.5E-3</v>
      </c>
      <c r="J74" s="5">
        <v>-1.1000000000000001E-3</v>
      </c>
      <c r="K74" s="2">
        <v>1059440836.98</v>
      </c>
      <c r="L74" s="3">
        <f t="shared" si="14"/>
        <v>3.7598080355289113E-3</v>
      </c>
      <c r="M74" s="2">
        <v>215.16569200000001</v>
      </c>
      <c r="N74" s="2">
        <v>217.57789600000001</v>
      </c>
      <c r="O74" s="60">
        <v>488</v>
      </c>
      <c r="P74" s="5">
        <v>1.5E-3</v>
      </c>
      <c r="Q74" s="5">
        <v>-1.1000000000000001E-3</v>
      </c>
      <c r="R74" s="80">
        <f t="shared" si="15"/>
        <v>1.0857451615238821E-2</v>
      </c>
      <c r="S74" s="80">
        <f t="shared" si="16"/>
        <v>3.2436696651192191E-3</v>
      </c>
      <c r="T74" s="80">
        <f t="shared" si="17"/>
        <v>0</v>
      </c>
      <c r="U74" s="81">
        <f t="shared" si="18"/>
        <v>0</v>
      </c>
      <c r="V74" s="83">
        <f t="shared" si="19"/>
        <v>0</v>
      </c>
    </row>
    <row r="75" spans="1:22">
      <c r="A75" s="75">
        <v>64</v>
      </c>
      <c r="B75" s="141" t="s">
        <v>115</v>
      </c>
      <c r="C75" s="142" t="s">
        <v>34</v>
      </c>
      <c r="D75" s="2">
        <v>1219258618.55</v>
      </c>
      <c r="E75" s="3">
        <f t="shared" si="20"/>
        <v>4.300185288590109E-3</v>
      </c>
      <c r="F75" s="14">
        <v>3.6</v>
      </c>
      <c r="G75" s="14">
        <v>3.6</v>
      </c>
      <c r="H75" s="61">
        <v>776</v>
      </c>
      <c r="I75" s="12">
        <v>1.1000000000000001E-3</v>
      </c>
      <c r="J75" s="12">
        <v>4.5199999999999997E-2</v>
      </c>
      <c r="K75" s="2">
        <v>1115195798.55</v>
      </c>
      <c r="L75" s="3">
        <f t="shared" si="14"/>
        <v>3.9576746319582587E-3</v>
      </c>
      <c r="M75" s="14">
        <v>3.37</v>
      </c>
      <c r="N75" s="14">
        <v>3.37</v>
      </c>
      <c r="O75" s="61">
        <v>774</v>
      </c>
      <c r="P75" s="12">
        <v>-6.54E-2</v>
      </c>
      <c r="Q75" s="12">
        <v>-0.40620000000000001</v>
      </c>
      <c r="R75" s="80">
        <f t="shared" si="15"/>
        <v>-8.5349259309527317E-2</v>
      </c>
      <c r="S75" s="80">
        <f t="shared" si="16"/>
        <v>-6.3888888888888884E-2</v>
      </c>
      <c r="T75" s="80">
        <f t="shared" si="17"/>
        <v>-2.5773195876288659E-3</v>
      </c>
      <c r="U75" s="81">
        <f t="shared" si="18"/>
        <v>-6.6500000000000004E-2</v>
      </c>
      <c r="V75" s="83">
        <f t="shared" si="19"/>
        <v>-0.45140000000000002</v>
      </c>
    </row>
    <row r="76" spans="1:22">
      <c r="A76" s="75">
        <v>65</v>
      </c>
      <c r="B76" s="141" t="s">
        <v>259</v>
      </c>
      <c r="C76" s="142" t="s">
        <v>36</v>
      </c>
      <c r="D76" s="2">
        <v>525452478.31999999</v>
      </c>
      <c r="E76" s="3">
        <f t="shared" si="20"/>
        <v>1.853210617294658E-3</v>
      </c>
      <c r="F76" s="14">
        <v>103.26985000000001</v>
      </c>
      <c r="G76" s="14">
        <v>103.26985000000001</v>
      </c>
      <c r="H76" s="61">
        <v>75</v>
      </c>
      <c r="I76" s="12">
        <v>2.3818615501600693E-3</v>
      </c>
      <c r="J76" s="12">
        <v>1.5661389586519858E-2</v>
      </c>
      <c r="K76" s="2">
        <v>526273901.31</v>
      </c>
      <c r="L76" s="3">
        <f t="shared" si="14"/>
        <v>1.8676728081153254E-3</v>
      </c>
      <c r="M76" s="14">
        <v>103.4008</v>
      </c>
      <c r="N76" s="14">
        <v>103.4008</v>
      </c>
      <c r="O76" s="61">
        <v>93</v>
      </c>
      <c r="P76" s="12">
        <v>1.2680370892375059E-3</v>
      </c>
      <c r="Q76" s="12">
        <v>1.6949285898622213E-2</v>
      </c>
      <c r="R76" s="80">
        <f t="shared" ref="R76" si="21">((K76-D76)/D76)</f>
        <v>1.5632678955598413E-3</v>
      </c>
      <c r="S76" s="80">
        <f t="shared" ref="S76" si="22">((N76-G76)/G76)</f>
        <v>1.2680370892375514E-3</v>
      </c>
      <c r="T76" s="80">
        <f t="shared" ref="T76" si="23">((O76-H76)/H76)</f>
        <v>0.24</v>
      </c>
      <c r="U76" s="81">
        <f t="shared" ref="U76" si="24">P76-I76</f>
        <v>-1.1138244609225634E-3</v>
      </c>
      <c r="V76" s="83">
        <f t="shared" ref="V76" si="25">Q76-J76</f>
        <v>1.2878963121023546E-3</v>
      </c>
    </row>
    <row r="77" spans="1:22">
      <c r="A77" s="75">
        <v>66</v>
      </c>
      <c r="B77" s="142" t="s">
        <v>116</v>
      </c>
      <c r="C77" s="143" t="s">
        <v>40</v>
      </c>
      <c r="D77" s="2">
        <v>1832105922.9100001</v>
      </c>
      <c r="E77" s="3">
        <f t="shared" si="20"/>
        <v>6.4616274324193392E-3</v>
      </c>
      <c r="F77" s="14">
        <v>99.8</v>
      </c>
      <c r="G77" s="14">
        <v>99.8</v>
      </c>
      <c r="H77" s="60">
        <v>182</v>
      </c>
      <c r="I77" s="5">
        <v>1.9E-3</v>
      </c>
      <c r="J77" s="5">
        <v>1.24E-2</v>
      </c>
      <c r="K77" s="2">
        <v>1958811838.9200001</v>
      </c>
      <c r="L77" s="3">
        <f t="shared" si="14"/>
        <v>6.951550511356785E-3</v>
      </c>
      <c r="M77" s="14">
        <v>99.97</v>
      </c>
      <c r="N77" s="14">
        <v>99.97</v>
      </c>
      <c r="O77" s="60">
        <v>184</v>
      </c>
      <c r="P77" s="5">
        <v>1.6999999999999999E-3</v>
      </c>
      <c r="Q77" s="5">
        <v>1.41E-2</v>
      </c>
      <c r="R77" s="80">
        <f t="shared" si="15"/>
        <v>6.915861928373028E-2</v>
      </c>
      <c r="S77" s="80">
        <f t="shared" si="16"/>
        <v>1.7034068136272717E-3</v>
      </c>
      <c r="T77" s="80">
        <f t="shared" si="17"/>
        <v>1.098901098901099E-2</v>
      </c>
      <c r="U77" s="81">
        <f t="shared" si="18"/>
        <v>-2.0000000000000009E-4</v>
      </c>
      <c r="V77" s="83">
        <f t="shared" si="19"/>
        <v>1.7000000000000001E-3</v>
      </c>
    </row>
    <row r="78" spans="1:22">
      <c r="A78" s="75">
        <v>67</v>
      </c>
      <c r="B78" s="141" t="s">
        <v>117</v>
      </c>
      <c r="C78" s="142" t="s">
        <v>17</v>
      </c>
      <c r="D78" s="2">
        <v>1219320736.21</v>
      </c>
      <c r="E78" s="3">
        <f t="shared" si="20"/>
        <v>4.3004043704515209E-3</v>
      </c>
      <c r="F78" s="14">
        <v>331.33659999999998</v>
      </c>
      <c r="G78" s="14">
        <v>331.33659999999998</v>
      </c>
      <c r="H78" s="60">
        <v>104</v>
      </c>
      <c r="I78" s="5">
        <v>1.6999999999999999E-3</v>
      </c>
      <c r="J78" s="5">
        <v>1.3899999999999999E-2</v>
      </c>
      <c r="K78" s="2">
        <v>1221606605.55</v>
      </c>
      <c r="L78" s="3">
        <f t="shared" si="14"/>
        <v>4.3353117715329232E-3</v>
      </c>
      <c r="M78" s="14">
        <v>332.03870000000001</v>
      </c>
      <c r="N78" s="14">
        <v>332.03870000000001</v>
      </c>
      <c r="O78" s="60">
        <v>104</v>
      </c>
      <c r="P78" s="5">
        <v>2.0999999999999999E-3</v>
      </c>
      <c r="Q78" s="5">
        <v>1.6E-2</v>
      </c>
      <c r="R78" s="80">
        <f t="shared" si="15"/>
        <v>1.8747071809055379E-3</v>
      </c>
      <c r="S78" s="80">
        <f t="shared" si="16"/>
        <v>2.118993193024948E-3</v>
      </c>
      <c r="T78" s="80">
        <f t="shared" si="17"/>
        <v>0</v>
      </c>
      <c r="U78" s="81">
        <f t="shared" si="18"/>
        <v>3.9999999999999996E-4</v>
      </c>
      <c r="V78" s="83">
        <f t="shared" si="19"/>
        <v>2.1000000000000012E-3</v>
      </c>
    </row>
    <row r="79" spans="1:22">
      <c r="A79" s="75">
        <v>68</v>
      </c>
      <c r="B79" s="141" t="s">
        <v>252</v>
      </c>
      <c r="C79" s="142" t="s">
        <v>78</v>
      </c>
      <c r="D79" s="9">
        <v>1435735125</v>
      </c>
      <c r="E79" s="3">
        <f>(D79/$K$55)</f>
        <v>1.5122825396408828E-3</v>
      </c>
      <c r="F79" s="14">
        <v>101.9</v>
      </c>
      <c r="G79" s="14">
        <v>101.9</v>
      </c>
      <c r="H79" s="60">
        <v>293</v>
      </c>
      <c r="I79" s="5">
        <v>2.5000000000000001E-3</v>
      </c>
      <c r="J79" s="5">
        <v>2E-3</v>
      </c>
      <c r="K79" s="9">
        <v>1485540441.55</v>
      </c>
      <c r="L79" s="3">
        <f>(K79/$K$55)</f>
        <v>1.5647432681473697E-3</v>
      </c>
      <c r="M79" s="14">
        <v>102.16</v>
      </c>
      <c r="N79" s="14">
        <v>102.16</v>
      </c>
      <c r="O79" s="60">
        <v>306</v>
      </c>
      <c r="P79" s="5">
        <v>3.3E-3</v>
      </c>
      <c r="Q79" s="5">
        <v>9.9000000000000008E-3</v>
      </c>
      <c r="R79" s="80">
        <f t="shared" si="15"/>
        <v>3.4689766714455741E-2</v>
      </c>
      <c r="S79" s="80">
        <f t="shared" si="16"/>
        <v>2.5515210991166916E-3</v>
      </c>
      <c r="T79" s="80">
        <f t="shared" si="17"/>
        <v>4.4368600682593858E-2</v>
      </c>
      <c r="U79" s="81">
        <f t="shared" si="18"/>
        <v>7.9999999999999993E-4</v>
      </c>
      <c r="V79" s="83">
        <f t="shared" si="19"/>
        <v>7.9000000000000008E-3</v>
      </c>
    </row>
    <row r="80" spans="1:22">
      <c r="A80" s="75">
        <v>69</v>
      </c>
      <c r="B80" s="141" t="s">
        <v>118</v>
      </c>
      <c r="C80" s="142" t="s">
        <v>38</v>
      </c>
      <c r="D80" s="2">
        <v>56142699.770000003</v>
      </c>
      <c r="E80" s="3">
        <f t="shared" ref="E80:E90" si="26">(D80/$D$91)</f>
        <v>1.9800886205733627E-4</v>
      </c>
      <c r="F80" s="14">
        <v>12.246703999999999</v>
      </c>
      <c r="G80" s="2">
        <v>12.524186</v>
      </c>
      <c r="H80" s="60">
        <v>56</v>
      </c>
      <c r="I80" s="5">
        <v>1.6999999999999999E-3</v>
      </c>
      <c r="J80" s="5">
        <v>2.6120000000000001</v>
      </c>
      <c r="K80" s="2">
        <v>56105212.420000002</v>
      </c>
      <c r="L80" s="3">
        <f t="shared" ref="L80:L90" si="27">(K80/$K$91)</f>
        <v>1.9910958793421956E-4</v>
      </c>
      <c r="M80" s="14">
        <v>12.238526999999999</v>
      </c>
      <c r="N80" s="2">
        <v>12.523713000000001</v>
      </c>
      <c r="O80" s="60">
        <v>56</v>
      </c>
      <c r="P80" s="5">
        <v>-2.9999999999999997E-4</v>
      </c>
      <c r="Q80" s="5">
        <v>2.2587999999999999</v>
      </c>
      <c r="R80" s="80">
        <f t="shared" si="15"/>
        <v>-6.6771548489075248E-4</v>
      </c>
      <c r="S80" s="80">
        <f t="shared" si="16"/>
        <v>-3.7766925531088534E-5</v>
      </c>
      <c r="T80" s="80">
        <f t="shared" si="17"/>
        <v>0</v>
      </c>
      <c r="U80" s="81">
        <f t="shared" si="18"/>
        <v>-2E-3</v>
      </c>
      <c r="V80" s="83">
        <f t="shared" si="19"/>
        <v>-0.35320000000000018</v>
      </c>
    </row>
    <row r="81" spans="1:28">
      <c r="A81" s="75">
        <v>70</v>
      </c>
      <c r="B81" s="141" t="s">
        <v>236</v>
      </c>
      <c r="C81" s="142" t="s">
        <v>237</v>
      </c>
      <c r="D81" s="2">
        <v>261095359.36000001</v>
      </c>
      <c r="E81" s="3">
        <f t="shared" si="26"/>
        <v>9.2085338266811466E-4</v>
      </c>
      <c r="F81" s="2">
        <v>115.56</v>
      </c>
      <c r="G81" s="2">
        <v>115.56</v>
      </c>
      <c r="H81" s="60">
        <v>75</v>
      </c>
      <c r="I81" s="5">
        <v>0.12470000000000001</v>
      </c>
      <c r="J81" s="5">
        <v>0.2908</v>
      </c>
      <c r="K81" s="2">
        <v>263610819.31</v>
      </c>
      <c r="L81" s="3">
        <f t="shared" si="27"/>
        <v>9.3551809794246044E-4</v>
      </c>
      <c r="M81" s="2">
        <v>115.82</v>
      </c>
      <c r="N81" s="2">
        <v>115.82</v>
      </c>
      <c r="O81" s="60">
        <v>77</v>
      </c>
      <c r="P81" s="5">
        <v>0.12089999999999999</v>
      </c>
      <c r="Q81" s="5">
        <v>0.26750000000000002</v>
      </c>
      <c r="R81" s="80">
        <f>((K81-D81)/D81)</f>
        <v>9.6342575990853024E-3</v>
      </c>
      <c r="S81" s="80">
        <f>((N81-G81)/G81)</f>
        <v>2.249913464866657E-3</v>
      </c>
      <c r="T81" s="80">
        <f>((O81-H81)/H81)</f>
        <v>2.6666666666666668E-2</v>
      </c>
      <c r="U81" s="81">
        <f t="shared" si="18"/>
        <v>-3.8000000000000117E-3</v>
      </c>
      <c r="V81" s="83">
        <f t="shared" si="19"/>
        <v>-2.3299999999999987E-2</v>
      </c>
    </row>
    <row r="82" spans="1:28">
      <c r="A82" s="75">
        <v>71</v>
      </c>
      <c r="B82" s="141" t="s">
        <v>119</v>
      </c>
      <c r="C82" s="142" t="s">
        <v>120</v>
      </c>
      <c r="D82" s="2">
        <v>7159468391.010745</v>
      </c>
      <c r="E82" s="3">
        <f t="shared" si="26"/>
        <v>2.5250623764926684E-2</v>
      </c>
      <c r="F82" s="14">
        <v>1.0141624307568073</v>
      </c>
      <c r="G82" s="14">
        <v>1.0141624307568073</v>
      </c>
      <c r="H82" s="60">
        <v>3926</v>
      </c>
      <c r="I82" s="5">
        <v>0.1104</v>
      </c>
      <c r="J82" s="5">
        <v>0.1104</v>
      </c>
      <c r="K82" s="2">
        <v>7150264460.6569538</v>
      </c>
      <c r="L82" s="3">
        <f t="shared" si="27"/>
        <v>2.5375293114024373E-2</v>
      </c>
      <c r="M82" s="14">
        <v>1.0162711878830544</v>
      </c>
      <c r="N82" s="14">
        <v>1.0162711878830544</v>
      </c>
      <c r="O82" s="60">
        <v>3946</v>
      </c>
      <c r="P82" s="5">
        <v>0.1103</v>
      </c>
      <c r="Q82" s="5">
        <v>0.1103</v>
      </c>
      <c r="R82" s="80">
        <f t="shared" si="15"/>
        <v>-1.2855605823118752E-3</v>
      </c>
      <c r="S82" s="80">
        <f t="shared" si="16"/>
        <v>2.0793090557233453E-3</v>
      </c>
      <c r="T82" s="80">
        <f t="shared" si="17"/>
        <v>5.0942435048395313E-3</v>
      </c>
      <c r="U82" s="81">
        <f t="shared" si="18"/>
        <v>-1.0000000000000286E-4</v>
      </c>
      <c r="V82" s="83">
        <f t="shared" si="19"/>
        <v>-1.0000000000000286E-4</v>
      </c>
    </row>
    <row r="83" spans="1:28" ht="14.25" customHeight="1">
      <c r="A83" s="75">
        <v>72</v>
      </c>
      <c r="B83" s="141" t="s">
        <v>121</v>
      </c>
      <c r="C83" s="142" t="s">
        <v>42</v>
      </c>
      <c r="D83" s="2">
        <v>22145040578.009998</v>
      </c>
      <c r="E83" s="3">
        <f t="shared" si="26"/>
        <v>7.8103017899548655E-2</v>
      </c>
      <c r="F83" s="2">
        <v>5075.2299999999996</v>
      </c>
      <c r="G83" s="2">
        <v>5075.2299999999996</v>
      </c>
      <c r="H83" s="60">
        <v>422</v>
      </c>
      <c r="I83" s="5">
        <v>1.9E-3</v>
      </c>
      <c r="J83" s="5">
        <v>1.2699999999999999E-2</v>
      </c>
      <c r="K83" s="2">
        <v>21946655994.919998</v>
      </c>
      <c r="L83" s="3">
        <f t="shared" si="27"/>
        <v>7.7885626721642662E-2</v>
      </c>
      <c r="M83" s="2">
        <v>5081.49</v>
      </c>
      <c r="N83" s="2">
        <v>5081.49</v>
      </c>
      <c r="O83" s="60">
        <v>419</v>
      </c>
      <c r="P83" s="5">
        <v>1.1999999999999999E-3</v>
      </c>
      <c r="Q83" s="5">
        <v>1.3899999999999999E-2</v>
      </c>
      <c r="R83" s="80">
        <f t="shared" si="15"/>
        <v>-8.9584203917420606E-3</v>
      </c>
      <c r="S83" s="80">
        <f t="shared" si="16"/>
        <v>1.2334416371278187E-3</v>
      </c>
      <c r="T83" s="80">
        <f t="shared" si="17"/>
        <v>-7.1090047393364926E-3</v>
      </c>
      <c r="U83" s="81">
        <f t="shared" si="18"/>
        <v>-7.000000000000001E-4</v>
      </c>
      <c r="V83" s="83">
        <f t="shared" si="19"/>
        <v>1.1999999999999997E-3</v>
      </c>
    </row>
    <row r="84" spans="1:28">
      <c r="A84" s="75">
        <v>73</v>
      </c>
      <c r="B84" s="141" t="s">
        <v>122</v>
      </c>
      <c r="C84" s="142" t="s">
        <v>42</v>
      </c>
      <c r="D84" s="2">
        <v>35804696848.980003</v>
      </c>
      <c r="E84" s="3">
        <f t="shared" si="26"/>
        <v>0.1262790586918443</v>
      </c>
      <c r="F84" s="14">
        <v>257.38</v>
      </c>
      <c r="G84" s="14">
        <v>257.38</v>
      </c>
      <c r="H84" s="60">
        <v>6664</v>
      </c>
      <c r="I84" s="5">
        <v>6.9999999999999999E-4</v>
      </c>
      <c r="J84" s="5">
        <v>6.1000000000000004E-3</v>
      </c>
      <c r="K84" s="2">
        <v>35678148219.949997</v>
      </c>
      <c r="L84" s="3">
        <f t="shared" si="27"/>
        <v>0.12661678093563222</v>
      </c>
      <c r="M84" s="14">
        <v>257.52</v>
      </c>
      <c r="N84" s="14">
        <v>257.52</v>
      </c>
      <c r="O84" s="60">
        <v>6659</v>
      </c>
      <c r="P84" s="5">
        <v>5.0000000000000001E-4</v>
      </c>
      <c r="Q84" s="5">
        <v>6.7000000000000002E-3</v>
      </c>
      <c r="R84" s="80">
        <f t="shared" si="15"/>
        <v>-3.5344142016834725E-3</v>
      </c>
      <c r="S84" s="80">
        <f t="shared" si="16"/>
        <v>5.4394280829896016E-4</v>
      </c>
      <c r="T84" s="80">
        <f t="shared" si="17"/>
        <v>-7.5030012004801924E-4</v>
      </c>
      <c r="U84" s="81">
        <f t="shared" si="18"/>
        <v>-1.9999999999999998E-4</v>
      </c>
      <c r="V84" s="83">
        <f t="shared" si="19"/>
        <v>5.9999999999999984E-4</v>
      </c>
    </row>
    <row r="85" spans="1:28" ht="12.75" customHeight="1">
      <c r="A85" s="75">
        <v>74</v>
      </c>
      <c r="B85" s="141" t="s">
        <v>123</v>
      </c>
      <c r="C85" s="142" t="s">
        <v>42</v>
      </c>
      <c r="D85" s="2">
        <v>318122660.44999999</v>
      </c>
      <c r="E85" s="3">
        <f t="shared" si="26"/>
        <v>1.1219821321100118E-3</v>
      </c>
      <c r="F85" s="2">
        <v>5626.23</v>
      </c>
      <c r="G85" s="7">
        <v>5654.17</v>
      </c>
      <c r="H85" s="60">
        <v>16</v>
      </c>
      <c r="I85" s="5">
        <v>-4.3E-3</v>
      </c>
      <c r="J85" s="5">
        <v>6.5000000000000002E-2</v>
      </c>
      <c r="K85" s="2">
        <v>312500954.52999997</v>
      </c>
      <c r="L85" s="3">
        <f t="shared" si="27"/>
        <v>1.1090223813739297E-3</v>
      </c>
      <c r="M85" s="2">
        <v>5527.62</v>
      </c>
      <c r="N85" s="7">
        <v>5553.7</v>
      </c>
      <c r="O85" s="60">
        <v>16</v>
      </c>
      <c r="P85" s="5">
        <v>-1.78E-2</v>
      </c>
      <c r="Q85" s="5">
        <v>4.6100000000000002E-2</v>
      </c>
      <c r="R85" s="80">
        <f t="shared" si="15"/>
        <v>-1.7671504167756678E-2</v>
      </c>
      <c r="S85" s="80">
        <f t="shared" si="16"/>
        <v>-1.7769186281983075E-2</v>
      </c>
      <c r="T85" s="80">
        <f t="shared" si="17"/>
        <v>0</v>
      </c>
      <c r="U85" s="81">
        <f t="shared" si="18"/>
        <v>-1.35E-2</v>
      </c>
      <c r="V85" s="83">
        <f t="shared" si="19"/>
        <v>-1.89E-2</v>
      </c>
    </row>
    <row r="86" spans="1:28" ht="12.75" customHeight="1">
      <c r="A86" s="75">
        <v>75</v>
      </c>
      <c r="B86" s="141" t="s">
        <v>124</v>
      </c>
      <c r="C86" s="142" t="s">
        <v>42</v>
      </c>
      <c r="D86" s="2">
        <v>16875100844.219999</v>
      </c>
      <c r="E86" s="3">
        <f t="shared" si="26"/>
        <v>5.9516544964093317E-2</v>
      </c>
      <c r="F86" s="14">
        <v>127.56</v>
      </c>
      <c r="G86" s="14">
        <v>127.56</v>
      </c>
      <c r="H86" s="60">
        <v>4284</v>
      </c>
      <c r="I86" s="5">
        <v>2E-3</v>
      </c>
      <c r="J86" s="5">
        <v>1.2999999999999999E-2</v>
      </c>
      <c r="K86" s="2">
        <v>16356699163.27</v>
      </c>
      <c r="L86" s="3">
        <f t="shared" si="27"/>
        <v>5.804764815758421E-2</v>
      </c>
      <c r="M86" s="14">
        <v>127.72</v>
      </c>
      <c r="N86" s="14">
        <v>127.72</v>
      </c>
      <c r="O86" s="60">
        <v>4287</v>
      </c>
      <c r="P86" s="5">
        <v>1.2999999999999999E-3</v>
      </c>
      <c r="Q86" s="5">
        <v>1.43E-2</v>
      </c>
      <c r="R86" s="80">
        <f t="shared" si="15"/>
        <v>-3.0719916031053528E-2</v>
      </c>
      <c r="S86" s="80">
        <f t="shared" si="16"/>
        <v>1.2543116964565428E-3</v>
      </c>
      <c r="T86" s="80">
        <f t="shared" si="17"/>
        <v>7.0028011204481793E-4</v>
      </c>
      <c r="U86" s="81">
        <f t="shared" si="18"/>
        <v>-7.000000000000001E-4</v>
      </c>
      <c r="V86" s="83">
        <f t="shared" si="19"/>
        <v>1.3000000000000008E-3</v>
      </c>
    </row>
    <row r="87" spans="1:28" ht="12.75" customHeight="1">
      <c r="A87" s="75">
        <v>76</v>
      </c>
      <c r="B87" s="141" t="s">
        <v>125</v>
      </c>
      <c r="C87" s="142" t="s">
        <v>42</v>
      </c>
      <c r="D87" s="2">
        <v>13438846598.639999</v>
      </c>
      <c r="E87" s="3">
        <f t="shared" si="26"/>
        <v>4.7397270406681236E-2</v>
      </c>
      <c r="F87" s="14">
        <v>354.6</v>
      </c>
      <c r="G87" s="14">
        <v>354.84</v>
      </c>
      <c r="H87" s="60">
        <v>10246</v>
      </c>
      <c r="I87" s="5">
        <v>1E-4</v>
      </c>
      <c r="J87" s="5">
        <v>4.1999999999999997E-3</v>
      </c>
      <c r="K87" s="2">
        <v>13331032860.190001</v>
      </c>
      <c r="L87" s="3">
        <f t="shared" si="27"/>
        <v>4.7309979679958786E-2</v>
      </c>
      <c r="M87" s="14">
        <v>354.87</v>
      </c>
      <c r="N87" s="14">
        <v>355.1</v>
      </c>
      <c r="O87" s="60">
        <v>10248</v>
      </c>
      <c r="P87" s="5">
        <v>6.9999999999999999E-4</v>
      </c>
      <c r="Q87" s="5">
        <v>5.0000000000000001E-3</v>
      </c>
      <c r="R87" s="80">
        <f t="shared" si="15"/>
        <v>-8.0225440225584182E-3</v>
      </c>
      <c r="S87" s="80">
        <f t="shared" si="16"/>
        <v>7.3272460827428633E-4</v>
      </c>
      <c r="T87" s="80">
        <f t="shared" si="17"/>
        <v>1.9519812609798947E-4</v>
      </c>
      <c r="U87" s="81">
        <f t="shared" si="18"/>
        <v>5.9999999999999995E-4</v>
      </c>
      <c r="V87" s="83">
        <f t="shared" si="19"/>
        <v>8.0000000000000036E-4</v>
      </c>
    </row>
    <row r="88" spans="1:28">
      <c r="A88" s="75">
        <v>77</v>
      </c>
      <c r="B88" s="141" t="s">
        <v>126</v>
      </c>
      <c r="C88" s="142" t="s">
        <v>45</v>
      </c>
      <c r="D88" s="2">
        <v>94837911535</v>
      </c>
      <c r="E88" s="3">
        <f t="shared" si="26"/>
        <v>0.33448243529204391</v>
      </c>
      <c r="F88" s="2">
        <v>1.9684999999999999</v>
      </c>
      <c r="G88" s="2">
        <v>1.9684999999999999</v>
      </c>
      <c r="H88" s="60">
        <v>6124</v>
      </c>
      <c r="I88" s="5">
        <v>7.1300000000000002E-2</v>
      </c>
      <c r="J88" s="5">
        <v>5.7200000000000001E-2</v>
      </c>
      <c r="K88" s="2">
        <v>94426560895.880005</v>
      </c>
      <c r="L88" s="3">
        <f t="shared" si="27"/>
        <v>0.33510671859290603</v>
      </c>
      <c r="M88" s="2">
        <v>1.9705999999999999</v>
      </c>
      <c r="N88" s="2">
        <v>1.9705999999999999</v>
      </c>
      <c r="O88" s="60">
        <v>6126</v>
      </c>
      <c r="P88" s="5">
        <v>5.7200000000000001E-2</v>
      </c>
      <c r="Q88" s="5">
        <v>7.1599999999999997E-2</v>
      </c>
      <c r="R88" s="80">
        <f t="shared" si="15"/>
        <v>-4.3374071872954081E-3</v>
      </c>
      <c r="S88" s="80">
        <f t="shared" si="16"/>
        <v>1.0668021336042626E-3</v>
      </c>
      <c r="T88" s="80">
        <f t="shared" si="17"/>
        <v>3.2658393207054214E-4</v>
      </c>
      <c r="U88" s="81">
        <f t="shared" si="18"/>
        <v>-1.4100000000000001E-2</v>
      </c>
      <c r="V88" s="83">
        <f t="shared" si="19"/>
        <v>1.4399999999999996E-2</v>
      </c>
    </row>
    <row r="89" spans="1:28">
      <c r="A89" s="75">
        <v>78</v>
      </c>
      <c r="B89" s="141" t="s">
        <v>241</v>
      </c>
      <c r="C89" s="141" t="s">
        <v>242</v>
      </c>
      <c r="D89" s="2">
        <v>83017397.329999998</v>
      </c>
      <c r="E89" s="3">
        <f t="shared" si="26"/>
        <v>2.9279283760163649E-4</v>
      </c>
      <c r="F89" s="2">
        <v>102.56079089227671</v>
      </c>
      <c r="G89" s="2">
        <v>102.56079089227671</v>
      </c>
      <c r="H89" s="60">
        <v>57</v>
      </c>
      <c r="I89" s="5">
        <v>1.5401276771428401E-3</v>
      </c>
      <c r="J89" s="5">
        <v>9.4665389647212717E-3</v>
      </c>
      <c r="K89" s="2">
        <v>82946548.299999997</v>
      </c>
      <c r="L89" s="3">
        <f t="shared" si="27"/>
        <v>2.9436575213271136E-4</v>
      </c>
      <c r="M89" s="2">
        <v>102.72506738741424</v>
      </c>
      <c r="N89" s="2">
        <v>102.72506738741424</v>
      </c>
      <c r="O89" s="60">
        <v>56</v>
      </c>
      <c r="P89" s="5">
        <v>1.6000000000000001E-3</v>
      </c>
      <c r="Q89" s="5">
        <v>1.11E-2</v>
      </c>
      <c r="R89" s="80">
        <f>((K89-D89)/D89)</f>
        <v>-8.534238879878553E-4</v>
      </c>
      <c r="S89" s="80">
        <f>((N89-G89)/G89)</f>
        <v>1.6017475460975521E-3</v>
      </c>
      <c r="T89" s="80">
        <f>((O89-H89)/H89)</f>
        <v>-1.7543859649122806E-2</v>
      </c>
      <c r="U89" s="81">
        <f>P89-I89</f>
        <v>5.9872322857159937E-5</v>
      </c>
      <c r="V89" s="83">
        <f>Q89-J89</f>
        <v>1.6334610352787288E-3</v>
      </c>
    </row>
    <row r="90" spans="1:28">
      <c r="A90" s="75">
        <v>79</v>
      </c>
      <c r="B90" s="141" t="s">
        <v>127</v>
      </c>
      <c r="C90" s="142" t="s">
        <v>91</v>
      </c>
      <c r="D90" s="2">
        <v>2582183188.3800001</v>
      </c>
      <c r="E90" s="3">
        <f t="shared" si="26"/>
        <v>9.1070639076733552E-3</v>
      </c>
      <c r="F90" s="14">
        <v>25.700099999999999</v>
      </c>
      <c r="G90" s="14">
        <v>25.700099999999999</v>
      </c>
      <c r="H90" s="60">
        <v>1321</v>
      </c>
      <c r="I90" s="5">
        <v>0</v>
      </c>
      <c r="J90" s="5">
        <v>0.1052</v>
      </c>
      <c r="K90" s="2">
        <v>2582183188.3800001</v>
      </c>
      <c r="L90" s="3">
        <f t="shared" si="27"/>
        <v>9.1638086450900741E-3</v>
      </c>
      <c r="M90" s="14">
        <v>25.700099999999999</v>
      </c>
      <c r="N90" s="14">
        <v>25.700099999999999</v>
      </c>
      <c r="O90" s="60">
        <v>1321</v>
      </c>
      <c r="P90" s="5">
        <v>0</v>
      </c>
      <c r="Q90" s="5">
        <v>0.1052</v>
      </c>
      <c r="R90" s="80">
        <f t="shared" si="15"/>
        <v>0</v>
      </c>
      <c r="S90" s="80">
        <f t="shared" si="16"/>
        <v>0</v>
      </c>
      <c r="T90" s="80">
        <f t="shared" si="17"/>
        <v>0</v>
      </c>
      <c r="U90" s="81">
        <f t="shared" si="18"/>
        <v>0</v>
      </c>
      <c r="V90" s="83">
        <f t="shared" si="19"/>
        <v>0</v>
      </c>
    </row>
    <row r="91" spans="1:28">
      <c r="A91" s="75"/>
      <c r="B91" s="19"/>
      <c r="C91" s="71" t="s">
        <v>46</v>
      </c>
      <c r="D91" s="59">
        <f>SUM(D58:D90)</f>
        <v>283536298257.91882</v>
      </c>
      <c r="E91" s="100">
        <f>(D91/$D$183)</f>
        <v>0.10111800263772168</v>
      </c>
      <c r="F91" s="30"/>
      <c r="G91" s="11"/>
      <c r="H91" s="65">
        <f>SUM(H58:H90)</f>
        <v>49285</v>
      </c>
      <c r="I91" s="12"/>
      <c r="J91" s="12"/>
      <c r="K91" s="59">
        <f>SUM(K58:K90)</f>
        <v>281780566180.14624</v>
      </c>
      <c r="L91" s="100">
        <f>(K91/$K$183)</f>
        <v>9.9989604779669228E-2</v>
      </c>
      <c r="M91" s="30"/>
      <c r="N91" s="11"/>
      <c r="O91" s="65">
        <f>SUM(O58:O90)</f>
        <v>49350</v>
      </c>
      <c r="P91" s="12"/>
      <c r="Q91" s="12"/>
      <c r="R91" s="80">
        <f t="shared" si="15"/>
        <v>-6.1922656413306246E-3</v>
      </c>
      <c r="S91" s="80" t="e">
        <f t="shared" si="16"/>
        <v>#DIV/0!</v>
      </c>
      <c r="T91" s="80">
        <f t="shared" si="17"/>
        <v>1.3188596936187481E-3</v>
      </c>
      <c r="U91" s="81">
        <f t="shared" si="18"/>
        <v>0</v>
      </c>
      <c r="V91" s="83">
        <f t="shared" si="19"/>
        <v>0</v>
      </c>
    </row>
    <row r="92" spans="1:28" ht="8.25" customHeight="1">
      <c r="A92" s="147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</row>
    <row r="93" spans="1:28" ht="15" customHeight="1">
      <c r="A93" s="154" t="s">
        <v>128</v>
      </c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</row>
    <row r="94" spans="1:28">
      <c r="A94" s="158" t="s">
        <v>230</v>
      </c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Z94" s="126"/>
      <c r="AB94" s="103"/>
    </row>
    <row r="95" spans="1:28" ht="16.5" customHeight="1">
      <c r="A95" s="75">
        <v>80</v>
      </c>
      <c r="B95" s="141" t="s">
        <v>129</v>
      </c>
      <c r="C95" s="142" t="s">
        <v>17</v>
      </c>
      <c r="D95" s="2">
        <v>2645835013.5999999</v>
      </c>
      <c r="E95" s="3">
        <f>(D95/$D$120)</f>
        <v>2.006708535016825E-3</v>
      </c>
      <c r="F95" s="2">
        <f>108.5948*1537.573</f>
        <v>166972.43242040003</v>
      </c>
      <c r="G95" s="2">
        <f>108.5948*1537.573</f>
        <v>166972.43242040003</v>
      </c>
      <c r="H95" s="60">
        <v>235</v>
      </c>
      <c r="I95" s="5">
        <v>1.1000000000000001E-3</v>
      </c>
      <c r="J95" s="5">
        <v>7.9000000000000008E-3</v>
      </c>
      <c r="K95" s="2">
        <v>2582136433.4299998</v>
      </c>
      <c r="L95" s="3">
        <f t="shared" ref="L95:L106" si="28">(K95/$K$120)</f>
        <v>1.9066218182079667E-3</v>
      </c>
      <c r="M95" s="2">
        <f>108.7107*1506.852</f>
        <v>163810.93571640001</v>
      </c>
      <c r="N95" s="2">
        <f>108.7107*1506.852</f>
        <v>163810.93571640001</v>
      </c>
      <c r="O95" s="60">
        <v>235</v>
      </c>
      <c r="P95" s="5">
        <v>1.1000000000000001E-3</v>
      </c>
      <c r="Q95" s="5">
        <v>8.8999999999999999E-3</v>
      </c>
      <c r="R95" s="81">
        <f>((K95-D95)/D95)</f>
        <v>-2.4075038633391558E-2</v>
      </c>
      <c r="S95" s="81">
        <f>((N95-G95)/G95)</f>
        <v>-1.8934243564470946E-2</v>
      </c>
      <c r="T95" s="81">
        <f>((O95-H95)/H95)</f>
        <v>0</v>
      </c>
      <c r="U95" s="81">
        <f>P95-I95</f>
        <v>0</v>
      </c>
      <c r="V95" s="83">
        <f>Q95-J95</f>
        <v>9.9999999999999915E-4</v>
      </c>
      <c r="X95" s="126"/>
      <c r="Y95" s="128"/>
      <c r="Z95" s="126"/>
      <c r="AA95" s="104"/>
    </row>
    <row r="96" spans="1:28">
      <c r="A96" s="75">
        <v>81</v>
      </c>
      <c r="B96" s="141" t="s">
        <v>130</v>
      </c>
      <c r="C96" s="142" t="s">
        <v>21</v>
      </c>
      <c r="D96" s="2">
        <f>10884844.53*1537.573</f>
        <v>16736243058.52569</v>
      </c>
      <c r="E96" s="3">
        <f>(D96/$D$120)</f>
        <v>1.2693445213714665E-2</v>
      </c>
      <c r="F96" s="2">
        <f>1.112*1537.573</f>
        <v>1709.7811760000002</v>
      </c>
      <c r="G96" s="2">
        <f>1.112*1537.573</f>
        <v>1709.7811760000002</v>
      </c>
      <c r="H96" s="60">
        <v>299</v>
      </c>
      <c r="I96" s="5">
        <v>1.41E-2</v>
      </c>
      <c r="J96" s="5">
        <v>-0.42320000000000002</v>
      </c>
      <c r="K96" s="2">
        <f>10942380.04*1506.352</f>
        <v>16483076058.01408</v>
      </c>
      <c r="L96" s="3">
        <f t="shared" si="28"/>
        <v>1.2170926383484985E-2</v>
      </c>
      <c r="M96" s="2">
        <f>1.1126*1506.352</f>
        <v>1675.9672352000002</v>
      </c>
      <c r="N96" s="2">
        <f>1.1126*1506.352</f>
        <v>1675.9672352000002</v>
      </c>
      <c r="O96" s="60">
        <v>302</v>
      </c>
      <c r="P96" s="5">
        <v>2.8199999999999999E-2</v>
      </c>
      <c r="Q96" s="5">
        <v>-0.3649</v>
      </c>
      <c r="R96" s="81">
        <f t="shared" ref="R96:R106" si="29">((K96-D96)/D96)</f>
        <v>-1.5126871641759708E-2</v>
      </c>
      <c r="S96" s="81">
        <f t="shared" ref="S96:S106" si="30">((N96-G96)/G96)</f>
        <v>-1.9776765164245761E-2</v>
      </c>
      <c r="T96" s="81">
        <f t="shared" ref="T96:T106" si="31">((O96-H96)/H96)</f>
        <v>1.0033444816053512E-2</v>
      </c>
      <c r="U96" s="81">
        <f t="shared" ref="U96:U106" si="32">P96-I96</f>
        <v>1.41E-2</v>
      </c>
      <c r="V96" s="83">
        <f t="shared" ref="V96:V106" si="33">Q96-J96</f>
        <v>5.8300000000000018E-2</v>
      </c>
    </row>
    <row r="97" spans="1:24">
      <c r="A97" s="75">
        <v>82</v>
      </c>
      <c r="B97" s="141" t="s">
        <v>243</v>
      </c>
      <c r="C97" s="142" t="s">
        <v>25</v>
      </c>
      <c r="D97" s="2">
        <f>372899.74*1537.573</f>
        <v>573360571.93102002</v>
      </c>
      <c r="E97" s="3">
        <v>0</v>
      </c>
      <c r="F97" s="2">
        <f>1.1083*1537.573</f>
        <v>1704.0921559000003</v>
      </c>
      <c r="G97" s="2">
        <f>1.1083*1537.573</f>
        <v>1704.0921559000003</v>
      </c>
      <c r="H97" s="60">
        <v>25</v>
      </c>
      <c r="I97" s="5">
        <v>1.8100000000000001E-4</v>
      </c>
      <c r="J97" s="5">
        <v>0.10970000000000001</v>
      </c>
      <c r="K97" s="2">
        <f>376556.58*1506.852</f>
        <v>567415035.68616009</v>
      </c>
      <c r="L97" s="3">
        <f t="shared" si="28"/>
        <v>4.1897317005105223E-4</v>
      </c>
      <c r="M97" s="2">
        <f>1.1192*1506.852</f>
        <v>1686.4687584000001</v>
      </c>
      <c r="N97" s="2">
        <f>1.1192*1506.852</f>
        <v>1686.4687584000001</v>
      </c>
      <c r="O97" s="60">
        <v>25</v>
      </c>
      <c r="P97" s="5">
        <v>9.3360000000000003E-4</v>
      </c>
      <c r="Q97" s="5">
        <v>0.1099</v>
      </c>
      <c r="R97" s="81">
        <f>((K97-D97)/D97)</f>
        <v>-1.0369628704736312E-2</v>
      </c>
      <c r="S97" s="81">
        <f>((N97-G97)/G97)</f>
        <v>-1.0341810118064071E-2</v>
      </c>
      <c r="T97" s="81">
        <f>((O97-H97)/H97)</f>
        <v>0</v>
      </c>
      <c r="U97" s="81">
        <f>P97-I97</f>
        <v>7.5259999999999997E-4</v>
      </c>
      <c r="V97" s="83">
        <f t="shared" si="33"/>
        <v>1.9999999999999185E-4</v>
      </c>
    </row>
    <row r="98" spans="1:24">
      <c r="A98" s="75">
        <v>83</v>
      </c>
      <c r="B98" s="141" t="s">
        <v>139</v>
      </c>
      <c r="C98" s="142" t="s">
        <v>64</v>
      </c>
      <c r="D98" s="2">
        <f>401584.99*1537.573</f>
        <v>617466237.82927001</v>
      </c>
      <c r="E98" s="3">
        <f t="shared" ref="E98:E106" si="34">(D98/$D$120)</f>
        <v>4.6831142651287386E-4</v>
      </c>
      <c r="F98" s="2">
        <f>104.12*1537.573</f>
        <v>160092.10076000003</v>
      </c>
      <c r="G98" s="2">
        <f>105.1*1537.573</f>
        <v>161598.92230000001</v>
      </c>
      <c r="H98" s="60">
        <v>41</v>
      </c>
      <c r="I98" s="5">
        <v>1.5E-3</v>
      </c>
      <c r="J98" s="5">
        <v>1.5800000000000002E-2</v>
      </c>
      <c r="K98" s="2">
        <f>408389.22*1506.852</f>
        <v>615382112.93543994</v>
      </c>
      <c r="L98" s="3">
        <f t="shared" si="28"/>
        <v>4.5439154487242404E-4</v>
      </c>
      <c r="M98" s="2">
        <f>104.22*1506.852</f>
        <v>157044.11543999999</v>
      </c>
      <c r="N98" s="2">
        <f>105.23*1506.852</f>
        <v>158566.03596000001</v>
      </c>
      <c r="O98" s="60">
        <v>42</v>
      </c>
      <c r="P98" s="5">
        <v>1.1000000000000001E-3</v>
      </c>
      <c r="Q98" s="5">
        <v>1.6899999999999998E-2</v>
      </c>
      <c r="R98" s="81">
        <f>((K98-D98)/D98)</f>
        <v>-3.37528558833742E-3</v>
      </c>
      <c r="S98" s="81">
        <f>((N98-G98)/G98)</f>
        <v>-1.8767986177343442E-2</v>
      </c>
      <c r="T98" s="81">
        <f>((O98-H98)/H98)</f>
        <v>2.4390243902439025E-2</v>
      </c>
      <c r="U98" s="81">
        <f>P98-I98</f>
        <v>-3.9999999999999996E-4</v>
      </c>
      <c r="V98" s="83">
        <f>Q98-J98</f>
        <v>1.0999999999999968E-3</v>
      </c>
    </row>
    <row r="99" spans="1:24">
      <c r="A99" s="75">
        <v>84</v>
      </c>
      <c r="B99" s="141" t="s">
        <v>131</v>
      </c>
      <c r="C99" s="142" t="s">
        <v>67</v>
      </c>
      <c r="D99" s="2">
        <v>4241453179.2564797</v>
      </c>
      <c r="E99" s="3">
        <f t="shared" si="34"/>
        <v>3.2168900373373706E-3</v>
      </c>
      <c r="F99" s="2">
        <v>166473.3362246</v>
      </c>
      <c r="G99" s="2">
        <v>166473.3362246</v>
      </c>
      <c r="H99" s="60">
        <v>47</v>
      </c>
      <c r="I99" s="5">
        <v>1.2308449181640611E-3</v>
      </c>
      <c r="J99" s="5">
        <v>2.8913343777728029E-2</v>
      </c>
      <c r="K99" s="2">
        <v>4198116930.9526801</v>
      </c>
      <c r="L99" s="3">
        <f t="shared" si="28"/>
        <v>3.0998444668975844E-3</v>
      </c>
      <c r="M99" s="2">
        <v>163207.7428608</v>
      </c>
      <c r="N99" s="2">
        <v>163207.7428608</v>
      </c>
      <c r="O99" s="60">
        <v>47</v>
      </c>
      <c r="P99" s="5">
        <v>3.7129330138855086E-4</v>
      </c>
      <c r="Q99" s="5">
        <v>3.0323310868618059E-2</v>
      </c>
      <c r="R99" s="81">
        <f t="shared" si="29"/>
        <v>-1.0217311490255896E-2</v>
      </c>
      <c r="S99" s="81">
        <f t="shared" si="30"/>
        <v>-1.9616314767634466E-2</v>
      </c>
      <c r="T99" s="81">
        <f t="shared" si="31"/>
        <v>0</v>
      </c>
      <c r="U99" s="81">
        <f t="shared" si="32"/>
        <v>-8.5955161677551029E-4</v>
      </c>
      <c r="V99" s="83">
        <f t="shared" si="33"/>
        <v>1.4099670908900297E-3</v>
      </c>
      <c r="X99" s="108"/>
    </row>
    <row r="100" spans="1:24">
      <c r="A100" s="75">
        <v>85</v>
      </c>
      <c r="B100" s="141" t="s">
        <v>132</v>
      </c>
      <c r="C100" s="142" t="s">
        <v>27</v>
      </c>
      <c r="D100" s="2">
        <v>43868201255.268898</v>
      </c>
      <c r="E100" s="3">
        <f t="shared" si="34"/>
        <v>3.3271422224852479E-2</v>
      </c>
      <c r="F100" s="2">
        <v>192398.796</v>
      </c>
      <c r="G100" s="2">
        <v>192398.796</v>
      </c>
      <c r="H100" s="60">
        <v>2068</v>
      </c>
      <c r="I100" s="5">
        <v>1.5E-3</v>
      </c>
      <c r="J100" s="5">
        <v>9.4999999999999998E-3</v>
      </c>
      <c r="K100" s="2">
        <v>47506104964.139999</v>
      </c>
      <c r="L100" s="3">
        <f t="shared" si="28"/>
        <v>3.5077997835455031E-2</v>
      </c>
      <c r="M100" s="2">
        <v>208653.84</v>
      </c>
      <c r="N100" s="2">
        <v>208653.84</v>
      </c>
      <c r="O100" s="60">
        <v>2072</v>
      </c>
      <c r="P100" s="5">
        <v>1.4E-3</v>
      </c>
      <c r="Q100" s="5">
        <v>1.0999999999999999E-2</v>
      </c>
      <c r="R100" s="81">
        <f t="shared" si="29"/>
        <v>8.292803453923614E-2</v>
      </c>
      <c r="S100" s="81">
        <f t="shared" si="30"/>
        <v>8.4486204373129203E-2</v>
      </c>
      <c r="T100" s="81">
        <f t="shared" si="31"/>
        <v>1.9342359767891683E-3</v>
      </c>
      <c r="U100" s="81">
        <f t="shared" si="32"/>
        <v>-1.0000000000000005E-4</v>
      </c>
      <c r="V100" s="83">
        <f t="shared" si="33"/>
        <v>1.4999999999999996E-3</v>
      </c>
    </row>
    <row r="101" spans="1:24">
      <c r="A101" s="75">
        <v>86</v>
      </c>
      <c r="B101" s="145" t="s">
        <v>133</v>
      </c>
      <c r="C101" s="145" t="s">
        <v>27</v>
      </c>
      <c r="D101" s="2">
        <v>60511100975.086601</v>
      </c>
      <c r="E101" s="3">
        <f t="shared" si="34"/>
        <v>4.5894072066403169E-2</v>
      </c>
      <c r="F101" s="2">
        <v>174050.9332</v>
      </c>
      <c r="G101" s="2">
        <v>174050.9332</v>
      </c>
      <c r="H101" s="60">
        <v>294</v>
      </c>
      <c r="I101" s="5">
        <v>1.9E-3</v>
      </c>
      <c r="J101" s="5">
        <v>1.15E-2</v>
      </c>
      <c r="K101" s="2">
        <v>66833789773.160004</v>
      </c>
      <c r="L101" s="3">
        <f t="shared" si="28"/>
        <v>4.9349352778297259E-2</v>
      </c>
      <c r="M101" s="2">
        <v>188867.7</v>
      </c>
      <c r="N101" s="2">
        <v>188867.7</v>
      </c>
      <c r="O101" s="60">
        <v>311</v>
      </c>
      <c r="P101" s="5">
        <v>2E-3</v>
      </c>
      <c r="Q101" s="5">
        <v>1.3599999999999999E-2</v>
      </c>
      <c r="R101" s="81">
        <f t="shared" si="29"/>
        <v>0.10448808063625475</v>
      </c>
      <c r="S101" s="81">
        <f t="shared" si="30"/>
        <v>8.5128913287550317E-2</v>
      </c>
      <c r="T101" s="81">
        <f t="shared" si="31"/>
        <v>5.7823129251700682E-2</v>
      </c>
      <c r="U101" s="81">
        <f t="shared" si="32"/>
        <v>1.0000000000000005E-4</v>
      </c>
      <c r="V101" s="83">
        <f t="shared" si="33"/>
        <v>2.0999999999999994E-3</v>
      </c>
    </row>
    <row r="102" spans="1:24">
      <c r="A102" s="75">
        <v>87</v>
      </c>
      <c r="B102" s="141" t="s">
        <v>134</v>
      </c>
      <c r="C102" s="142" t="s">
        <v>31</v>
      </c>
      <c r="D102" s="2">
        <f>116195.84*1537.573</f>
        <v>178659586.29631999</v>
      </c>
      <c r="E102" s="3">
        <f t="shared" si="34"/>
        <v>1.3550267300892308E-4</v>
      </c>
      <c r="F102" s="2">
        <f>115.99*1537.573</f>
        <v>178343.09226999999</v>
      </c>
      <c r="G102" s="2">
        <f>115.99*1537.573</f>
        <v>178343.09226999999</v>
      </c>
      <c r="H102" s="60">
        <v>4</v>
      </c>
      <c r="I102" s="5">
        <v>1.8E-3</v>
      </c>
      <c r="J102" s="5">
        <v>1.03E-2</v>
      </c>
      <c r="K102" s="2">
        <f>116407.65*1506.852</f>
        <v>175409100.21779999</v>
      </c>
      <c r="L102" s="3">
        <f t="shared" si="28"/>
        <v>1.2952019624432897E-4</v>
      </c>
      <c r="M102" s="2">
        <f>116.2*1506.852</f>
        <v>175096.20240000001</v>
      </c>
      <c r="N102" s="2">
        <f>116.2*1506.852</f>
        <v>175096.20240000001</v>
      </c>
      <c r="O102" s="60">
        <v>4</v>
      </c>
      <c r="P102" s="5">
        <v>1.8E-3</v>
      </c>
      <c r="Q102" s="5">
        <v>1.4E-2</v>
      </c>
      <c r="R102" s="81">
        <f t="shared" si="29"/>
        <v>-1.8193740094801469E-2</v>
      </c>
      <c r="S102" s="81">
        <f t="shared" si="30"/>
        <v>-1.8205862804511665E-2</v>
      </c>
      <c r="T102" s="81">
        <f t="shared" si="31"/>
        <v>0</v>
      </c>
      <c r="U102" s="81">
        <f t="shared" si="32"/>
        <v>0</v>
      </c>
      <c r="V102" s="83">
        <f t="shared" si="33"/>
        <v>3.7000000000000002E-3</v>
      </c>
    </row>
    <row r="103" spans="1:24">
      <c r="A103" s="75">
        <v>88</v>
      </c>
      <c r="B103" s="141" t="s">
        <v>135</v>
      </c>
      <c r="C103" s="142" t="s">
        <v>34</v>
      </c>
      <c r="D103" s="2">
        <f>10279060.38*1537.573</f>
        <v>15804805705.657742</v>
      </c>
      <c r="E103" s="3">
        <f t="shared" si="34"/>
        <v>1.1987005365339386E-2</v>
      </c>
      <c r="F103" s="2">
        <f>1.33*1537.573</f>
        <v>2044.9720900000002</v>
      </c>
      <c r="G103" s="2">
        <f>1.33*1537.573</f>
        <v>2044.9720900000002</v>
      </c>
      <c r="H103" s="61">
        <v>114</v>
      </c>
      <c r="I103" s="12">
        <v>-0.63029999999999997</v>
      </c>
      <c r="J103" s="12">
        <v>4.3299999999999998E-2</v>
      </c>
      <c r="K103" s="2">
        <f>10292489.43*1506.852</f>
        <v>15509258282.57436</v>
      </c>
      <c r="L103" s="3">
        <f t="shared" si="28"/>
        <v>1.1451869793920603E-2</v>
      </c>
      <c r="M103" s="2">
        <f>1.33*1506.852</f>
        <v>2004.1131600000003</v>
      </c>
      <c r="N103" s="2">
        <f>1.33*1506.852</f>
        <v>2004.1131600000003</v>
      </c>
      <c r="O103" s="61">
        <v>116</v>
      </c>
      <c r="P103" s="12">
        <v>8.9999999999999998E-4</v>
      </c>
      <c r="Q103" s="12">
        <v>4.36E-2</v>
      </c>
      <c r="R103" s="81">
        <f t="shared" si="29"/>
        <v>-1.8699845388012757E-2</v>
      </c>
      <c r="S103" s="81">
        <f t="shared" si="30"/>
        <v>-1.9980189558479435E-2</v>
      </c>
      <c r="T103" s="81">
        <f t="shared" si="31"/>
        <v>1.7543859649122806E-2</v>
      </c>
      <c r="U103" s="81">
        <f t="shared" si="32"/>
        <v>0.63119999999999998</v>
      </c>
      <c r="V103" s="83">
        <f t="shared" si="33"/>
        <v>3.0000000000000165E-4</v>
      </c>
    </row>
    <row r="104" spans="1:24">
      <c r="A104" s="75">
        <v>89</v>
      </c>
      <c r="B104" s="141" t="s">
        <v>136</v>
      </c>
      <c r="C104" s="142" t="s">
        <v>78</v>
      </c>
      <c r="D104" s="2">
        <f>10448406.25*1537.573</f>
        <v>16065187343.031252</v>
      </c>
      <c r="E104" s="3">
        <f t="shared" si="34"/>
        <v>1.2184489354852449E-2</v>
      </c>
      <c r="F104" s="2">
        <f>103.67*1537.573</f>
        <v>159400.19291000001</v>
      </c>
      <c r="G104" s="2">
        <f>103.67*1537.573</f>
        <v>159400.19291000001</v>
      </c>
      <c r="H104" s="60">
        <v>269</v>
      </c>
      <c r="I104" s="5">
        <v>3.0000000000000001E-3</v>
      </c>
      <c r="J104" s="5">
        <v>3.0000000000000001E-3</v>
      </c>
      <c r="K104" s="2">
        <f>10290521.36*1506.852</f>
        <v>15506292692.358721</v>
      </c>
      <c r="L104" s="3">
        <f t="shared" si="28"/>
        <v>1.1449680033946731E-2</v>
      </c>
      <c r="M104" s="2">
        <f>103.97*1506.852</f>
        <v>156667.40244000001</v>
      </c>
      <c r="N104" s="2">
        <f>103.97*1506.852</f>
        <v>156667.40244000001</v>
      </c>
      <c r="O104" s="60">
        <v>274</v>
      </c>
      <c r="P104" s="5">
        <v>8.9999999999999993E-3</v>
      </c>
      <c r="Q104" s="5">
        <v>5.8999999999999999E-3</v>
      </c>
      <c r="R104" s="81">
        <f t="shared" si="29"/>
        <v>-3.4789177289922368E-2</v>
      </c>
      <c r="S104" s="81">
        <f t="shared" si="30"/>
        <v>-1.7144210556526655E-2</v>
      </c>
      <c r="T104" s="81">
        <f t="shared" si="31"/>
        <v>1.858736059479554E-2</v>
      </c>
      <c r="U104" s="81">
        <f t="shared" si="32"/>
        <v>5.9999999999999993E-3</v>
      </c>
      <c r="V104" s="83">
        <f t="shared" si="33"/>
        <v>2.8999999999999998E-3</v>
      </c>
    </row>
    <row r="105" spans="1:24">
      <c r="A105" s="75">
        <v>90</v>
      </c>
      <c r="B105" s="141" t="s">
        <v>137</v>
      </c>
      <c r="C105" s="142" t="s">
        <v>38</v>
      </c>
      <c r="D105" s="2">
        <f>1905263.08*1537.573</f>
        <v>2929481069.7048402</v>
      </c>
      <c r="E105" s="3">
        <f t="shared" si="34"/>
        <v>2.2218372028225252E-3</v>
      </c>
      <c r="F105" s="2">
        <f>134.443859*1537.573</f>
        <v>206717.24761420701</v>
      </c>
      <c r="G105" s="2">
        <f>137.63*1537.573</f>
        <v>211616.17199</v>
      </c>
      <c r="H105" s="60">
        <v>47</v>
      </c>
      <c r="I105" s="5">
        <v>1.1999999999999999E-3</v>
      </c>
      <c r="J105" s="5">
        <v>1.8800000000000001E-2</v>
      </c>
      <c r="K105" s="2">
        <f>1904847.08*1506.852</f>
        <v>2870322632.1921601</v>
      </c>
      <c r="L105" s="3">
        <f t="shared" si="28"/>
        <v>2.1194154131368259E-3</v>
      </c>
      <c r="M105" s="2">
        <f>134.414504*1506.852</f>
        <v>202542.76418140801</v>
      </c>
      <c r="N105" s="2">
        <f>137.640865*1506.852</f>
        <v>207404.41270697999</v>
      </c>
      <c r="O105" s="60">
        <v>47</v>
      </c>
      <c r="P105" s="5">
        <v>-1E-4</v>
      </c>
      <c r="Q105" s="5">
        <v>1.8700000000000001E-2</v>
      </c>
      <c r="R105" s="81">
        <f t="shared" si="29"/>
        <v>-2.0194169583297755E-2</v>
      </c>
      <c r="S105" s="81">
        <f t="shared" si="30"/>
        <v>-1.9902823321173411E-2</v>
      </c>
      <c r="T105" s="81">
        <f t="shared" si="31"/>
        <v>0</v>
      </c>
      <c r="U105" s="81">
        <f t="shared" si="32"/>
        <v>-1.2999999999999999E-3</v>
      </c>
      <c r="V105" s="83">
        <f t="shared" si="33"/>
        <v>-9.9999999999999395E-5</v>
      </c>
    </row>
    <row r="106" spans="1:24" ht="16.5" customHeight="1">
      <c r="A106" s="75">
        <v>91</v>
      </c>
      <c r="B106" s="141" t="s">
        <v>138</v>
      </c>
      <c r="C106" s="142" t="s">
        <v>45</v>
      </c>
      <c r="D106" s="4">
        <v>223770977595.14001</v>
      </c>
      <c r="E106" s="3">
        <f t="shared" si="34"/>
        <v>0.16971698096104831</v>
      </c>
      <c r="F106" s="2">
        <v>192509.99</v>
      </c>
      <c r="G106" s="2">
        <v>192509.99</v>
      </c>
      <c r="H106" s="60">
        <v>3063</v>
      </c>
      <c r="I106" s="5">
        <v>5.3900000000000003E-2</v>
      </c>
      <c r="J106" s="5">
        <v>5.3900000000000003E-2</v>
      </c>
      <c r="K106" s="4">
        <v>243179121040.70001</v>
      </c>
      <c r="L106" s="3">
        <f t="shared" si="28"/>
        <v>0.17956085197750027</v>
      </c>
      <c r="M106" s="2">
        <v>208684.32</v>
      </c>
      <c r="N106" s="2">
        <v>208684.32</v>
      </c>
      <c r="O106" s="60">
        <v>3084</v>
      </c>
      <c r="P106" s="5">
        <v>5.3900000000000003E-2</v>
      </c>
      <c r="Q106" s="5">
        <v>5.4100000000000002E-2</v>
      </c>
      <c r="R106" s="81">
        <f t="shared" si="29"/>
        <v>8.6732174360315772E-2</v>
      </c>
      <c r="S106" s="81">
        <f t="shared" si="30"/>
        <v>8.401813329271908E-2</v>
      </c>
      <c r="T106" s="81">
        <f t="shared" si="31"/>
        <v>6.8560235063663075E-3</v>
      </c>
      <c r="U106" s="81">
        <f t="shared" si="32"/>
        <v>0</v>
      </c>
      <c r="V106" s="83">
        <f t="shared" si="33"/>
        <v>1.9999999999999879E-4</v>
      </c>
    </row>
    <row r="107" spans="1:24" ht="6" customHeight="1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</row>
    <row r="108" spans="1:24">
      <c r="A108" s="158" t="s">
        <v>231</v>
      </c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</row>
    <row r="109" spans="1:24">
      <c r="A109" s="75">
        <v>92</v>
      </c>
      <c r="B109" s="141" t="s">
        <v>140</v>
      </c>
      <c r="C109" s="142" t="s">
        <v>97</v>
      </c>
      <c r="D109" s="4">
        <v>1424850504.23</v>
      </c>
      <c r="E109" s="3">
        <f>(D109/$D$120)</f>
        <v>1.0806643850672217E-3</v>
      </c>
      <c r="F109" s="2">
        <v>147153.96</v>
      </c>
      <c r="G109" s="2">
        <v>147153.96</v>
      </c>
      <c r="H109" s="60">
        <v>27</v>
      </c>
      <c r="I109" s="5">
        <v>-5.9999999999999995E-4</v>
      </c>
      <c r="J109" s="5">
        <v>0.05</v>
      </c>
      <c r="K109" s="4">
        <v>1424850504.23</v>
      </c>
      <c r="L109" s="3">
        <f t="shared" ref="L109:L119" si="35">(K109/$K$120)</f>
        <v>1.052094313793039E-3</v>
      </c>
      <c r="M109" s="2">
        <v>147750.99</v>
      </c>
      <c r="N109" s="2">
        <v>147750.99</v>
      </c>
      <c r="O109" s="60">
        <v>27</v>
      </c>
      <c r="P109" s="5">
        <v>-4.7999999999999996E-3</v>
      </c>
      <c r="Q109" s="5">
        <v>0.05</v>
      </c>
      <c r="R109" s="81">
        <f>((K109-D109)/D109)</f>
        <v>0</v>
      </c>
      <c r="S109" s="81">
        <f>((N109-G109)/G109)</f>
        <v>4.0571792971116705E-3</v>
      </c>
      <c r="T109" s="81">
        <f>((O109-H109)/H109)</f>
        <v>0</v>
      </c>
      <c r="U109" s="81">
        <f>P109-I109</f>
        <v>-4.1999999999999997E-3</v>
      </c>
      <c r="V109" s="83">
        <f>Q109-J109</f>
        <v>0</v>
      </c>
    </row>
    <row r="110" spans="1:24">
      <c r="A110" s="75">
        <v>93</v>
      </c>
      <c r="B110" s="142" t="s">
        <v>141</v>
      </c>
      <c r="C110" s="142" t="s">
        <v>23</v>
      </c>
      <c r="D110" s="2">
        <f>7294869.17*1537.573</f>
        <v>11216393874.324411</v>
      </c>
      <c r="E110" s="3">
        <f>(D110/$D$120)</f>
        <v>8.5069678207531727E-3</v>
      </c>
      <c r="F110" s="4">
        <f>132.7*1537.573</f>
        <v>204035.93709999998</v>
      </c>
      <c r="G110" s="4">
        <f>132.7*1537.573</f>
        <v>204035.93709999998</v>
      </c>
      <c r="H110" s="60">
        <v>348</v>
      </c>
      <c r="I110" s="5">
        <v>5.0000000000000001E-4</v>
      </c>
      <c r="J110" s="5">
        <v>7.7999999999999996E-3</v>
      </c>
      <c r="K110" s="2">
        <f>7401838.47*1506.852</f>
        <v>11153475102.19644</v>
      </c>
      <c r="L110" s="3">
        <f t="shared" si="35"/>
        <v>8.2356062613000401E-3</v>
      </c>
      <c r="M110" s="4">
        <f>132.86*1506.852</f>
        <v>200200.35672000004</v>
      </c>
      <c r="N110" s="4">
        <f>132.86*1506.852</f>
        <v>200200.35672000004</v>
      </c>
      <c r="O110" s="60">
        <v>353</v>
      </c>
      <c r="P110" s="5">
        <v>5.0000000000000001E-4</v>
      </c>
      <c r="Q110" s="5">
        <v>8.9999999999999993E-3</v>
      </c>
      <c r="R110" s="81">
        <f t="shared" ref="R110:R120" si="36">((K110-D110)/D110)</f>
        <v>-5.6095366151504185E-3</v>
      </c>
      <c r="S110" s="81">
        <f t="shared" ref="S110:S120" si="37">((N110-G110)/G110)</f>
        <v>-1.87985530123553E-2</v>
      </c>
      <c r="T110" s="81">
        <f t="shared" ref="T110:T120" si="38">((O110-H110)/H110)</f>
        <v>1.4367816091954023E-2</v>
      </c>
      <c r="U110" s="81">
        <f t="shared" ref="U110:U120" si="39">P110-I110</f>
        <v>0</v>
      </c>
      <c r="V110" s="83">
        <f t="shared" ref="V110:V120" si="40">Q110-J110</f>
        <v>1.1999999999999997E-3</v>
      </c>
    </row>
    <row r="111" spans="1:24">
      <c r="A111" s="75">
        <v>94</v>
      </c>
      <c r="B111" s="141" t="s">
        <v>142</v>
      </c>
      <c r="C111" s="142" t="s">
        <v>58</v>
      </c>
      <c r="D111" s="4">
        <v>16800723990.290001</v>
      </c>
      <c r="E111" s="3">
        <f t="shared" ref="E111:E119" si="41">(D111/$D$120)</f>
        <v>1.2742350166386383E-2</v>
      </c>
      <c r="F111" s="4">
        <v>170456.8</v>
      </c>
      <c r="G111" s="4">
        <v>170456.8</v>
      </c>
      <c r="H111" s="60">
        <v>587</v>
      </c>
      <c r="I111" s="5">
        <v>1.1999999999999999E-3</v>
      </c>
      <c r="J111" s="5">
        <v>6.2E-2</v>
      </c>
      <c r="K111" s="4">
        <v>17474670067.490002</v>
      </c>
      <c r="L111" s="3">
        <f t="shared" si="35"/>
        <v>1.2903108753399393E-2</v>
      </c>
      <c r="M111" s="4">
        <v>179166.86</v>
      </c>
      <c r="N111" s="4">
        <v>179166.86</v>
      </c>
      <c r="O111" s="60">
        <v>589</v>
      </c>
      <c r="P111" s="5">
        <v>1.1000000000000001E-3</v>
      </c>
      <c r="Q111" s="5">
        <v>6.3600000000000004E-2</v>
      </c>
      <c r="R111" s="81">
        <f t="shared" si="36"/>
        <v>4.0114109224668459E-2</v>
      </c>
      <c r="S111" s="81">
        <f t="shared" si="37"/>
        <v>5.1098342805919142E-2</v>
      </c>
      <c r="T111" s="81">
        <f t="shared" si="38"/>
        <v>3.4071550255536627E-3</v>
      </c>
      <c r="U111" s="81">
        <f t="shared" si="39"/>
        <v>-9.9999999999999829E-5</v>
      </c>
      <c r="V111" s="83">
        <f t="shared" si="40"/>
        <v>1.6000000000000042E-3</v>
      </c>
    </row>
    <row r="112" spans="1:24">
      <c r="A112" s="75">
        <v>95</v>
      </c>
      <c r="B112" s="141" t="s">
        <v>143</v>
      </c>
      <c r="C112" s="142" t="s">
        <v>56</v>
      </c>
      <c r="D112" s="4">
        <v>6366483415.3866949</v>
      </c>
      <c r="E112" s="3">
        <f t="shared" si="41"/>
        <v>4.8285991159806264E-3</v>
      </c>
      <c r="F112" s="4">
        <v>1821.4136079133773</v>
      </c>
      <c r="G112" s="4">
        <v>1821.4136079133773</v>
      </c>
      <c r="H112" s="60">
        <v>165</v>
      </c>
      <c r="I112" s="5">
        <v>4.6005390913909441E-2</v>
      </c>
      <c r="J112" s="5">
        <v>4.8618563187227605E-2</v>
      </c>
      <c r="K112" s="4">
        <v>6748999403.9751682</v>
      </c>
      <c r="L112" s="3">
        <f t="shared" si="35"/>
        <v>4.9833886963124548E-3</v>
      </c>
      <c r="M112" s="4">
        <v>1921.267413447792</v>
      </c>
      <c r="N112" s="4">
        <v>1921.267413447792</v>
      </c>
      <c r="O112" s="60">
        <v>166</v>
      </c>
      <c r="P112" s="5">
        <v>5.115781918662015E-2</v>
      </c>
      <c r="Q112" s="5">
        <v>4.8989129324655586E-2</v>
      </c>
      <c r="R112" s="81">
        <f t="shared" si="36"/>
        <v>6.0082774685943266E-2</v>
      </c>
      <c r="S112" s="81">
        <f t="shared" si="37"/>
        <v>5.4822147534522851E-2</v>
      </c>
      <c r="T112" s="81">
        <f t="shared" si="38"/>
        <v>6.0606060606060606E-3</v>
      </c>
      <c r="U112" s="81">
        <f t="shared" si="39"/>
        <v>5.1524282727107087E-3</v>
      </c>
      <c r="V112" s="83">
        <f t="shared" si="40"/>
        <v>3.7056613742798145E-4</v>
      </c>
    </row>
    <row r="113" spans="1:24" ht="15.75">
      <c r="A113" s="75">
        <v>96</v>
      </c>
      <c r="B113" s="141" t="s">
        <v>253</v>
      </c>
      <c r="C113" s="142" t="s">
        <v>114</v>
      </c>
      <c r="D113" s="4">
        <v>1385143463.26</v>
      </c>
      <c r="E113" s="3">
        <f t="shared" si="41"/>
        <v>1.0505489554938764E-3</v>
      </c>
      <c r="F113" s="4">
        <f>1.034945*1537.573</f>
        <v>1591.3034884850001</v>
      </c>
      <c r="G113" s="4">
        <f>1.042927*1537.573</f>
        <v>1603.5763961709999</v>
      </c>
      <c r="H113" s="60">
        <v>35</v>
      </c>
      <c r="I113" s="5">
        <v>6.9999999999999999E-4</v>
      </c>
      <c r="J113" s="5">
        <v>6.1000000000000004E-3</v>
      </c>
      <c r="K113" s="4">
        <v>1358156740.8099999</v>
      </c>
      <c r="L113" s="3">
        <f t="shared" si="35"/>
        <v>1.0028483549704608E-3</v>
      </c>
      <c r="M113" s="4">
        <f>1.03582*1506.852</f>
        <v>1560.8274386400001</v>
      </c>
      <c r="N113" s="4">
        <f>1.044343*1506.852</f>
        <v>1573.6703382360001</v>
      </c>
      <c r="O113" s="60">
        <v>35</v>
      </c>
      <c r="P113" s="5">
        <v>8.0000000000000004E-4</v>
      </c>
      <c r="Q113" s="5">
        <v>7.4000000000000003E-3</v>
      </c>
      <c r="R113" s="81">
        <f t="shared" si="36"/>
        <v>-1.9482980041999068E-2</v>
      </c>
      <c r="S113" s="81">
        <f t="shared" si="37"/>
        <v>-1.8649599736195375E-2</v>
      </c>
      <c r="T113" s="81">
        <f t="shared" si="38"/>
        <v>0</v>
      </c>
      <c r="U113" s="81">
        <f t="shared" si="39"/>
        <v>1.0000000000000005E-4</v>
      </c>
      <c r="V113" s="83">
        <f t="shared" si="40"/>
        <v>1.2999999999999999E-3</v>
      </c>
      <c r="X113" s="129"/>
    </row>
    <row r="114" spans="1:24" ht="15.75">
      <c r="A114" s="75">
        <v>97</v>
      </c>
      <c r="B114" s="141" t="s">
        <v>260</v>
      </c>
      <c r="C114" s="142" t="s">
        <v>36</v>
      </c>
      <c r="D114" s="2">
        <f>486088*1537.573</f>
        <v>747395784.42400002</v>
      </c>
      <c r="E114" s="3">
        <f t="shared" si="41"/>
        <v>5.6685526192298624E-4</v>
      </c>
      <c r="F114" s="4">
        <f>10.05*1537.573</f>
        <v>15452.608650000002</v>
      </c>
      <c r="G114" s="4">
        <f>10.05*1537.573</f>
        <v>15452.608650000002</v>
      </c>
      <c r="H114" s="60">
        <v>26</v>
      </c>
      <c r="I114" s="5">
        <v>-5.4212874568424496E-3</v>
      </c>
      <c r="J114" s="5">
        <v>2.8102826780893597E-3</v>
      </c>
      <c r="K114" s="2">
        <f>494467.22*1506.852</f>
        <v>745088919.39144003</v>
      </c>
      <c r="L114" s="3">
        <f t="shared" si="35"/>
        <v>5.5016565810569833E-4</v>
      </c>
      <c r="M114" s="4">
        <f>10.11*1506.852</f>
        <v>15234.273719999999</v>
      </c>
      <c r="N114" s="4">
        <f>10.11*1506.852</f>
        <v>15234.273719999999</v>
      </c>
      <c r="O114" s="60">
        <v>30</v>
      </c>
      <c r="P114" s="5">
        <v>5.7989754811758054E-3</v>
      </c>
      <c r="Q114" s="5">
        <v>8.6255549196105896E-3</v>
      </c>
      <c r="R114" s="81">
        <f t="shared" ref="R114" si="42">((K114-D114)/D114)</f>
        <v>-3.086537388403704E-3</v>
      </c>
      <c r="S114" s="81">
        <f t="shared" ref="S114" si="43">((N114-G114)/G114)</f>
        <v>-1.4129325018530297E-2</v>
      </c>
      <c r="T114" s="81">
        <f t="shared" ref="T114" si="44">((O114-H114)/H114)</f>
        <v>0.15384615384615385</v>
      </c>
      <c r="U114" s="81">
        <f t="shared" ref="U114" si="45">P114-I114</f>
        <v>1.1220262938018255E-2</v>
      </c>
      <c r="V114" s="83">
        <f t="shared" ref="V114" si="46">Q114-J114</f>
        <v>5.8152722415212299E-3</v>
      </c>
      <c r="X114" s="129"/>
    </row>
    <row r="115" spans="1:24" ht="15.75">
      <c r="A115" s="75">
        <v>98</v>
      </c>
      <c r="B115" s="142" t="s">
        <v>144</v>
      </c>
      <c r="C115" s="143" t="s">
        <v>40</v>
      </c>
      <c r="D115" s="2">
        <v>17142569070</v>
      </c>
      <c r="E115" s="3">
        <f t="shared" si="41"/>
        <v>1.3001619333050782E-2</v>
      </c>
      <c r="F115" s="4">
        <f>1.0269*1537.573</f>
        <v>1578.9337137</v>
      </c>
      <c r="G115" s="4">
        <f>1.0269*1537.573</f>
        <v>1578.9337137</v>
      </c>
      <c r="H115" s="60">
        <v>404</v>
      </c>
      <c r="I115" s="5">
        <v>1.9E-3</v>
      </c>
      <c r="J115" s="5">
        <v>1.14E-2</v>
      </c>
      <c r="K115" s="2">
        <v>18242774656</v>
      </c>
      <c r="L115" s="3">
        <f t="shared" si="35"/>
        <v>1.347026893446444E-2</v>
      </c>
      <c r="M115" s="4">
        <f>1.0284*1506.852</f>
        <v>1549.6465968</v>
      </c>
      <c r="N115" s="4">
        <f>1.0284*1506.852</f>
        <v>1549.6465968</v>
      </c>
      <c r="O115" s="60">
        <v>404</v>
      </c>
      <c r="P115" s="5">
        <v>1.9E-3</v>
      </c>
      <c r="Q115" s="5">
        <v>1.3299999999999999E-2</v>
      </c>
      <c r="R115" s="81">
        <f t="shared" si="36"/>
        <v>6.4179737675690171E-2</v>
      </c>
      <c r="S115" s="81">
        <f t="shared" si="37"/>
        <v>-1.8548667778693465E-2</v>
      </c>
      <c r="T115" s="81">
        <f t="shared" si="38"/>
        <v>0</v>
      </c>
      <c r="U115" s="81">
        <f t="shared" si="39"/>
        <v>0</v>
      </c>
      <c r="V115" s="83">
        <f t="shared" si="40"/>
        <v>1.8999999999999989E-3</v>
      </c>
      <c r="X115" s="129"/>
    </row>
    <row r="116" spans="1:24">
      <c r="A116" s="75">
        <v>99</v>
      </c>
      <c r="B116" s="141" t="s">
        <v>145</v>
      </c>
      <c r="C116" s="142" t="s">
        <v>80</v>
      </c>
      <c r="D116" s="4">
        <v>402638320.65170002</v>
      </c>
      <c r="E116" s="3">
        <f t="shared" si="41"/>
        <v>3.0537722511928271E-4</v>
      </c>
      <c r="F116" s="4">
        <f>1.04*1537.573</f>
        <v>1599.0759200000002</v>
      </c>
      <c r="G116" s="4">
        <f>1.04*1537.573</f>
        <v>1599.0759200000002</v>
      </c>
      <c r="H116" s="60">
        <v>3</v>
      </c>
      <c r="I116" s="5">
        <v>6.2740000000000001E-3</v>
      </c>
      <c r="J116" s="5">
        <v>-6.7070000000000003E-3</v>
      </c>
      <c r="K116" s="4">
        <v>422348938.62</v>
      </c>
      <c r="L116" s="3">
        <f t="shared" si="35"/>
        <v>3.1185792154297465E-4</v>
      </c>
      <c r="M116" s="4">
        <f>1.04*1594.27</f>
        <v>1658.0408</v>
      </c>
      <c r="N116" s="4">
        <f>1.04*1594.27</f>
        <v>1658.0408</v>
      </c>
      <c r="O116" s="60">
        <v>3</v>
      </c>
      <c r="P116" s="5">
        <v>-4.5909999999999996E-3</v>
      </c>
      <c r="Q116" s="5">
        <v>2.0860000000000002E-3</v>
      </c>
      <c r="R116" s="81">
        <f t="shared" si="36"/>
        <v>4.8953656314671905E-2</v>
      </c>
      <c r="S116" s="81">
        <f t="shared" si="37"/>
        <v>3.6874346778982048E-2</v>
      </c>
      <c r="T116" s="81">
        <f t="shared" si="38"/>
        <v>0</v>
      </c>
      <c r="U116" s="81">
        <f t="shared" si="39"/>
        <v>-1.0865E-2</v>
      </c>
      <c r="V116" s="83">
        <f t="shared" si="40"/>
        <v>8.7930000000000005E-3</v>
      </c>
    </row>
    <row r="117" spans="1:24">
      <c r="A117" s="75">
        <v>100</v>
      </c>
      <c r="B117" s="141" t="s">
        <v>146</v>
      </c>
      <c r="C117" s="142" t="s">
        <v>42</v>
      </c>
      <c r="D117" s="2">
        <v>804036886005.71997</v>
      </c>
      <c r="E117" s="3">
        <f t="shared" si="41"/>
        <v>0.60981416956180401</v>
      </c>
      <c r="F117" s="4">
        <v>2247.13</v>
      </c>
      <c r="G117" s="4">
        <v>2247.13</v>
      </c>
      <c r="H117" s="60">
        <v>6607</v>
      </c>
      <c r="I117" s="5">
        <v>1.5E-3</v>
      </c>
      <c r="J117" s="5">
        <v>9.7000000000000003E-3</v>
      </c>
      <c r="K117" s="2">
        <v>803476854483.32996</v>
      </c>
      <c r="L117" s="3">
        <f t="shared" si="35"/>
        <v>0.59327868246995707</v>
      </c>
      <c r="M117" s="4">
        <v>2219.84</v>
      </c>
      <c r="N117" s="4">
        <v>2219.84</v>
      </c>
      <c r="O117" s="60">
        <v>6607</v>
      </c>
      <c r="P117" s="5">
        <v>1.4E-3</v>
      </c>
      <c r="Q117" s="5">
        <v>1.11E-2</v>
      </c>
      <c r="R117" s="81">
        <f t="shared" si="36"/>
        <v>-6.9652466464832131E-4</v>
      </c>
      <c r="S117" s="81">
        <f t="shared" si="37"/>
        <v>-1.2144379719909379E-2</v>
      </c>
      <c r="T117" s="81">
        <f t="shared" si="38"/>
        <v>0</v>
      </c>
      <c r="U117" s="81">
        <f t="shared" si="39"/>
        <v>-1.0000000000000005E-4</v>
      </c>
      <c r="V117" s="83">
        <f t="shared" si="40"/>
        <v>1.4000000000000002E-3</v>
      </c>
    </row>
    <row r="118" spans="1:24" ht="16.5" customHeight="1">
      <c r="A118" s="75">
        <v>101</v>
      </c>
      <c r="B118" s="141" t="s">
        <v>147</v>
      </c>
      <c r="C118" s="142" t="s">
        <v>45</v>
      </c>
      <c r="D118" s="2">
        <v>41905252724.940002</v>
      </c>
      <c r="E118" s="3">
        <f t="shared" si="41"/>
        <v>3.1782642482592542E-2</v>
      </c>
      <c r="F118" s="4">
        <v>1687.45</v>
      </c>
      <c r="G118" s="4">
        <v>1687.45</v>
      </c>
      <c r="H118" s="60">
        <v>216</v>
      </c>
      <c r="I118" s="5">
        <v>6.88E-2</v>
      </c>
      <c r="J118" s="5">
        <v>6.88E-2</v>
      </c>
      <c r="K118" s="2">
        <v>47494580471.690002</v>
      </c>
      <c r="L118" s="3">
        <f t="shared" si="35"/>
        <v>3.5069488273967706E-2</v>
      </c>
      <c r="M118" s="4">
        <v>1829.72</v>
      </c>
      <c r="N118" s="4">
        <v>1829.72</v>
      </c>
      <c r="O118" s="60">
        <v>227</v>
      </c>
      <c r="P118" s="5">
        <v>6.88E-2</v>
      </c>
      <c r="Q118" s="5">
        <v>8.5199999999999998E-2</v>
      </c>
      <c r="R118" s="81">
        <f t="shared" si="36"/>
        <v>0.13338012261702695</v>
      </c>
      <c r="S118" s="81">
        <f t="shared" si="37"/>
        <v>8.4310646241370107E-2</v>
      </c>
      <c r="T118" s="81">
        <f t="shared" si="38"/>
        <v>5.0925925925925923E-2</v>
      </c>
      <c r="U118" s="81">
        <f t="shared" si="39"/>
        <v>0</v>
      </c>
      <c r="V118" s="83">
        <f t="shared" si="40"/>
        <v>1.6399999999999998E-2</v>
      </c>
    </row>
    <row r="119" spans="1:24">
      <c r="A119" s="75">
        <v>102</v>
      </c>
      <c r="B119" s="141" t="s">
        <v>148</v>
      </c>
      <c r="C119" s="142" t="s">
        <v>32</v>
      </c>
      <c r="D119" s="4">
        <v>29123813378.162018</v>
      </c>
      <c r="E119" s="3">
        <f t="shared" si="41"/>
        <v>2.2088680729444147E-2</v>
      </c>
      <c r="F119" s="4">
        <f>1.098*1537.573</f>
        <v>1688.2551540000002</v>
      </c>
      <c r="G119" s="4">
        <f>1.098*1537.573</f>
        <v>1688.2551540000002</v>
      </c>
      <c r="H119" s="60">
        <v>1178</v>
      </c>
      <c r="I119" s="5">
        <v>8.2034454470880647E-4</v>
      </c>
      <c r="J119" s="5">
        <v>6.6006600660066805E-3</v>
      </c>
      <c r="K119" s="4">
        <v>29730991562.786144</v>
      </c>
      <c r="L119" s="3">
        <f t="shared" si="35"/>
        <v>2.1953044950171783E-2</v>
      </c>
      <c r="M119" s="4">
        <f>1.0993*907.11</f>
        <v>997.18602299999998</v>
      </c>
      <c r="N119" s="4">
        <f>1.0993*907.11</f>
        <v>997.18602299999998</v>
      </c>
      <c r="O119" s="60">
        <v>1202</v>
      </c>
      <c r="P119" s="5">
        <v>1.1839708561018902E-3</v>
      </c>
      <c r="Q119" s="5">
        <v>7.7924459112577171E-3</v>
      </c>
      <c r="R119" s="81">
        <f t="shared" si="36"/>
        <v>2.0848169047787142E-2</v>
      </c>
      <c r="S119" s="81">
        <f t="shared" si="37"/>
        <v>-0.40933926922280855</v>
      </c>
      <c r="T119" s="81">
        <f t="shared" si="38"/>
        <v>2.037351443123939E-2</v>
      </c>
      <c r="U119" s="81">
        <f t="shared" si="39"/>
        <v>3.6362631139308377E-4</v>
      </c>
      <c r="V119" s="83">
        <f t="shared" si="40"/>
        <v>1.1917858452510366E-3</v>
      </c>
    </row>
    <row r="120" spans="1:24">
      <c r="A120" s="75"/>
      <c r="B120" s="19"/>
      <c r="C120" s="66" t="s">
        <v>46</v>
      </c>
      <c r="D120" s="59">
        <f>SUM(D95:D119)</f>
        <v>1318494922122.7168</v>
      </c>
      <c r="E120" s="100">
        <f>(D120/$D$183)</f>
        <v>0.47021694870174863</v>
      </c>
      <c r="F120" s="30"/>
      <c r="G120" s="11"/>
      <c r="H120" s="65">
        <f>SUM(H95:H119)</f>
        <v>16102</v>
      </c>
      <c r="I120" s="33"/>
      <c r="J120" s="33"/>
      <c r="K120" s="59">
        <f>SUM(K95:K119)</f>
        <v>1354299215906.8804</v>
      </c>
      <c r="L120" s="100">
        <f>(K120/$K$183)</f>
        <v>0.48057197551860853</v>
      </c>
      <c r="M120" s="30"/>
      <c r="N120" s="11"/>
      <c r="O120" s="65">
        <f>SUM(O95:O119)</f>
        <v>16202</v>
      </c>
      <c r="P120" s="33"/>
      <c r="Q120" s="33"/>
      <c r="R120" s="81">
        <f t="shared" si="36"/>
        <v>2.715542789237314E-2</v>
      </c>
      <c r="S120" s="81" t="e">
        <f t="shared" si="37"/>
        <v>#DIV/0!</v>
      </c>
      <c r="T120" s="81">
        <f t="shared" si="38"/>
        <v>6.2104086448888339E-3</v>
      </c>
      <c r="U120" s="81">
        <f t="shared" si="39"/>
        <v>0</v>
      </c>
      <c r="V120" s="83">
        <f t="shared" si="40"/>
        <v>0</v>
      </c>
    </row>
    <row r="121" spans="1:24" ht="8.25" customHeight="1">
      <c r="A121" s="147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</row>
    <row r="122" spans="1:24" ht="15.75">
      <c r="A122" s="154" t="s">
        <v>149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</row>
    <row r="123" spans="1:24">
      <c r="A123" s="75">
        <v>103</v>
      </c>
      <c r="B123" s="141" t="s">
        <v>245</v>
      </c>
      <c r="C123" s="142" t="s">
        <v>246</v>
      </c>
      <c r="D123" s="2">
        <v>2203558793.739037</v>
      </c>
      <c r="E123" s="3">
        <f>(D123/$D$128)</f>
        <v>2.210089015606552E-2</v>
      </c>
      <c r="F123" s="14">
        <v>103.84348698110448</v>
      </c>
      <c r="G123" s="14">
        <v>103.84348698110448</v>
      </c>
      <c r="H123" s="60">
        <v>7</v>
      </c>
      <c r="I123" s="5">
        <v>2.350260435371343E-3</v>
      </c>
      <c r="J123" s="5">
        <v>1.5651708311883894E-2</v>
      </c>
      <c r="K123" s="2">
        <v>2208743545.6581631</v>
      </c>
      <c r="L123" s="3">
        <f>(K123/$K$128)</f>
        <v>2.2148931643231028E-2</v>
      </c>
      <c r="M123" s="14">
        <v>104.09</v>
      </c>
      <c r="N123" s="14">
        <v>104.09</v>
      </c>
      <c r="O123" s="60">
        <v>7</v>
      </c>
      <c r="P123" s="5">
        <v>2.350260435371343E-3</v>
      </c>
      <c r="Q123" s="5">
        <v>1.7999999999999999E-2</v>
      </c>
      <c r="R123" s="81">
        <f t="shared" ref="R123:R128" si="47">((K123-D123)/D123)</f>
        <v>2.3528992890307484E-3</v>
      </c>
      <c r="S123" s="81">
        <f t="shared" ref="S123:T128" si="48">((N123-G123)/G123)</f>
        <v>2.3738900345322863E-3</v>
      </c>
      <c r="T123" s="81">
        <f t="shared" si="48"/>
        <v>0</v>
      </c>
      <c r="U123" s="81">
        <f t="shared" ref="U123:V128" si="49">P123-I123</f>
        <v>0</v>
      </c>
      <c r="V123" s="83">
        <f t="shared" si="49"/>
        <v>2.3482916881161046E-3</v>
      </c>
    </row>
    <row r="124" spans="1:24">
      <c r="A124" s="75">
        <v>104</v>
      </c>
      <c r="B124" s="141" t="s">
        <v>150</v>
      </c>
      <c r="C124" s="142" t="s">
        <v>40</v>
      </c>
      <c r="D124" s="2">
        <v>53749983529</v>
      </c>
      <c r="E124" s="3">
        <f>(D124/$D$128)</f>
        <v>0.53909271004703818</v>
      </c>
      <c r="F124" s="14">
        <v>102.5</v>
      </c>
      <c r="G124" s="14">
        <v>102.5</v>
      </c>
      <c r="H124" s="60">
        <v>666</v>
      </c>
      <c r="I124" s="5">
        <v>0</v>
      </c>
      <c r="J124" s="5">
        <v>7.6999999999999999E-2</v>
      </c>
      <c r="K124" s="2">
        <v>53749983529</v>
      </c>
      <c r="L124" s="3">
        <f>(K124/$K$128)</f>
        <v>0.53899635082074093</v>
      </c>
      <c r="M124" s="14">
        <v>102.5</v>
      </c>
      <c r="N124" s="14">
        <v>102.5</v>
      </c>
      <c r="O124" s="60">
        <v>666</v>
      </c>
      <c r="P124" s="5">
        <v>0</v>
      </c>
      <c r="Q124" s="5">
        <v>7.6999999999999999E-2</v>
      </c>
      <c r="R124" s="81">
        <f t="shared" si="47"/>
        <v>0</v>
      </c>
      <c r="S124" s="81">
        <f t="shared" si="48"/>
        <v>0</v>
      </c>
      <c r="T124" s="81">
        <f t="shared" si="48"/>
        <v>0</v>
      </c>
      <c r="U124" s="81">
        <f t="shared" si="49"/>
        <v>0</v>
      </c>
      <c r="V124" s="83">
        <f t="shared" si="49"/>
        <v>0</v>
      </c>
    </row>
    <row r="125" spans="1:24" ht="17.25" customHeight="1">
      <c r="A125" s="75">
        <v>105</v>
      </c>
      <c r="B125" s="141" t="s">
        <v>151</v>
      </c>
      <c r="C125" s="142" t="s">
        <v>120</v>
      </c>
      <c r="D125" s="2">
        <v>2630253391.8203235</v>
      </c>
      <c r="E125" s="3">
        <f>(D125/$D$128)</f>
        <v>2.6380481183623031E-2</v>
      </c>
      <c r="F125" s="14">
        <v>101.35</v>
      </c>
      <c r="G125" s="14">
        <v>101.35</v>
      </c>
      <c r="H125" s="60">
        <v>2771</v>
      </c>
      <c r="I125" s="5">
        <v>0.12193352001623792</v>
      </c>
      <c r="J125" s="5">
        <v>9.7565343621486292E-2</v>
      </c>
      <c r="K125" s="2">
        <v>2635439366.7385898</v>
      </c>
      <c r="L125" s="3">
        <f>(K125/$K$128)</f>
        <v>2.6427769986478583E-2</v>
      </c>
      <c r="M125" s="14">
        <v>101.35</v>
      </c>
      <c r="N125" s="14">
        <v>101.35</v>
      </c>
      <c r="O125" s="60">
        <v>2771</v>
      </c>
      <c r="P125" s="5">
        <v>0.14432577682349876</v>
      </c>
      <c r="Q125" s="5">
        <v>9.8270907652437955E-2</v>
      </c>
      <c r="R125" s="81">
        <f t="shared" si="47"/>
        <v>1.9716636178072678E-3</v>
      </c>
      <c r="S125" s="81">
        <f t="shared" si="48"/>
        <v>0</v>
      </c>
      <c r="T125" s="81">
        <f t="shared" si="48"/>
        <v>0</v>
      </c>
      <c r="U125" s="81">
        <f t="shared" si="49"/>
        <v>2.2392256807260841E-2</v>
      </c>
      <c r="V125" s="83">
        <f t="shared" si="49"/>
        <v>7.0556403095166365E-4</v>
      </c>
    </row>
    <row r="126" spans="1:24">
      <c r="A126" s="75">
        <v>106</v>
      </c>
      <c r="B126" s="141" t="s">
        <v>152</v>
      </c>
      <c r="C126" s="142" t="s">
        <v>120</v>
      </c>
      <c r="D126" s="2">
        <v>10935178947.469999</v>
      </c>
      <c r="E126" s="3">
        <f>(D126/$D$128)</f>
        <v>0.10967585228115131</v>
      </c>
      <c r="F126" s="14">
        <v>36.6</v>
      </c>
      <c r="G126" s="14">
        <v>36.6</v>
      </c>
      <c r="H126" s="60">
        <v>5274</v>
      </c>
      <c r="I126" s="5">
        <v>5.2137989980770752E-2</v>
      </c>
      <c r="J126" s="5">
        <v>0.14224700481150895</v>
      </c>
      <c r="K126" s="2">
        <v>10940172159.66</v>
      </c>
      <c r="L126" s="3">
        <f>(K126/$K$128)</f>
        <v>0.10970631959777107</v>
      </c>
      <c r="M126" s="14">
        <v>36.6</v>
      </c>
      <c r="N126" s="14">
        <v>36.6</v>
      </c>
      <c r="O126" s="60">
        <v>5274</v>
      </c>
      <c r="P126" s="5">
        <v>1.7399999999999999E-2</v>
      </c>
      <c r="Q126" s="5">
        <v>0.13</v>
      </c>
      <c r="R126" s="81">
        <f t="shared" si="47"/>
        <v>4.5661915675881834E-4</v>
      </c>
      <c r="S126" s="81">
        <f t="shared" si="48"/>
        <v>0</v>
      </c>
      <c r="T126" s="81">
        <f t="shared" si="48"/>
        <v>0</v>
      </c>
      <c r="U126" s="81">
        <f t="shared" si="49"/>
        <v>-3.4737989980770753E-2</v>
      </c>
      <c r="V126" s="83">
        <f t="shared" si="49"/>
        <v>-1.2247004811508949E-2</v>
      </c>
    </row>
    <row r="127" spans="1:24">
      <c r="A127" s="75">
        <v>107</v>
      </c>
      <c r="B127" s="141" t="s">
        <v>153</v>
      </c>
      <c r="C127" s="142" t="s">
        <v>42</v>
      </c>
      <c r="D127" s="2">
        <v>30185552086.830002</v>
      </c>
      <c r="E127" s="3">
        <f>(D127/$D$128)</f>
        <v>0.30275006633212198</v>
      </c>
      <c r="F127" s="14">
        <v>5.9</v>
      </c>
      <c r="G127" s="14">
        <v>5.9</v>
      </c>
      <c r="H127" s="60">
        <v>208853</v>
      </c>
      <c r="I127" s="5">
        <v>8.5000000000000006E-3</v>
      </c>
      <c r="J127" s="5">
        <v>-7.8100000000000003E-2</v>
      </c>
      <c r="K127" s="2">
        <v>30188012853</v>
      </c>
      <c r="L127" s="3">
        <f>(K127/$K$128)</f>
        <v>0.3027206279517784</v>
      </c>
      <c r="M127" s="14">
        <v>5.55</v>
      </c>
      <c r="N127" s="14">
        <v>5.55</v>
      </c>
      <c r="O127" s="60">
        <v>208853</v>
      </c>
      <c r="P127" s="5">
        <v>-5.9299999999999999E-2</v>
      </c>
      <c r="Q127" s="5">
        <v>-0.1328</v>
      </c>
      <c r="R127" s="81">
        <f t="shared" si="47"/>
        <v>8.1521323940661155E-5</v>
      </c>
      <c r="S127" s="81">
        <f t="shared" si="48"/>
        <v>-5.932203389830517E-2</v>
      </c>
      <c r="T127" s="81">
        <f t="shared" si="48"/>
        <v>0</v>
      </c>
      <c r="U127" s="81">
        <f t="shared" si="49"/>
        <v>-6.7799999999999999E-2</v>
      </c>
      <c r="V127" s="83">
        <f t="shared" si="49"/>
        <v>-5.4699999999999999E-2</v>
      </c>
    </row>
    <row r="128" spans="1:24">
      <c r="A128" s="138"/>
      <c r="B128" s="139"/>
      <c r="C128" s="140" t="s">
        <v>46</v>
      </c>
      <c r="D128" s="58">
        <f>SUM(D123:D127)</f>
        <v>99704526748.85936</v>
      </c>
      <c r="E128" s="100">
        <f>(D128/$D$183)</f>
        <v>3.5557784526103003E-2</v>
      </c>
      <c r="F128" s="30"/>
      <c r="G128" s="34"/>
      <c r="H128" s="65">
        <f>SUM(H123:H127)</f>
        <v>217571</v>
      </c>
      <c r="I128" s="35"/>
      <c r="J128" s="35"/>
      <c r="K128" s="58">
        <f>SUM(K123:K127)</f>
        <v>99722351454.056747</v>
      </c>
      <c r="L128" s="100">
        <f>(K128/$K$183)</f>
        <v>3.5386395324423052E-2</v>
      </c>
      <c r="M128" s="30"/>
      <c r="N128" s="34"/>
      <c r="O128" s="65">
        <f>SUM(O123:O127)</f>
        <v>217571</v>
      </c>
      <c r="P128" s="35"/>
      <c r="Q128" s="35"/>
      <c r="R128" s="81">
        <f t="shared" si="47"/>
        <v>1.7877528512106011E-4</v>
      </c>
      <c r="S128" s="81" t="e">
        <f t="shared" si="48"/>
        <v>#DIV/0!</v>
      </c>
      <c r="T128" s="81">
        <f t="shared" si="48"/>
        <v>0</v>
      </c>
      <c r="U128" s="81">
        <f t="shared" si="49"/>
        <v>0</v>
      </c>
      <c r="V128" s="83">
        <f t="shared" si="49"/>
        <v>0</v>
      </c>
    </row>
    <row r="129" spans="1:24" ht="7.5" customHeight="1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</row>
    <row r="130" spans="1:24" ht="15" customHeight="1">
      <c r="A130" s="154" t="s">
        <v>154</v>
      </c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</row>
    <row r="131" spans="1:24">
      <c r="A131" s="75">
        <v>108</v>
      </c>
      <c r="B131" s="141" t="s">
        <v>155</v>
      </c>
      <c r="C131" s="142" t="s">
        <v>50</v>
      </c>
      <c r="D131" s="4">
        <v>242758013.44999999</v>
      </c>
      <c r="E131" s="3">
        <f t="shared" ref="E131:E156" si="50">(D131/$D$157)</f>
        <v>4.7954548284814659E-3</v>
      </c>
      <c r="F131" s="4">
        <v>5.6</v>
      </c>
      <c r="G131" s="4">
        <v>5.72</v>
      </c>
      <c r="H131" s="62">
        <v>11815</v>
      </c>
      <c r="I131" s="6">
        <v>-1.0716E-2</v>
      </c>
      <c r="J131" s="6">
        <v>0.113105</v>
      </c>
      <c r="K131" s="4">
        <v>243460813.11000001</v>
      </c>
      <c r="L131" s="16">
        <f t="shared" ref="L131:L147" si="51">(K131/$K$157)</f>
        <v>4.8747452402084102E-3</v>
      </c>
      <c r="M131" s="4">
        <v>5.45</v>
      </c>
      <c r="N131" s="4">
        <v>5.56</v>
      </c>
      <c r="O131" s="62">
        <v>11817</v>
      </c>
      <c r="P131" s="6">
        <v>-3.0360999999999999E-2</v>
      </c>
      <c r="Q131" s="6">
        <v>8.2744999999999999E-2</v>
      </c>
      <c r="R131" s="81">
        <f>((K131-D131)/D131)</f>
        <v>2.8950626593621364E-3</v>
      </c>
      <c r="S131" s="81">
        <f>((N131-G131)/G131)</f>
        <v>-2.7972027972028E-2</v>
      </c>
      <c r="T131" s="81">
        <f>((O131-H131)/H131)</f>
        <v>1.6927634363097757E-4</v>
      </c>
      <c r="U131" s="81">
        <f>P131-I131</f>
        <v>-1.9644999999999999E-2</v>
      </c>
      <c r="V131" s="83">
        <f>Q131-J131</f>
        <v>-3.0359999999999998E-2</v>
      </c>
    </row>
    <row r="132" spans="1:24">
      <c r="A132" s="75">
        <v>109</v>
      </c>
      <c r="B132" s="141" t="s">
        <v>255</v>
      </c>
      <c r="C132" s="141" t="s">
        <v>254</v>
      </c>
      <c r="D132" s="4">
        <v>618104489.57497251</v>
      </c>
      <c r="E132" s="3">
        <f t="shared" si="50"/>
        <v>1.2210069265741778E-2</v>
      </c>
      <c r="F132" s="4">
        <v>1179.2589886760661</v>
      </c>
      <c r="G132" s="4">
        <v>1191.1649445273006</v>
      </c>
      <c r="H132" s="62">
        <v>190</v>
      </c>
      <c r="I132" s="6">
        <v>0</v>
      </c>
      <c r="J132" s="6">
        <v>-4.504016831039747E-3</v>
      </c>
      <c r="K132" s="4">
        <v>606280610.13738704</v>
      </c>
      <c r="L132" s="16">
        <f t="shared" si="51"/>
        <v>1.2139380792926811E-2</v>
      </c>
      <c r="M132" s="4">
        <v>1157.1726867659818</v>
      </c>
      <c r="N132" s="4">
        <v>1168.6985587808679</v>
      </c>
      <c r="O132" s="62">
        <v>181</v>
      </c>
      <c r="P132" s="6">
        <v>-1.9035086026558089E-2</v>
      </c>
      <c r="Q132" s="6">
        <v>3.3244253515366591E-2</v>
      </c>
      <c r="R132" s="81">
        <f>((K132-D132)/D132)</f>
        <v>-1.9129256682338502E-2</v>
      </c>
      <c r="S132" s="81">
        <f>((N132-G132)/G132)</f>
        <v>-1.8860852016886899E-2</v>
      </c>
      <c r="T132" s="81">
        <f>((O132-H132)/H132)</f>
        <v>-4.736842105263158E-2</v>
      </c>
      <c r="U132" s="81">
        <f>P132-I132</f>
        <v>-1.9035086026558089E-2</v>
      </c>
      <c r="V132" s="83">
        <f>Q132-J132</f>
        <v>3.7748270346406335E-2</v>
      </c>
    </row>
    <row r="133" spans="1:24">
      <c r="A133" s="75">
        <v>110</v>
      </c>
      <c r="B133" s="141" t="s">
        <v>156</v>
      </c>
      <c r="C133" s="142" t="s">
        <v>21</v>
      </c>
      <c r="D133" s="4">
        <v>7470798815.0200005</v>
      </c>
      <c r="E133" s="3">
        <f t="shared" si="50"/>
        <v>0.14757856081022927</v>
      </c>
      <c r="F133" s="4">
        <v>790.02160000000003</v>
      </c>
      <c r="G133" s="4">
        <v>813.84140000000002</v>
      </c>
      <c r="H133" s="62">
        <v>21209</v>
      </c>
      <c r="I133" s="6">
        <v>0.45200000000000001</v>
      </c>
      <c r="J133" s="6">
        <v>1.4994000000000001</v>
      </c>
      <c r="K133" s="4">
        <v>7274634163.4499998</v>
      </c>
      <c r="L133" s="16">
        <f t="shared" si="51"/>
        <v>0.14565788970117752</v>
      </c>
      <c r="M133" s="4">
        <v>769.23180000000002</v>
      </c>
      <c r="N133" s="4">
        <v>792.42470000000003</v>
      </c>
      <c r="O133" s="62">
        <v>21210</v>
      </c>
      <c r="P133" s="6">
        <v>-1.3758999999999999</v>
      </c>
      <c r="Q133" s="6">
        <v>1.0923</v>
      </c>
      <c r="R133" s="81">
        <f t="shared" ref="R133:R157" si="52">((K133-D133)/D133)</f>
        <v>-2.6257520303667216E-2</v>
      </c>
      <c r="S133" s="81">
        <f t="shared" ref="S133:S157" si="53">((N133-G133)/G133)</f>
        <v>-2.6315569593780792E-2</v>
      </c>
      <c r="T133" s="81">
        <f t="shared" ref="T133:T157" si="54">((O133-H133)/H133)</f>
        <v>4.7149794898392191E-5</v>
      </c>
      <c r="U133" s="81">
        <f t="shared" ref="U133:U157" si="55">P133-I133</f>
        <v>-1.8278999999999999</v>
      </c>
      <c r="V133" s="83">
        <f t="shared" ref="V133:V157" si="56">Q133-J133</f>
        <v>-0.40710000000000002</v>
      </c>
    </row>
    <row r="134" spans="1:24">
      <c r="A134" s="75">
        <v>111</v>
      </c>
      <c r="B134" s="141" t="s">
        <v>157</v>
      </c>
      <c r="C134" s="142" t="s">
        <v>91</v>
      </c>
      <c r="D134" s="4">
        <v>3731968676.2199998</v>
      </c>
      <c r="E134" s="3">
        <f t="shared" si="50"/>
        <v>7.3721509555056811E-2</v>
      </c>
      <c r="F134" s="4">
        <v>20.929099999999998</v>
      </c>
      <c r="G134" s="4">
        <v>21.192799999999998</v>
      </c>
      <c r="H134" s="60">
        <v>6268</v>
      </c>
      <c r="I134" s="5">
        <v>-1.1999999999999999E-3</v>
      </c>
      <c r="J134" s="5">
        <v>0.13519999999999999</v>
      </c>
      <c r="K134" s="4">
        <v>3731968676.2199998</v>
      </c>
      <c r="L134" s="16">
        <f t="shared" si="51"/>
        <v>7.472412627156827E-2</v>
      </c>
      <c r="M134" s="4">
        <v>20.929099999999998</v>
      </c>
      <c r="N134" s="4">
        <v>21.192799999999998</v>
      </c>
      <c r="O134" s="60">
        <v>6268</v>
      </c>
      <c r="P134" s="5">
        <v>-1.1999999999999999E-3</v>
      </c>
      <c r="Q134" s="5">
        <v>0.13519999999999999</v>
      </c>
      <c r="R134" s="81">
        <f t="shared" si="52"/>
        <v>0</v>
      </c>
      <c r="S134" s="81">
        <f t="shared" si="53"/>
        <v>0</v>
      </c>
      <c r="T134" s="81">
        <f t="shared" si="54"/>
        <v>0</v>
      </c>
      <c r="U134" s="81">
        <f t="shared" si="55"/>
        <v>0</v>
      </c>
      <c r="V134" s="83">
        <f t="shared" si="56"/>
        <v>0</v>
      </c>
    </row>
    <row r="135" spans="1:24">
      <c r="A135" s="75">
        <v>112</v>
      </c>
      <c r="B135" s="141" t="s">
        <v>158</v>
      </c>
      <c r="C135" s="142" t="s">
        <v>101</v>
      </c>
      <c r="D135" s="2">
        <v>1538170897.950949</v>
      </c>
      <c r="E135" s="3">
        <f t="shared" si="50"/>
        <v>3.0385110484222211E-2</v>
      </c>
      <c r="F135" s="4">
        <v>3.5958000000000001</v>
      </c>
      <c r="G135" s="4">
        <v>3.6896</v>
      </c>
      <c r="H135" s="60">
        <v>2753</v>
      </c>
      <c r="I135" s="5">
        <v>0.55659999999999998</v>
      </c>
      <c r="J135" s="5">
        <v>1.2427999999999999</v>
      </c>
      <c r="K135" s="2">
        <v>1491386034.0463266</v>
      </c>
      <c r="L135" s="16">
        <f t="shared" si="51"/>
        <v>2.9861589953270443E-2</v>
      </c>
      <c r="M135" s="4">
        <v>3.4874000000000001</v>
      </c>
      <c r="N135" s="4">
        <v>3.5764</v>
      </c>
      <c r="O135" s="60">
        <v>2753</v>
      </c>
      <c r="P135" s="5">
        <v>-1.6042000000000001</v>
      </c>
      <c r="Q135" s="5">
        <v>0.84060000000000001</v>
      </c>
      <c r="R135" s="81">
        <f t="shared" si="52"/>
        <v>-3.041590759969914E-2</v>
      </c>
      <c r="S135" s="81">
        <f t="shared" si="53"/>
        <v>-3.0680832610581084E-2</v>
      </c>
      <c r="T135" s="81">
        <f t="shared" si="54"/>
        <v>0</v>
      </c>
      <c r="U135" s="81">
        <f t="shared" si="55"/>
        <v>-2.1608000000000001</v>
      </c>
      <c r="V135" s="83">
        <f t="shared" si="56"/>
        <v>-0.40219999999999989</v>
      </c>
    </row>
    <row r="136" spans="1:24">
      <c r="A136" s="75">
        <v>113</v>
      </c>
      <c r="B136" s="141" t="s">
        <v>159</v>
      </c>
      <c r="C136" s="142" t="s">
        <v>56</v>
      </c>
      <c r="D136" s="2">
        <v>3335624181.1185446</v>
      </c>
      <c r="E136" s="3">
        <f t="shared" si="50"/>
        <v>6.5892099123801187E-2</v>
      </c>
      <c r="F136" s="4">
        <v>5951.2007990750644</v>
      </c>
      <c r="G136" s="4">
        <v>5993.187975019493</v>
      </c>
      <c r="H136" s="60">
        <v>866</v>
      </c>
      <c r="I136" s="5">
        <v>-0.7155435117156731</v>
      </c>
      <c r="J136" s="5">
        <v>0.22027953259852578</v>
      </c>
      <c r="K136" s="2">
        <v>3207244763.5122614</v>
      </c>
      <c r="L136" s="16">
        <f t="shared" si="51"/>
        <v>6.4217731574119044E-2</v>
      </c>
      <c r="M136" s="4">
        <v>5900.1931772256639</v>
      </c>
      <c r="N136" s="4">
        <v>5942.4338033392496</v>
      </c>
      <c r="O136" s="60">
        <v>868</v>
      </c>
      <c r="P136" s="5">
        <v>-0.44813980110131929</v>
      </c>
      <c r="Q136" s="5">
        <v>0.13198931273066211</v>
      </c>
      <c r="R136" s="81">
        <f t="shared" si="52"/>
        <v>-3.848737466678076E-2</v>
      </c>
      <c r="S136" s="81">
        <f t="shared" si="53"/>
        <v>-8.468643381751819E-3</v>
      </c>
      <c r="T136" s="81">
        <f t="shared" si="54"/>
        <v>2.3094688221709007E-3</v>
      </c>
      <c r="U136" s="81">
        <f t="shared" si="55"/>
        <v>0.26740371061435381</v>
      </c>
      <c r="V136" s="83">
        <f t="shared" si="56"/>
        <v>-8.8290219867863673E-2</v>
      </c>
    </row>
    <row r="137" spans="1:24">
      <c r="A137" s="75">
        <v>114</v>
      </c>
      <c r="B137" s="141" t="s">
        <v>160</v>
      </c>
      <c r="C137" s="142" t="s">
        <v>58</v>
      </c>
      <c r="D137" s="4">
        <v>504936578.76999998</v>
      </c>
      <c r="E137" s="3">
        <f t="shared" si="50"/>
        <v>9.9745442810613375E-3</v>
      </c>
      <c r="F137" s="4">
        <v>179.59</v>
      </c>
      <c r="G137" s="4">
        <v>180.71</v>
      </c>
      <c r="H137" s="60">
        <v>663</v>
      </c>
      <c r="I137" s="5">
        <v>3.8999999999999998E-3</v>
      </c>
      <c r="J137" s="5">
        <v>3.7900000000000003E-2</v>
      </c>
      <c r="K137" s="4">
        <v>497689854.29000002</v>
      </c>
      <c r="L137" s="16">
        <f t="shared" si="51"/>
        <v>9.9650995875218487E-3</v>
      </c>
      <c r="M137" s="4">
        <v>178.59</v>
      </c>
      <c r="N137" s="4">
        <v>179.7</v>
      </c>
      <c r="O137" s="60">
        <v>663</v>
      </c>
      <c r="P137" s="5">
        <v>-5.5999999999999999E-3</v>
      </c>
      <c r="Q137" s="5">
        <v>3.2099999999999997E-2</v>
      </c>
      <c r="R137" s="81">
        <f t="shared" si="52"/>
        <v>-1.4351751852980456E-2</v>
      </c>
      <c r="S137" s="81">
        <f t="shared" si="53"/>
        <v>-5.589065353328644E-3</v>
      </c>
      <c r="T137" s="81">
        <f t="shared" si="54"/>
        <v>0</v>
      </c>
      <c r="U137" s="81">
        <f t="shared" si="55"/>
        <v>-9.4999999999999998E-3</v>
      </c>
      <c r="V137" s="83">
        <f t="shared" si="56"/>
        <v>-5.8000000000000065E-3</v>
      </c>
    </row>
    <row r="138" spans="1:24">
      <c r="A138" s="75">
        <v>115</v>
      </c>
      <c r="B138" s="141" t="s">
        <v>161</v>
      </c>
      <c r="C138" s="142" t="s">
        <v>60</v>
      </c>
      <c r="D138" s="4">
        <v>3734808.11</v>
      </c>
      <c r="E138" s="3">
        <f t="shared" si="50"/>
        <v>7.3777599882362353E-5</v>
      </c>
      <c r="F138" s="4">
        <v>102.747</v>
      </c>
      <c r="G138" s="4">
        <v>102.99</v>
      </c>
      <c r="H138" s="60">
        <v>0</v>
      </c>
      <c r="I138" s="5">
        <v>0</v>
      </c>
      <c r="J138" s="5">
        <v>0</v>
      </c>
      <c r="K138" s="4">
        <v>3734808.11</v>
      </c>
      <c r="L138" s="16">
        <f t="shared" si="51"/>
        <v>7.4780979430510489E-5</v>
      </c>
      <c r="M138" s="4">
        <v>102.747</v>
      </c>
      <c r="N138" s="4">
        <v>102.99</v>
      </c>
      <c r="O138" s="60">
        <v>0</v>
      </c>
      <c r="P138" s="5">
        <v>0</v>
      </c>
      <c r="Q138" s="5">
        <v>0</v>
      </c>
      <c r="R138" s="81">
        <f t="shared" si="52"/>
        <v>0</v>
      </c>
      <c r="S138" s="81">
        <f t="shared" si="53"/>
        <v>0</v>
      </c>
      <c r="T138" s="81" t="e">
        <f t="shared" si="54"/>
        <v>#DIV/0!</v>
      </c>
      <c r="U138" s="81">
        <f t="shared" si="55"/>
        <v>0</v>
      </c>
      <c r="V138" s="83">
        <f t="shared" si="56"/>
        <v>0</v>
      </c>
    </row>
    <row r="139" spans="1:24">
      <c r="A139" s="75">
        <v>116</v>
      </c>
      <c r="B139" s="141" t="s">
        <v>162</v>
      </c>
      <c r="C139" s="142" t="s">
        <v>105</v>
      </c>
      <c r="D139" s="4">
        <v>187576168.69999999</v>
      </c>
      <c r="E139" s="3">
        <f t="shared" si="50"/>
        <v>3.7053897052331027E-3</v>
      </c>
      <c r="F139" s="4">
        <v>1.5882000000000001</v>
      </c>
      <c r="G139" s="4">
        <v>1.6032</v>
      </c>
      <c r="H139" s="60">
        <v>280</v>
      </c>
      <c r="I139" s="5">
        <v>-1.0898673475742582E-2</v>
      </c>
      <c r="J139" s="5">
        <v>6.927893354877801E-2</v>
      </c>
      <c r="K139" s="4">
        <v>184488699.69</v>
      </c>
      <c r="L139" s="16">
        <f t="shared" si="51"/>
        <v>3.6939637192443379E-3</v>
      </c>
      <c r="M139" s="4">
        <v>1.5451999999999999</v>
      </c>
      <c r="N139" s="4">
        <v>1.5592999999999999</v>
      </c>
      <c r="O139" s="60">
        <v>282</v>
      </c>
      <c r="P139" s="5">
        <v>-2.7074675733534947E-2</v>
      </c>
      <c r="Q139" s="5">
        <v>4.0328553154244773E-2</v>
      </c>
      <c r="R139" s="81">
        <f t="shared" si="52"/>
        <v>-1.6459814865597E-2</v>
      </c>
      <c r="S139" s="81">
        <f t="shared" si="53"/>
        <v>-2.7382734530938157E-2</v>
      </c>
      <c r="T139" s="81">
        <f t="shared" si="54"/>
        <v>7.1428571428571426E-3</v>
      </c>
      <c r="U139" s="81">
        <f t="shared" si="55"/>
        <v>-1.6176002257792366E-2</v>
      </c>
      <c r="V139" s="83">
        <f t="shared" si="56"/>
        <v>-2.8950380394533237E-2</v>
      </c>
    </row>
    <row r="140" spans="1:24">
      <c r="A140" s="75">
        <v>117</v>
      </c>
      <c r="B140" s="141" t="s">
        <v>163</v>
      </c>
      <c r="C140" s="142" t="s">
        <v>25</v>
      </c>
      <c r="D140" s="9">
        <v>155022291.08000001</v>
      </c>
      <c r="E140" s="3">
        <f t="shared" si="50"/>
        <v>3.0623186592971582E-3</v>
      </c>
      <c r="F140" s="4">
        <v>149.0788</v>
      </c>
      <c r="G140" s="4">
        <v>149.61320000000001</v>
      </c>
      <c r="H140" s="60">
        <v>90</v>
      </c>
      <c r="I140" s="5">
        <v>3.1749999999999999E-3</v>
      </c>
      <c r="J140" s="5">
        <v>0.34889999999999999</v>
      </c>
      <c r="K140" s="9">
        <v>152167625.43000001</v>
      </c>
      <c r="L140" s="16">
        <f t="shared" si="51"/>
        <v>3.0468082247123683E-3</v>
      </c>
      <c r="M140" s="4">
        <v>146.23429999999999</v>
      </c>
      <c r="N140" s="4">
        <v>149.74369999999999</v>
      </c>
      <c r="O140" s="60">
        <v>95</v>
      </c>
      <c r="P140" s="5">
        <v>-1.9370999999999999E-2</v>
      </c>
      <c r="Q140" s="5">
        <v>0.32969999999999999</v>
      </c>
      <c r="R140" s="81">
        <f t="shared" si="52"/>
        <v>-1.8414549482608549E-2</v>
      </c>
      <c r="S140" s="81">
        <f t="shared" si="53"/>
        <v>8.7224924004020783E-4</v>
      </c>
      <c r="T140" s="81">
        <f t="shared" si="54"/>
        <v>5.5555555555555552E-2</v>
      </c>
      <c r="U140" s="81">
        <f t="shared" si="55"/>
        <v>-2.2546E-2</v>
      </c>
      <c r="V140" s="83">
        <f t="shared" si="56"/>
        <v>-1.9199999999999995E-2</v>
      </c>
    </row>
    <row r="141" spans="1:24">
      <c r="A141" s="75">
        <v>118</v>
      </c>
      <c r="B141" s="141" t="s">
        <v>164</v>
      </c>
      <c r="C141" s="142" t="s">
        <v>64</v>
      </c>
      <c r="D141" s="9">
        <v>198745811.40000001</v>
      </c>
      <c r="E141" s="3">
        <f t="shared" si="50"/>
        <v>3.9260354266941579E-3</v>
      </c>
      <c r="F141" s="4">
        <v>111.26</v>
      </c>
      <c r="G141" s="4">
        <v>111.73</v>
      </c>
      <c r="H141" s="60">
        <v>29</v>
      </c>
      <c r="I141" s="5">
        <v>2.5000000000000001E-3</v>
      </c>
      <c r="J141" s="5">
        <v>7.3300000000000004E-2</v>
      </c>
      <c r="K141" s="9">
        <v>197664494.93000001</v>
      </c>
      <c r="L141" s="16">
        <f t="shared" si="51"/>
        <v>3.9577788454311178E-3</v>
      </c>
      <c r="M141" s="4">
        <v>110.6</v>
      </c>
      <c r="N141" s="4">
        <v>111.14</v>
      </c>
      <c r="O141" s="60">
        <v>29</v>
      </c>
      <c r="P141" s="5">
        <v>-6.0000000000000001E-3</v>
      </c>
      <c r="Q141" s="5">
        <v>6.7299999999999999E-2</v>
      </c>
      <c r="R141" s="81">
        <f t="shared" si="52"/>
        <v>-5.4407006738054894E-3</v>
      </c>
      <c r="S141" s="81">
        <f t="shared" si="53"/>
        <v>-5.2805871296876701E-3</v>
      </c>
      <c r="T141" s="81">
        <f t="shared" si="54"/>
        <v>0</v>
      </c>
      <c r="U141" s="81">
        <f t="shared" si="55"/>
        <v>-8.5000000000000006E-3</v>
      </c>
      <c r="V141" s="83">
        <f t="shared" si="56"/>
        <v>-6.0000000000000053E-3</v>
      </c>
    </row>
    <row r="142" spans="1:24" ht="15.75" customHeight="1">
      <c r="A142" s="75">
        <v>119</v>
      </c>
      <c r="B142" s="141" t="s">
        <v>165</v>
      </c>
      <c r="C142" s="142" t="s">
        <v>67</v>
      </c>
      <c r="D142" s="2">
        <v>487349093.30000001</v>
      </c>
      <c r="E142" s="3">
        <f t="shared" si="50"/>
        <v>9.6271201490240651E-3</v>
      </c>
      <c r="F142" s="4">
        <v>1.4654</v>
      </c>
      <c r="G142" s="4">
        <v>1.4654</v>
      </c>
      <c r="H142" s="60">
        <v>108</v>
      </c>
      <c r="I142" s="5">
        <v>-2.7502750275027531E-3</v>
      </c>
      <c r="J142" s="5">
        <v>0.11261123043878475</v>
      </c>
      <c r="K142" s="2">
        <v>473236891.97000003</v>
      </c>
      <c r="L142" s="16">
        <f t="shared" si="51"/>
        <v>9.4754850160607817E-3</v>
      </c>
      <c r="M142" s="4">
        <v>1.4201999999999999</v>
      </c>
      <c r="N142" s="4">
        <v>1.4201999999999999</v>
      </c>
      <c r="O142" s="60">
        <v>109</v>
      </c>
      <c r="P142" s="5">
        <v>-2.9233314947600657E-2</v>
      </c>
      <c r="Q142" s="5">
        <v>8.0085915925130272E-2</v>
      </c>
      <c r="R142" s="81">
        <f t="shared" si="52"/>
        <v>-2.8957069016875881E-2</v>
      </c>
      <c r="S142" s="81">
        <f t="shared" si="53"/>
        <v>-3.0844820526818702E-2</v>
      </c>
      <c r="T142" s="81">
        <f t="shared" si="54"/>
        <v>9.2592592592592587E-3</v>
      </c>
      <c r="U142" s="81">
        <f t="shared" si="55"/>
        <v>-2.6483039920097904E-2</v>
      </c>
      <c r="V142" s="83">
        <f t="shared" si="56"/>
        <v>-3.252531451365448E-2</v>
      </c>
      <c r="X142" s="105"/>
    </row>
    <row r="143" spans="1:24">
      <c r="A143" s="75">
        <v>120</v>
      </c>
      <c r="B143" s="141" t="s">
        <v>166</v>
      </c>
      <c r="C143" s="142" t="s">
        <v>27</v>
      </c>
      <c r="D143" s="4">
        <v>8263382437.2700005</v>
      </c>
      <c r="E143" s="3">
        <f t="shared" si="50"/>
        <v>0.16323530022854277</v>
      </c>
      <c r="F143" s="4">
        <v>300.45999999999998</v>
      </c>
      <c r="G143" s="4">
        <v>303</v>
      </c>
      <c r="H143" s="60">
        <v>5500</v>
      </c>
      <c r="I143" s="5">
        <v>8.2000000000000007E-3</v>
      </c>
      <c r="J143" s="5">
        <v>0.1111</v>
      </c>
      <c r="K143" s="4">
        <v>8177385098.8800001</v>
      </c>
      <c r="L143" s="16">
        <f t="shared" si="51"/>
        <v>0.16373340982027274</v>
      </c>
      <c r="M143" s="4">
        <v>296.74</v>
      </c>
      <c r="N143" s="4">
        <v>299.06</v>
      </c>
      <c r="O143" s="60">
        <v>5505</v>
      </c>
      <c r="P143" s="5">
        <v>-1.2699999999999999E-2</v>
      </c>
      <c r="Q143" s="5">
        <v>9.74E-2</v>
      </c>
      <c r="R143" s="81">
        <f t="shared" si="52"/>
        <v>-1.0407038406225762E-2</v>
      </c>
      <c r="S143" s="81">
        <f t="shared" si="53"/>
        <v>-1.3003300330032996E-2</v>
      </c>
      <c r="T143" s="81">
        <f t="shared" si="54"/>
        <v>9.0909090909090909E-4</v>
      </c>
      <c r="U143" s="81">
        <f t="shared" si="55"/>
        <v>-2.0900000000000002E-2</v>
      </c>
      <c r="V143" s="83">
        <f t="shared" si="56"/>
        <v>-1.3700000000000004E-2</v>
      </c>
    </row>
    <row r="144" spans="1:24">
      <c r="A144" s="75">
        <v>121</v>
      </c>
      <c r="B144" s="141" t="s">
        <v>167</v>
      </c>
      <c r="C144" s="142" t="s">
        <v>72</v>
      </c>
      <c r="D144" s="4">
        <v>2700346545.6199999</v>
      </c>
      <c r="E144" s="3">
        <f t="shared" si="50"/>
        <v>5.3342790611663235E-2</v>
      </c>
      <c r="F144" s="4">
        <v>1.8819999999999999</v>
      </c>
      <c r="G144" s="4">
        <v>0.91749999999999998</v>
      </c>
      <c r="H144" s="60">
        <v>10318</v>
      </c>
      <c r="I144" s="5">
        <v>-4.3E-3</v>
      </c>
      <c r="J144" s="5">
        <v>0.08</v>
      </c>
      <c r="K144" s="4">
        <v>2666016422.6399999</v>
      </c>
      <c r="L144" s="16">
        <f t="shared" si="51"/>
        <v>5.3380873498972074E-2</v>
      </c>
      <c r="M144" s="4">
        <v>1.8596999999999999</v>
      </c>
      <c r="N144" s="4">
        <v>1.8924000000000001</v>
      </c>
      <c r="O144" s="60">
        <v>10318</v>
      </c>
      <c r="P144" s="5">
        <v>-1.6799999999999999E-2</v>
      </c>
      <c r="Q144" s="5">
        <v>6.6400000000000001E-2</v>
      </c>
      <c r="R144" s="81">
        <f t="shared" si="52"/>
        <v>-1.2713228617150626E-2</v>
      </c>
      <c r="S144" s="81">
        <f t="shared" si="53"/>
        <v>1.0625613079019074</v>
      </c>
      <c r="T144" s="81">
        <f t="shared" si="54"/>
        <v>0</v>
      </c>
      <c r="U144" s="81">
        <f t="shared" si="55"/>
        <v>-1.2499999999999999E-2</v>
      </c>
      <c r="V144" s="83">
        <f t="shared" si="56"/>
        <v>-1.3600000000000001E-2</v>
      </c>
    </row>
    <row r="145" spans="1:22">
      <c r="A145" s="75">
        <v>122</v>
      </c>
      <c r="B145" s="141" t="s">
        <v>168</v>
      </c>
      <c r="C145" s="142" t="s">
        <v>74</v>
      </c>
      <c r="D145" s="4">
        <v>192297402.78999999</v>
      </c>
      <c r="E145" s="3">
        <f t="shared" si="50"/>
        <v>3.7986532168738625E-3</v>
      </c>
      <c r="F145" s="4">
        <v>250.21</v>
      </c>
      <c r="G145" s="4">
        <v>256.23</v>
      </c>
      <c r="H145" s="60">
        <v>183</v>
      </c>
      <c r="I145" s="5">
        <v>-1.1950033936973359E-2</v>
      </c>
      <c r="J145" s="5">
        <v>1.0843885371542821</v>
      </c>
      <c r="K145" s="4">
        <v>191799189.48187697</v>
      </c>
      <c r="L145" s="16">
        <f t="shared" si="51"/>
        <v>3.8403395357928644E-3</v>
      </c>
      <c r="M145" s="4">
        <v>249.55815721350379</v>
      </c>
      <c r="N145" s="4">
        <v>255.71759309930445</v>
      </c>
      <c r="O145" s="60">
        <v>183</v>
      </c>
      <c r="P145" s="5">
        <v>-2.6051827924392645E-3</v>
      </c>
      <c r="Q145" s="5">
        <v>2.1860731466914807E-2</v>
      </c>
      <c r="R145" s="81">
        <f t="shared" si="52"/>
        <v>-2.5908478268273877E-3</v>
      </c>
      <c r="S145" s="81">
        <f t="shared" si="53"/>
        <v>-1.9997927670279297E-3</v>
      </c>
      <c r="T145" s="81">
        <f t="shared" si="54"/>
        <v>0</v>
      </c>
      <c r="U145" s="81">
        <f t="shared" si="55"/>
        <v>9.3448511445340943E-3</v>
      </c>
      <c r="V145" s="83">
        <f t="shared" si="56"/>
        <v>-1.0625278056873673</v>
      </c>
    </row>
    <row r="146" spans="1:22" ht="13.5" customHeight="1">
      <c r="A146" s="75">
        <v>123</v>
      </c>
      <c r="B146" s="141" t="s">
        <v>240</v>
      </c>
      <c r="C146" s="142" t="s">
        <v>32</v>
      </c>
      <c r="D146" s="2">
        <v>2672196533.6964002</v>
      </c>
      <c r="E146" s="3">
        <f t="shared" si="50"/>
        <v>5.2786713765085147E-2</v>
      </c>
      <c r="F146" s="4">
        <v>3.7189000000000001</v>
      </c>
      <c r="G146" s="4">
        <v>3.7898000000000001</v>
      </c>
      <c r="H146" s="60">
        <v>2312</v>
      </c>
      <c r="I146" s="5">
        <v>-5.5353513744784699E-3</v>
      </c>
      <c r="J146" s="5">
        <v>2.243422318752919E-2</v>
      </c>
      <c r="K146" s="2">
        <v>2615053267.6817999</v>
      </c>
      <c r="L146" s="16">
        <f t="shared" si="51"/>
        <v>5.2360453030129546E-2</v>
      </c>
      <c r="M146" s="4">
        <v>3.6383999999999999</v>
      </c>
      <c r="N146" s="4">
        <v>3.7059000000000002</v>
      </c>
      <c r="O146" s="60">
        <v>2315</v>
      </c>
      <c r="P146" s="5">
        <v>-2.1646185700072706E-2</v>
      </c>
      <c r="Q146" s="5">
        <v>3.0242212630238186E-4</v>
      </c>
      <c r="R146" s="81">
        <f t="shared" si="52"/>
        <v>-2.138437996383262E-2</v>
      </c>
      <c r="S146" s="81">
        <f t="shared" si="53"/>
        <v>-2.2138371418016747E-2</v>
      </c>
      <c r="T146" s="81">
        <f t="shared" si="54"/>
        <v>1.2975778546712802E-3</v>
      </c>
      <c r="U146" s="81">
        <f t="shared" si="55"/>
        <v>-1.6110834325594237E-2</v>
      </c>
      <c r="V146" s="83">
        <f>Q146-J146</f>
        <v>-2.2131801061226808E-2</v>
      </c>
    </row>
    <row r="147" spans="1:22">
      <c r="A147" s="75">
        <v>124</v>
      </c>
      <c r="B147" s="141" t="s">
        <v>169</v>
      </c>
      <c r="C147" s="142" t="s">
        <v>114</v>
      </c>
      <c r="D147" s="2">
        <v>202110140.83000001</v>
      </c>
      <c r="E147" s="3">
        <f t="shared" si="50"/>
        <v>3.9924945708452071E-3</v>
      </c>
      <c r="F147" s="4">
        <v>189.47145499999999</v>
      </c>
      <c r="G147" s="4">
        <v>194.69201799999999</v>
      </c>
      <c r="H147" s="60">
        <v>139</v>
      </c>
      <c r="I147" s="5">
        <v>-5.1000000000000004E-3</v>
      </c>
      <c r="J147" s="5">
        <v>5.16E-2</v>
      </c>
      <c r="K147" s="2">
        <v>199338170.94999999</v>
      </c>
      <c r="L147" s="16">
        <f t="shared" si="51"/>
        <v>3.9912903748962709E-3</v>
      </c>
      <c r="M147" s="4">
        <v>186.42534699999999</v>
      </c>
      <c r="N147" s="4">
        <v>191.71276</v>
      </c>
      <c r="O147" s="60">
        <v>139</v>
      </c>
      <c r="P147" s="5">
        <v>2.0999999999999999E-3</v>
      </c>
      <c r="Q147" s="5">
        <v>3.5400000000000001E-2</v>
      </c>
      <c r="R147" s="81">
        <f t="shared" si="52"/>
        <v>-1.3715144963119884E-2</v>
      </c>
      <c r="S147" s="81">
        <f t="shared" si="53"/>
        <v>-1.5302414709163822E-2</v>
      </c>
      <c r="T147" s="81">
        <f t="shared" si="54"/>
        <v>0</v>
      </c>
      <c r="U147" s="81">
        <f t="shared" si="55"/>
        <v>7.1999999999999998E-3</v>
      </c>
      <c r="V147" s="83">
        <f t="shared" si="56"/>
        <v>-1.6199999999999999E-2</v>
      </c>
    </row>
    <row r="148" spans="1:22">
      <c r="A148" s="75">
        <v>125</v>
      </c>
      <c r="B148" s="141" t="s">
        <v>170</v>
      </c>
      <c r="C148" s="142" t="s">
        <v>29</v>
      </c>
      <c r="D148" s="2">
        <v>1653166504.0799999</v>
      </c>
      <c r="E148" s="3">
        <f t="shared" si="50"/>
        <v>3.2656739860441715E-2</v>
      </c>
      <c r="F148" s="4">
        <v>552.22</v>
      </c>
      <c r="G148" s="4">
        <v>552.22</v>
      </c>
      <c r="H148" s="60">
        <v>818</v>
      </c>
      <c r="I148" s="5">
        <v>3.0800000000000001E-2</v>
      </c>
      <c r="J148" s="5">
        <v>5.7500000000000002E-2</v>
      </c>
      <c r="K148" s="2">
        <v>1647757490.22</v>
      </c>
      <c r="L148" s="16">
        <f t="shared" ref="L148:L156" si="57">(K148/$K$157)</f>
        <v>3.2992570261557941E-2</v>
      </c>
      <c r="M148" s="4">
        <v>552.22</v>
      </c>
      <c r="N148" s="4">
        <v>552.22</v>
      </c>
      <c r="O148" s="60">
        <v>818</v>
      </c>
      <c r="P148" s="5">
        <v>-3.2699999999999999E-3</v>
      </c>
      <c r="Q148" s="5">
        <v>5.4030000000000002E-2</v>
      </c>
      <c r="R148" s="81">
        <f t="shared" si="52"/>
        <v>-3.2719111152146488E-3</v>
      </c>
      <c r="S148" s="81">
        <f t="shared" si="53"/>
        <v>0</v>
      </c>
      <c r="T148" s="81">
        <f t="shared" si="54"/>
        <v>0</v>
      </c>
      <c r="U148" s="81">
        <f t="shared" si="55"/>
        <v>-3.4070000000000003E-2</v>
      </c>
      <c r="V148" s="83">
        <f t="shared" si="56"/>
        <v>-3.4700000000000009E-3</v>
      </c>
    </row>
    <row r="149" spans="1:22">
      <c r="A149" s="75">
        <v>126</v>
      </c>
      <c r="B149" s="141" t="s">
        <v>171</v>
      </c>
      <c r="C149" s="142" t="s">
        <v>80</v>
      </c>
      <c r="D149" s="4">
        <v>27410747.289999999</v>
      </c>
      <c r="E149" s="3">
        <f t="shared" si="50"/>
        <v>5.414733733236347E-4</v>
      </c>
      <c r="F149" s="4">
        <v>1.74</v>
      </c>
      <c r="G149" s="4">
        <v>1.74</v>
      </c>
      <c r="H149" s="60">
        <v>8</v>
      </c>
      <c r="I149" s="5">
        <v>-5.0419999999999996E-3</v>
      </c>
      <c r="J149" s="5">
        <v>6.5866999999999995E-2</v>
      </c>
      <c r="K149" s="4">
        <v>27272872.93</v>
      </c>
      <c r="L149" s="16">
        <f t="shared" si="57"/>
        <v>5.4607682363345196E-4</v>
      </c>
      <c r="M149" s="4">
        <v>1.73</v>
      </c>
      <c r="N149" s="4">
        <v>1.73</v>
      </c>
      <c r="O149" s="60">
        <v>8</v>
      </c>
      <c r="P149" s="5">
        <v>-5.0299999999999997E-3</v>
      </c>
      <c r="Q149" s="5">
        <v>6.0505999999999997E-2</v>
      </c>
      <c r="R149" s="81">
        <f t="shared" si="52"/>
        <v>-5.0299380218028125E-3</v>
      </c>
      <c r="S149" s="81">
        <f t="shared" si="53"/>
        <v>-5.7471264367816143E-3</v>
      </c>
      <c r="T149" s="81">
        <f t="shared" si="54"/>
        <v>0</v>
      </c>
      <c r="U149" s="81">
        <f t="shared" si="55"/>
        <v>1.1999999999999858E-5</v>
      </c>
      <c r="V149" s="83">
        <f t="shared" si="56"/>
        <v>-5.3609999999999977E-3</v>
      </c>
    </row>
    <row r="150" spans="1:22">
      <c r="A150" s="75">
        <v>127</v>
      </c>
      <c r="B150" s="141" t="s">
        <v>172</v>
      </c>
      <c r="C150" s="142" t="s">
        <v>38</v>
      </c>
      <c r="D150" s="4">
        <v>261883247.59999999</v>
      </c>
      <c r="E150" s="3">
        <f t="shared" si="50"/>
        <v>5.1732557304868957E-3</v>
      </c>
      <c r="F150" s="4">
        <v>2.5445000000000002</v>
      </c>
      <c r="G150" s="4">
        <v>2.5897570000000001</v>
      </c>
      <c r="H150" s="60">
        <v>120</v>
      </c>
      <c r="I150" s="5">
        <v>-1.47E-2</v>
      </c>
      <c r="J150" s="5">
        <v>9.5200000000000007E-2</v>
      </c>
      <c r="K150" s="4">
        <v>254078877.80000001</v>
      </c>
      <c r="L150" s="16">
        <f t="shared" si="57"/>
        <v>5.087347669513599E-3</v>
      </c>
      <c r="M150" s="4">
        <v>2.4683980000000001</v>
      </c>
      <c r="N150" s="4">
        <v>2.5145559999999998</v>
      </c>
      <c r="O150" s="60">
        <v>120</v>
      </c>
      <c r="P150" s="5">
        <v>-3.04E-2</v>
      </c>
      <c r="Q150" s="5">
        <v>2E-3</v>
      </c>
      <c r="R150" s="81">
        <f t="shared" si="52"/>
        <v>-2.9800950887551091E-2</v>
      </c>
      <c r="S150" s="81">
        <f t="shared" si="53"/>
        <v>-2.9037859536628453E-2</v>
      </c>
      <c r="T150" s="81">
        <f t="shared" si="54"/>
        <v>0</v>
      </c>
      <c r="U150" s="81">
        <f t="shared" si="55"/>
        <v>-1.5699999999999999E-2</v>
      </c>
      <c r="V150" s="83">
        <f t="shared" si="56"/>
        <v>-9.3200000000000005E-2</v>
      </c>
    </row>
    <row r="151" spans="1:22">
      <c r="A151" s="75">
        <v>128</v>
      </c>
      <c r="B151" s="141" t="s">
        <v>173</v>
      </c>
      <c r="C151" s="142" t="s">
        <v>42</v>
      </c>
      <c r="D151" s="2">
        <v>3098577677.8600001</v>
      </c>
      <c r="E151" s="3">
        <f t="shared" si="50"/>
        <v>6.1209469774224784E-2</v>
      </c>
      <c r="F151" s="4">
        <v>5596.72</v>
      </c>
      <c r="G151" s="4">
        <v>5641.52</v>
      </c>
      <c r="H151" s="60">
        <v>2184</v>
      </c>
      <c r="I151" s="5">
        <v>-1.6000000000000001E-3</v>
      </c>
      <c r="J151" s="5">
        <v>0.1235</v>
      </c>
      <c r="K151" s="2">
        <v>2993932909.2399998</v>
      </c>
      <c r="L151" s="3">
        <f t="shared" si="57"/>
        <v>5.9946650191408317E-2</v>
      </c>
      <c r="M151" s="4">
        <v>5476.72</v>
      </c>
      <c r="N151" s="4">
        <v>5520.24</v>
      </c>
      <c r="O151" s="60">
        <v>2192</v>
      </c>
      <c r="P151" s="5">
        <v>-2.1499999999999998E-2</v>
      </c>
      <c r="Q151" s="5">
        <v>9.9400000000000002E-2</v>
      </c>
      <c r="R151" s="81">
        <f t="shared" si="52"/>
        <v>-3.3771871968132215E-2</v>
      </c>
      <c r="S151" s="81">
        <f t="shared" si="53"/>
        <v>-2.1497752378791646E-2</v>
      </c>
      <c r="T151" s="81">
        <f t="shared" si="54"/>
        <v>3.663003663003663E-3</v>
      </c>
      <c r="U151" s="81">
        <f t="shared" si="55"/>
        <v>-1.9899999999999998E-2</v>
      </c>
      <c r="V151" s="83">
        <f t="shared" si="56"/>
        <v>-2.4099999999999996E-2</v>
      </c>
    </row>
    <row r="152" spans="1:22">
      <c r="A152" s="75">
        <v>129</v>
      </c>
      <c r="B152" s="141" t="s">
        <v>256</v>
      </c>
      <c r="C152" s="141" t="s">
        <v>257</v>
      </c>
      <c r="D152" s="2">
        <v>601315615.10000002</v>
      </c>
      <c r="E152" s="3">
        <f t="shared" si="50"/>
        <v>1.1878420938168203E-2</v>
      </c>
      <c r="F152" s="4">
        <v>1.18</v>
      </c>
      <c r="G152" s="4">
        <v>1.18</v>
      </c>
      <c r="H152" s="60">
        <v>32</v>
      </c>
      <c r="I152" s="5">
        <v>2.8999999999999998E-3</v>
      </c>
      <c r="J152" s="5">
        <v>2.69E-2</v>
      </c>
      <c r="K152" s="2">
        <v>603032735.12</v>
      </c>
      <c r="L152" s="3">
        <f t="shared" si="57"/>
        <v>1.2074349533564979E-2</v>
      </c>
      <c r="M152" s="4">
        <v>1.19</v>
      </c>
      <c r="N152" s="4">
        <v>1.19</v>
      </c>
      <c r="O152" s="60">
        <v>32</v>
      </c>
      <c r="P152" s="5">
        <v>8.5000000000000006E-3</v>
      </c>
      <c r="Q152" s="5">
        <v>2.0299999999999999E-2</v>
      </c>
      <c r="R152" s="81">
        <f>((K152-D152)/D152)</f>
        <v>2.8556052377160042E-3</v>
      </c>
      <c r="S152" s="81">
        <f>((N152-G152)/G152)</f>
        <v>8.4745762711864493E-3</v>
      </c>
      <c r="T152" s="81">
        <f>((O152-H152)/H152)</f>
        <v>0</v>
      </c>
      <c r="U152" s="81">
        <f>P152-I152</f>
        <v>5.6000000000000008E-3</v>
      </c>
      <c r="V152" s="83">
        <f>Q152-J152</f>
        <v>-6.6000000000000017E-3</v>
      </c>
    </row>
    <row r="153" spans="1:22">
      <c r="A153" s="75">
        <v>130</v>
      </c>
      <c r="B153" s="141" t="s">
        <v>174</v>
      </c>
      <c r="C153" s="142" t="s">
        <v>45</v>
      </c>
      <c r="D153" s="4">
        <v>1890625791.52</v>
      </c>
      <c r="E153" s="3">
        <f t="shared" si="50"/>
        <v>3.7347523370896071E-2</v>
      </c>
      <c r="F153" s="4">
        <v>2.0289000000000001</v>
      </c>
      <c r="G153" s="4">
        <v>2.0434999999999999</v>
      </c>
      <c r="H153" s="60">
        <v>1990</v>
      </c>
      <c r="I153" s="5">
        <v>4.5999999999999999E-3</v>
      </c>
      <c r="J153" s="5">
        <v>9.7199999999999995E-2</v>
      </c>
      <c r="K153" s="4">
        <v>1852403238.5999999</v>
      </c>
      <c r="L153" s="16">
        <f t="shared" si="57"/>
        <v>3.709013271976578E-2</v>
      </c>
      <c r="M153" s="4">
        <v>1.9923999999999999</v>
      </c>
      <c r="N153" s="4">
        <v>2.0066999999999999</v>
      </c>
      <c r="O153" s="60">
        <v>1990</v>
      </c>
      <c r="P153" s="5">
        <v>-1.7999999999999999E-2</v>
      </c>
      <c r="Q153" s="5">
        <v>7.7399999999999997E-2</v>
      </c>
      <c r="R153" s="81">
        <f t="shared" si="52"/>
        <v>-2.0216879030974407E-2</v>
      </c>
      <c r="S153" s="81">
        <f t="shared" si="53"/>
        <v>-1.8008319060435502E-2</v>
      </c>
      <c r="T153" s="81">
        <f t="shared" si="54"/>
        <v>0</v>
      </c>
      <c r="U153" s="81">
        <f t="shared" si="55"/>
        <v>-2.2599999999999999E-2</v>
      </c>
      <c r="V153" s="83">
        <f t="shared" si="56"/>
        <v>-1.9799999999999998E-2</v>
      </c>
    </row>
    <row r="154" spans="1:22">
      <c r="A154" s="75">
        <v>131</v>
      </c>
      <c r="B154" s="141" t="s">
        <v>175</v>
      </c>
      <c r="C154" s="142" t="s">
        <v>45</v>
      </c>
      <c r="D154" s="4">
        <v>1112368429.77</v>
      </c>
      <c r="E154" s="3">
        <f t="shared" si="50"/>
        <v>2.1973785671506093E-2</v>
      </c>
      <c r="F154" s="4">
        <v>1.6960999999999999</v>
      </c>
      <c r="G154" s="4">
        <v>1.7091000000000001</v>
      </c>
      <c r="H154" s="60">
        <v>533</v>
      </c>
      <c r="I154" s="5">
        <v>2.7000000000000001E-3</v>
      </c>
      <c r="J154" s="5">
        <v>0.19220000000000001</v>
      </c>
      <c r="K154" s="4">
        <v>1094576792.02</v>
      </c>
      <c r="L154" s="16">
        <f t="shared" si="57"/>
        <v>2.1916393602658686E-2</v>
      </c>
      <c r="M154" s="4">
        <v>1.6674</v>
      </c>
      <c r="N154" s="4">
        <v>1.6797</v>
      </c>
      <c r="O154" s="60">
        <v>533</v>
      </c>
      <c r="P154" s="5">
        <v>-1.6899999999999998E-2</v>
      </c>
      <c r="Q154" s="5">
        <v>0.17199999999999999</v>
      </c>
      <c r="R154" s="81">
        <f t="shared" si="52"/>
        <v>-1.5994374951542545E-2</v>
      </c>
      <c r="S154" s="81">
        <f t="shared" si="53"/>
        <v>-1.7202036159382185E-2</v>
      </c>
      <c r="T154" s="81">
        <f t="shared" si="54"/>
        <v>0</v>
      </c>
      <c r="U154" s="81">
        <f t="shared" si="55"/>
        <v>-1.9599999999999999E-2</v>
      </c>
      <c r="V154" s="83">
        <f t="shared" si="56"/>
        <v>-2.0200000000000023E-2</v>
      </c>
    </row>
    <row r="155" spans="1:22">
      <c r="A155" s="75">
        <v>132</v>
      </c>
      <c r="B155" s="141" t="s">
        <v>176</v>
      </c>
      <c r="C155" s="142" t="s">
        <v>87</v>
      </c>
      <c r="D155" s="2">
        <v>9142288172.1399994</v>
      </c>
      <c r="E155" s="3">
        <f t="shared" si="50"/>
        <v>0.18059725129315915</v>
      </c>
      <c r="F155" s="4">
        <v>448.04</v>
      </c>
      <c r="G155" s="4">
        <v>452.6</v>
      </c>
      <c r="H155" s="60">
        <v>30</v>
      </c>
      <c r="I155" s="5">
        <v>1.6299999999999999E-2</v>
      </c>
      <c r="J155" s="5">
        <v>0.28739999999999999</v>
      </c>
      <c r="K155" s="2">
        <v>9236251887.7999992</v>
      </c>
      <c r="L155" s="16">
        <f t="shared" si="57"/>
        <v>0.18493479238926291</v>
      </c>
      <c r="M155" s="4">
        <v>452.79</v>
      </c>
      <c r="N155" s="4">
        <v>457.18</v>
      </c>
      <c r="O155" s="60">
        <v>30</v>
      </c>
      <c r="P155" s="5">
        <v>1.03E-2</v>
      </c>
      <c r="Q155" s="5">
        <v>0.30059999999999998</v>
      </c>
      <c r="R155" s="81">
        <f t="shared" si="52"/>
        <v>1.0277921007384424E-2</v>
      </c>
      <c r="S155" s="81">
        <f t="shared" si="53"/>
        <v>1.0119310649580167E-2</v>
      </c>
      <c r="T155" s="81">
        <f t="shared" si="54"/>
        <v>0</v>
      </c>
      <c r="U155" s="81">
        <f t="shared" si="55"/>
        <v>-5.9999999999999984E-3</v>
      </c>
      <c r="V155" s="83">
        <f t="shared" si="56"/>
        <v>1.319999999999999E-2</v>
      </c>
    </row>
    <row r="156" spans="1:22">
      <c r="A156" s="75">
        <v>133</v>
      </c>
      <c r="B156" s="141" t="s">
        <v>177</v>
      </c>
      <c r="C156" s="142" t="s">
        <v>40</v>
      </c>
      <c r="D156" s="2">
        <v>329762073.75999999</v>
      </c>
      <c r="E156" s="3">
        <f t="shared" si="50"/>
        <v>6.5141377060583027E-3</v>
      </c>
      <c r="F156" s="4">
        <v>227.35</v>
      </c>
      <c r="G156" s="4">
        <v>230.44</v>
      </c>
      <c r="H156" s="60">
        <v>690</v>
      </c>
      <c r="I156" s="5">
        <v>8.8000000000000005E-3</v>
      </c>
      <c r="J156" s="5">
        <v>0.1104</v>
      </c>
      <c r="K156" s="2">
        <v>320433181.38999999</v>
      </c>
      <c r="L156" s="16">
        <f t="shared" si="57"/>
        <v>6.415940642899221E-3</v>
      </c>
      <c r="M156" s="4">
        <v>222.79</v>
      </c>
      <c r="N156" s="4">
        <v>222.78</v>
      </c>
      <c r="O156" s="60">
        <v>690</v>
      </c>
      <c r="P156" s="5">
        <v>-2.0199999999999999E-2</v>
      </c>
      <c r="Q156" s="5">
        <v>8.8099999999999998E-2</v>
      </c>
      <c r="R156" s="81">
        <f t="shared" si="52"/>
        <v>-2.8289767418158432E-2</v>
      </c>
      <c r="S156" s="81">
        <f t="shared" si="53"/>
        <v>-3.3240756813053274E-2</v>
      </c>
      <c r="T156" s="81">
        <f t="shared" si="54"/>
        <v>0</v>
      </c>
      <c r="U156" s="81">
        <f t="shared" si="55"/>
        <v>-2.8999999999999998E-2</v>
      </c>
      <c r="V156" s="83">
        <f t="shared" si="56"/>
        <v>-2.23E-2</v>
      </c>
    </row>
    <row r="157" spans="1:22">
      <c r="A157" s="84"/>
      <c r="B157" s="19"/>
      <c r="C157" s="71" t="s">
        <v>46</v>
      </c>
      <c r="D157" s="72">
        <f>SUM(D131:D156)</f>
        <v>50622521144.020866</v>
      </c>
      <c r="E157" s="100">
        <f>(D157/$D$183)</f>
        <v>1.8053590520931688E-2</v>
      </c>
      <c r="F157" s="30"/>
      <c r="G157" s="36"/>
      <c r="H157" s="65">
        <f>SUM(H131:H156)</f>
        <v>69128</v>
      </c>
      <c r="I157" s="37"/>
      <c r="J157" s="37"/>
      <c r="K157" s="72">
        <f>SUM(K131:K156)</f>
        <v>49943289569.649658</v>
      </c>
      <c r="L157" s="100">
        <f>(K157/$K$183)</f>
        <v>1.7722335692494966E-2</v>
      </c>
      <c r="M157" s="30"/>
      <c r="N157" s="36"/>
      <c r="O157" s="65">
        <f>SUM(O131:O156)</f>
        <v>69148</v>
      </c>
      <c r="P157" s="37"/>
      <c r="Q157" s="37"/>
      <c r="R157" s="81">
        <f t="shared" si="52"/>
        <v>-1.3417576979992702E-2</v>
      </c>
      <c r="S157" s="81" t="e">
        <f t="shared" si="53"/>
        <v>#DIV/0!</v>
      </c>
      <c r="T157" s="81">
        <f t="shared" si="54"/>
        <v>2.8931836592986925E-4</v>
      </c>
      <c r="U157" s="81">
        <f t="shared" si="55"/>
        <v>0</v>
      </c>
      <c r="V157" s="83">
        <f t="shared" si="56"/>
        <v>0</v>
      </c>
    </row>
    <row r="158" spans="1:22" ht="8.25" customHeight="1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</row>
    <row r="159" spans="1:22" ht="15" customHeight="1">
      <c r="A159" s="154" t="s">
        <v>178</v>
      </c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</row>
    <row r="160" spans="1:22">
      <c r="A160" s="75">
        <v>134</v>
      </c>
      <c r="B160" s="141" t="s">
        <v>179</v>
      </c>
      <c r="C160" s="142" t="s">
        <v>21</v>
      </c>
      <c r="D160" s="17">
        <v>1091691232.0599999</v>
      </c>
      <c r="E160" s="3">
        <f>(D160/$D$163)</f>
        <v>0.20283419618606227</v>
      </c>
      <c r="F160" s="17">
        <v>65.567599999999999</v>
      </c>
      <c r="G160" s="17">
        <v>67.544499999999999</v>
      </c>
      <c r="H160" s="62">
        <v>1492</v>
      </c>
      <c r="I160" s="6">
        <v>1.1208</v>
      </c>
      <c r="J160" s="6">
        <v>1.5766</v>
      </c>
      <c r="K160" s="17">
        <v>1072857980.7</v>
      </c>
      <c r="L160" s="16">
        <f>(K160/$K$163)</f>
        <v>0.20406682822994901</v>
      </c>
      <c r="M160" s="17">
        <v>64.492800000000003</v>
      </c>
      <c r="N160" s="17">
        <v>66.437299999999993</v>
      </c>
      <c r="O160" s="62">
        <v>1499</v>
      </c>
      <c r="P160" s="6">
        <v>-0.85709999999999997</v>
      </c>
      <c r="Q160" s="6">
        <v>1.2386999999999999</v>
      </c>
      <c r="R160" s="81">
        <f>((K160-D160)/D160)</f>
        <v>-1.7251445103632388E-2</v>
      </c>
      <c r="S160" s="81">
        <f t="shared" ref="S160:T163" si="58">((N160-G160)/G160)</f>
        <v>-1.6392156282154815E-2</v>
      </c>
      <c r="T160" s="81">
        <f t="shared" si="58"/>
        <v>4.6916890080428951E-3</v>
      </c>
      <c r="U160" s="81">
        <f t="shared" ref="U160:V163" si="59">P160-I160</f>
        <v>-1.9779</v>
      </c>
      <c r="V160" s="83">
        <f t="shared" si="59"/>
        <v>-0.33790000000000009</v>
      </c>
    </row>
    <row r="161" spans="1:24">
      <c r="A161" s="75">
        <v>135</v>
      </c>
      <c r="B161" s="141" t="s">
        <v>180</v>
      </c>
      <c r="C161" s="142" t="s">
        <v>181</v>
      </c>
      <c r="D161" s="98">
        <v>840602727.38</v>
      </c>
      <c r="E161" s="3">
        <f>(D161/$D$163)</f>
        <v>0.15618242000368379</v>
      </c>
      <c r="F161" s="17">
        <v>23.072399999999998</v>
      </c>
      <c r="G161" s="17">
        <v>23.275700000000001</v>
      </c>
      <c r="H161" s="60">
        <v>1500</v>
      </c>
      <c r="I161" s="5">
        <v>-1.6000000000000001E-3</v>
      </c>
      <c r="J161" s="5">
        <v>5.8599999999999999E-2</v>
      </c>
      <c r="K161" s="98">
        <v>840602727.38</v>
      </c>
      <c r="L161" s="16">
        <f>(K161/$K$163)</f>
        <v>0.15988987868269219</v>
      </c>
      <c r="M161" s="17">
        <v>23.072399999999998</v>
      </c>
      <c r="N161" s="17">
        <v>23.275700000000001</v>
      </c>
      <c r="O161" s="60">
        <v>1500</v>
      </c>
      <c r="P161" s="5">
        <v>-1.6000000000000001E-3</v>
      </c>
      <c r="Q161" s="5">
        <v>5.8599999999999999E-2</v>
      </c>
      <c r="R161" s="81">
        <f>((K161-D161)/D161)</f>
        <v>0</v>
      </c>
      <c r="S161" s="81">
        <f t="shared" si="58"/>
        <v>0</v>
      </c>
      <c r="T161" s="81">
        <f t="shared" si="58"/>
        <v>0</v>
      </c>
      <c r="U161" s="81">
        <f t="shared" si="59"/>
        <v>0</v>
      </c>
      <c r="V161" s="83">
        <f t="shared" si="59"/>
        <v>0</v>
      </c>
    </row>
    <row r="162" spans="1:24">
      <c r="A162" s="75">
        <v>136</v>
      </c>
      <c r="B162" s="141" t="s">
        <v>182</v>
      </c>
      <c r="C162" s="142" t="s">
        <v>42</v>
      </c>
      <c r="D162" s="9">
        <v>3449891355.4000001</v>
      </c>
      <c r="E162" s="3">
        <f>(D162/$D$163)</f>
        <v>0.64098338381025388</v>
      </c>
      <c r="F162" s="17">
        <v>2.39</v>
      </c>
      <c r="G162" s="17">
        <v>2.41</v>
      </c>
      <c r="H162" s="60">
        <v>10018</v>
      </c>
      <c r="I162" s="5">
        <v>0</v>
      </c>
      <c r="J162" s="5">
        <v>0.15870000000000001</v>
      </c>
      <c r="K162" s="9">
        <v>3343924776.8899999</v>
      </c>
      <c r="L162" s="16">
        <f>(K162/$K$163)</f>
        <v>0.63604329308735896</v>
      </c>
      <c r="M162" s="17">
        <v>2.3199999999999998</v>
      </c>
      <c r="N162" s="17">
        <v>2.35</v>
      </c>
      <c r="O162" s="60">
        <v>10024</v>
      </c>
      <c r="P162" s="5">
        <v>-2.4899999999999999E-2</v>
      </c>
      <c r="Q162" s="5">
        <v>0.1298</v>
      </c>
      <c r="R162" s="81">
        <f>((K162-D162)/D162)</f>
        <v>-3.0715917573501051E-2</v>
      </c>
      <c r="S162" s="81">
        <f t="shared" si="58"/>
        <v>-2.4896265560165994E-2</v>
      </c>
      <c r="T162" s="81">
        <f t="shared" si="58"/>
        <v>5.9892194050708723E-4</v>
      </c>
      <c r="U162" s="81">
        <f t="shared" si="59"/>
        <v>-2.4899999999999999E-2</v>
      </c>
      <c r="V162" s="83">
        <f t="shared" si="59"/>
        <v>-2.8900000000000009E-2</v>
      </c>
    </row>
    <row r="163" spans="1:24">
      <c r="A163" s="75"/>
      <c r="B163" s="19"/>
      <c r="C163" s="66" t="s">
        <v>46</v>
      </c>
      <c r="D163" s="72">
        <f>SUM(D160:D162)</f>
        <v>5382185314.8400002</v>
      </c>
      <c r="E163" s="100">
        <f>(D163/$D$183)</f>
        <v>1.919457340053279E-3</v>
      </c>
      <c r="F163" s="30"/>
      <c r="G163" s="36"/>
      <c r="H163" s="65">
        <f>SUM(H160:H162)</f>
        <v>13010</v>
      </c>
      <c r="I163" s="37"/>
      <c r="J163" s="37"/>
      <c r="K163" s="72">
        <f>SUM(K160:K162)</f>
        <v>5257385484.9699993</v>
      </c>
      <c r="L163" s="100">
        <f>(K163/$K$183)</f>
        <v>1.8655789643081447E-3</v>
      </c>
      <c r="M163" s="30"/>
      <c r="N163" s="36"/>
      <c r="O163" s="65">
        <f>SUM(O160:O162)</f>
        <v>13023</v>
      </c>
      <c r="P163" s="37"/>
      <c r="Q163" s="37"/>
      <c r="R163" s="81">
        <f>((K163-D163)/D163)</f>
        <v>-2.3187575783742937E-2</v>
      </c>
      <c r="S163" s="81" t="e">
        <f t="shared" si="58"/>
        <v>#DIV/0!</v>
      </c>
      <c r="T163" s="81">
        <f t="shared" si="58"/>
        <v>9.9923136049192922E-4</v>
      </c>
      <c r="U163" s="81">
        <f t="shared" si="59"/>
        <v>0</v>
      </c>
      <c r="V163" s="83">
        <f t="shared" si="59"/>
        <v>0</v>
      </c>
    </row>
    <row r="164" spans="1:24" ht="6" customHeight="1">
      <c r="A164" s="147"/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</row>
    <row r="165" spans="1:24" ht="15" customHeight="1">
      <c r="A165" s="154" t="s">
        <v>183</v>
      </c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</row>
    <row r="166" spans="1:24">
      <c r="A166" s="158" t="s">
        <v>232</v>
      </c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</row>
    <row r="167" spans="1:24">
      <c r="A167" s="75">
        <v>137</v>
      </c>
      <c r="B167" s="141" t="s">
        <v>184</v>
      </c>
      <c r="C167" s="142" t="s">
        <v>185</v>
      </c>
      <c r="D167" s="13">
        <v>4013561684.3899999</v>
      </c>
      <c r="E167" s="3">
        <f>(D167/$D$182)</f>
        <v>8.0256159220645593E-2</v>
      </c>
      <c r="F167" s="18">
        <v>1.91</v>
      </c>
      <c r="G167" s="18">
        <v>1.94</v>
      </c>
      <c r="H167" s="61">
        <v>14982</v>
      </c>
      <c r="I167" s="12">
        <v>6.7999999999999996E-3</v>
      </c>
      <c r="J167" s="12">
        <v>4.5999999999999999E-2</v>
      </c>
      <c r="K167" s="13">
        <v>4003833676.1700001</v>
      </c>
      <c r="L167" s="3">
        <f>(K167/$K$182)</f>
        <v>8.0851852586153267E-2</v>
      </c>
      <c r="M167" s="18">
        <v>1.9</v>
      </c>
      <c r="N167" s="18">
        <v>1.94</v>
      </c>
      <c r="O167" s="61">
        <v>14982</v>
      </c>
      <c r="P167" s="12">
        <v>-2.2000000000000001E-3</v>
      </c>
      <c r="Q167" s="12">
        <v>4.3700000000000003E-2</v>
      </c>
      <c r="R167" s="81">
        <f>((K167-D167)/D167)</f>
        <v>-2.4237844052167096E-3</v>
      </c>
      <c r="S167" s="81">
        <f>((N167-G167)/G167)</f>
        <v>0</v>
      </c>
      <c r="T167" s="81">
        <f>((O167-H167)/H167)</f>
        <v>0</v>
      </c>
      <c r="U167" s="81">
        <f>P167-I167</f>
        <v>-8.9999999999999993E-3</v>
      </c>
      <c r="V167" s="83">
        <f>Q167-J167</f>
        <v>-2.2999999999999965E-3</v>
      </c>
    </row>
    <row r="168" spans="1:24">
      <c r="A168" s="75">
        <v>138</v>
      </c>
      <c r="B168" s="141" t="s">
        <v>186</v>
      </c>
      <c r="C168" s="142" t="s">
        <v>42</v>
      </c>
      <c r="D168" s="13">
        <v>880244214.95000005</v>
      </c>
      <c r="E168" s="3">
        <f>(D168/$D$182)</f>
        <v>1.7601578204924577E-2</v>
      </c>
      <c r="F168" s="18">
        <v>465.56</v>
      </c>
      <c r="G168" s="18">
        <v>470.57</v>
      </c>
      <c r="H168" s="61">
        <v>792</v>
      </c>
      <c r="I168" s="12">
        <v>-8.8000000000000005E-3</v>
      </c>
      <c r="J168" s="12">
        <v>0.23230000000000001</v>
      </c>
      <c r="K168" s="13">
        <v>813368204.04999995</v>
      </c>
      <c r="L168" s="3">
        <f>(K168/$K$182)</f>
        <v>1.6424839653934365E-2</v>
      </c>
      <c r="M168" s="18">
        <v>444.86</v>
      </c>
      <c r="N168" s="18">
        <v>449.67</v>
      </c>
      <c r="O168" s="61">
        <v>798</v>
      </c>
      <c r="P168" s="12">
        <v>-4.4400000000000002E-2</v>
      </c>
      <c r="Q168" s="12">
        <v>0.17749999999999999</v>
      </c>
      <c r="R168" s="81">
        <f>((K168-D168)/D168)</f>
        <v>-7.5974382749904021E-2</v>
      </c>
      <c r="S168" s="81">
        <f>((N168-G168)/G168)</f>
        <v>-4.4414221051065683E-2</v>
      </c>
      <c r="T168" s="81">
        <f>((O168-H168)/H168)</f>
        <v>7.575757575757576E-3</v>
      </c>
      <c r="U168" s="81">
        <f>P168-I168</f>
        <v>-3.56E-2</v>
      </c>
      <c r="V168" s="83">
        <f>Q168-J168</f>
        <v>-5.4800000000000015E-2</v>
      </c>
    </row>
    <row r="169" spans="1:24" ht="6" customHeight="1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47"/>
      <c r="S169" s="147"/>
      <c r="T169" s="147"/>
      <c r="U169" s="147"/>
      <c r="V169" s="147"/>
    </row>
    <row r="170" spans="1:24" ht="15" customHeight="1">
      <c r="A170" s="158" t="s">
        <v>231</v>
      </c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</row>
    <row r="171" spans="1:24">
      <c r="A171" s="75">
        <v>139</v>
      </c>
      <c r="B171" s="141" t="s">
        <v>187</v>
      </c>
      <c r="C171" s="142" t="s">
        <v>188</v>
      </c>
      <c r="D171" s="2">
        <v>412460498.12</v>
      </c>
      <c r="E171" s="3">
        <f t="shared" ref="E171:E181" si="60">(D171/$D$182)</f>
        <v>8.2476608091241015E-3</v>
      </c>
      <c r="F171" s="2">
        <v>1037.03</v>
      </c>
      <c r="G171" s="2">
        <v>1037.03</v>
      </c>
      <c r="H171" s="60">
        <v>21</v>
      </c>
      <c r="I171" s="5">
        <v>1.1999999999999999E-3</v>
      </c>
      <c r="J171" s="5">
        <v>1.5900000000000001E-2</v>
      </c>
      <c r="K171" s="2">
        <v>400739193.85000002</v>
      </c>
      <c r="L171" s="3">
        <f t="shared" ref="L171:L181" si="61">(K171/$K$182)</f>
        <v>8.0923706745101055E-3</v>
      </c>
      <c r="M171" s="2">
        <v>1038.6300000000001</v>
      </c>
      <c r="N171" s="2">
        <v>1038.6300000000001</v>
      </c>
      <c r="O171" s="60">
        <v>20</v>
      </c>
      <c r="P171" s="5">
        <v>-9.9000000000000008E-3</v>
      </c>
      <c r="Q171" s="5">
        <v>1.84E-2</v>
      </c>
      <c r="R171" s="81">
        <f>((K171-D171)/D171)</f>
        <v>-2.8418004447518803E-2</v>
      </c>
      <c r="S171" s="81">
        <f>((N171-G171)/G171)</f>
        <v>1.5428676123160723E-3</v>
      </c>
      <c r="T171" s="81">
        <f>((O171-H171)/H171)</f>
        <v>-4.7619047619047616E-2</v>
      </c>
      <c r="U171" s="81">
        <f>P171-I171</f>
        <v>-1.11E-2</v>
      </c>
      <c r="V171" s="83">
        <f>Q171-J171</f>
        <v>2.4999999999999988E-3</v>
      </c>
      <c r="X171" s="70"/>
    </row>
    <row r="172" spans="1:24">
      <c r="A172" s="75">
        <v>140</v>
      </c>
      <c r="B172" s="141" t="s">
        <v>189</v>
      </c>
      <c r="C172" s="142" t="s">
        <v>58</v>
      </c>
      <c r="D172" s="2">
        <v>103994941.86</v>
      </c>
      <c r="E172" s="3">
        <f t="shared" si="60"/>
        <v>2.0795082443902796E-3</v>
      </c>
      <c r="F172" s="17">
        <v>110.57</v>
      </c>
      <c r="G172" s="17">
        <v>110.57</v>
      </c>
      <c r="H172" s="60">
        <v>67</v>
      </c>
      <c r="I172" s="5">
        <v>1.6000000000000001E-3</v>
      </c>
      <c r="J172" s="5">
        <v>8.4000000000000005E-2</v>
      </c>
      <c r="K172" s="2">
        <v>104238144.56</v>
      </c>
      <c r="L172" s="3">
        <f t="shared" si="61"/>
        <v>2.1049443557009067E-3</v>
      </c>
      <c r="M172" s="17">
        <v>110.77</v>
      </c>
      <c r="N172" s="17">
        <v>110.77</v>
      </c>
      <c r="O172" s="60">
        <v>67</v>
      </c>
      <c r="P172" s="5">
        <v>1.8E-3</v>
      </c>
      <c r="Q172" s="5">
        <v>9.6199999999999994E-2</v>
      </c>
      <c r="R172" s="81">
        <f t="shared" ref="R172:R183" si="62">((K172-D172)/D172)</f>
        <v>2.3386012401199969E-3</v>
      </c>
      <c r="S172" s="81">
        <f t="shared" ref="S172:S182" si="63">((N172-G172)/G172)</f>
        <v>1.8088088993398106E-3</v>
      </c>
      <c r="T172" s="81">
        <f t="shared" ref="T172:T182" si="64">((O172-H172)/H172)</f>
        <v>0</v>
      </c>
      <c r="U172" s="81">
        <f t="shared" ref="U172:U182" si="65">P172-I172</f>
        <v>1.9999999999999987E-4</v>
      </c>
      <c r="V172" s="83">
        <f t="shared" ref="V172:V182" si="66">Q172-J172</f>
        <v>1.2199999999999989E-2</v>
      </c>
    </row>
    <row r="173" spans="1:24">
      <c r="A173" s="75">
        <v>141</v>
      </c>
      <c r="B173" s="144" t="s">
        <v>190</v>
      </c>
      <c r="C173" s="142" t="s">
        <v>64</v>
      </c>
      <c r="D173" s="9">
        <v>55539768.93</v>
      </c>
      <c r="E173" s="3">
        <f t="shared" si="60"/>
        <v>1.110586777739135E-3</v>
      </c>
      <c r="F173" s="17">
        <v>100.14</v>
      </c>
      <c r="G173" s="17">
        <v>100.76</v>
      </c>
      <c r="H173" s="60">
        <v>12</v>
      </c>
      <c r="I173" s="5">
        <v>2.7000000000000001E-3</v>
      </c>
      <c r="J173" s="5">
        <v>4.2000000000000003E-2</v>
      </c>
      <c r="K173" s="9">
        <v>55756457.740000002</v>
      </c>
      <c r="L173" s="3">
        <f t="shared" si="61"/>
        <v>1.1259241183646904E-3</v>
      </c>
      <c r="M173" s="17">
        <v>100.52</v>
      </c>
      <c r="N173" s="17">
        <v>100.53</v>
      </c>
      <c r="O173" s="60">
        <v>12</v>
      </c>
      <c r="P173" s="5">
        <v>4.4000000000000003E-3</v>
      </c>
      <c r="Q173" s="5">
        <v>4.6399999999999997E-2</v>
      </c>
      <c r="R173" s="81">
        <f t="shared" si="62"/>
        <v>3.9015072294072361E-3</v>
      </c>
      <c r="S173" s="81">
        <f t="shared" si="63"/>
        <v>-2.2826518459706626E-3</v>
      </c>
      <c r="T173" s="81">
        <f t="shared" si="64"/>
        <v>0</v>
      </c>
      <c r="U173" s="81">
        <f t="shared" si="65"/>
        <v>1.7000000000000001E-3</v>
      </c>
      <c r="V173" s="83">
        <f t="shared" si="66"/>
        <v>4.3999999999999942E-3</v>
      </c>
    </row>
    <row r="174" spans="1:24">
      <c r="A174" s="75">
        <v>142</v>
      </c>
      <c r="B174" s="141" t="s">
        <v>191</v>
      </c>
      <c r="C174" s="142" t="s">
        <v>27</v>
      </c>
      <c r="D174" s="2">
        <v>10229550565.709999</v>
      </c>
      <c r="E174" s="3">
        <f t="shared" si="60"/>
        <v>0.20455259032154233</v>
      </c>
      <c r="F174" s="17">
        <v>135.86000000000001</v>
      </c>
      <c r="G174" s="17">
        <v>135.86000000000001</v>
      </c>
      <c r="H174" s="60">
        <v>668</v>
      </c>
      <c r="I174" s="5">
        <v>2.3999999999999998E-3</v>
      </c>
      <c r="J174" s="5">
        <v>1.61E-2</v>
      </c>
      <c r="K174" s="2">
        <v>10266184628.68</v>
      </c>
      <c r="L174" s="3">
        <f t="shared" si="61"/>
        <v>0.20731132043783354</v>
      </c>
      <c r="M174" s="17">
        <v>136.18</v>
      </c>
      <c r="N174" s="17">
        <v>136.18</v>
      </c>
      <c r="O174" s="60">
        <v>668</v>
      </c>
      <c r="P174" s="5">
        <v>2.3999999999999998E-3</v>
      </c>
      <c r="Q174" s="5">
        <v>1.8499999999999999E-2</v>
      </c>
      <c r="R174" s="81">
        <f t="shared" si="62"/>
        <v>3.5811996562977616E-3</v>
      </c>
      <c r="S174" s="81">
        <f t="shared" si="63"/>
        <v>2.3553658177535193E-3</v>
      </c>
      <c r="T174" s="81">
        <f t="shared" si="64"/>
        <v>0</v>
      </c>
      <c r="U174" s="81">
        <f t="shared" si="65"/>
        <v>0</v>
      </c>
      <c r="V174" s="83">
        <f t="shared" si="66"/>
        <v>2.3999999999999994E-3</v>
      </c>
    </row>
    <row r="175" spans="1:24">
      <c r="A175" s="75">
        <v>143</v>
      </c>
      <c r="B175" s="141" t="s">
        <v>249</v>
      </c>
      <c r="C175" s="142" t="s">
        <v>56</v>
      </c>
      <c r="D175" s="2">
        <v>245699422.22422135</v>
      </c>
      <c r="E175" s="3">
        <f t="shared" si="60"/>
        <v>4.9130656262592635E-3</v>
      </c>
      <c r="F175" s="4">
        <v>1044.6165836215632</v>
      </c>
      <c r="G175" s="4">
        <v>1044.6165836215632</v>
      </c>
      <c r="H175" s="60">
        <v>17</v>
      </c>
      <c r="I175" s="5">
        <v>0.11512597020376965</v>
      </c>
      <c r="J175" s="5">
        <v>0.11585932038796039</v>
      </c>
      <c r="K175" s="2">
        <v>247322972.67083186</v>
      </c>
      <c r="L175" s="3">
        <f t="shared" si="61"/>
        <v>4.9943434580128829E-3</v>
      </c>
      <c r="M175" s="4">
        <v>1046.8971700278307</v>
      </c>
      <c r="N175" s="4">
        <v>1046.8971700278307</v>
      </c>
      <c r="O175" s="60">
        <v>16</v>
      </c>
      <c r="P175" s="5">
        <v>0.11414914439572482</v>
      </c>
      <c r="Q175" s="5">
        <v>0.11585778394908887</v>
      </c>
      <c r="R175" s="81">
        <f t="shared" si="62"/>
        <v>6.6078724643026804E-3</v>
      </c>
      <c r="S175" s="81">
        <f t="shared" si="63"/>
        <v>2.1831803572952835E-3</v>
      </c>
      <c r="T175" s="81">
        <f t="shared" si="64"/>
        <v>-5.8823529411764705E-2</v>
      </c>
      <c r="U175" s="81">
        <f t="shared" si="65"/>
        <v>-9.768258080448261E-4</v>
      </c>
      <c r="V175" s="83">
        <f t="shared" si="66"/>
        <v>-1.5364388715188859E-6</v>
      </c>
    </row>
    <row r="176" spans="1:24">
      <c r="A176" s="75">
        <v>144</v>
      </c>
      <c r="B176" s="141" t="s">
        <v>192</v>
      </c>
      <c r="C176" s="142" t="s">
        <v>185</v>
      </c>
      <c r="D176" s="2">
        <v>19396904802.169998</v>
      </c>
      <c r="E176" s="3">
        <f t="shared" si="60"/>
        <v>0.38786524354297008</v>
      </c>
      <c r="F176" s="7">
        <v>1209.67</v>
      </c>
      <c r="G176" s="7">
        <v>1209.67</v>
      </c>
      <c r="H176" s="60">
        <v>7687</v>
      </c>
      <c r="I176" s="5">
        <v>1.6999999999999999E-3</v>
      </c>
      <c r="J176" s="5">
        <v>2.1100000000000001E-2</v>
      </c>
      <c r="K176" s="2">
        <v>18923784404.529999</v>
      </c>
      <c r="L176" s="3">
        <f t="shared" si="61"/>
        <v>0.38213950698141885</v>
      </c>
      <c r="M176" s="7">
        <v>1212.74</v>
      </c>
      <c r="N176" s="7">
        <v>1212.74</v>
      </c>
      <c r="O176" s="60">
        <v>7730</v>
      </c>
      <c r="P176" s="5">
        <v>2.5000000000000001E-3</v>
      </c>
      <c r="Q176" s="5">
        <v>2.3699999999999999E-2</v>
      </c>
      <c r="R176" s="81">
        <f t="shared" si="62"/>
        <v>-2.43915409425049E-2</v>
      </c>
      <c r="S176" s="81">
        <f t="shared" si="63"/>
        <v>2.5378822323443057E-3</v>
      </c>
      <c r="T176" s="81">
        <f t="shared" si="64"/>
        <v>5.5938597632366333E-3</v>
      </c>
      <c r="U176" s="81">
        <f t="shared" si="65"/>
        <v>8.0000000000000015E-4</v>
      </c>
      <c r="V176" s="83">
        <f t="shared" si="66"/>
        <v>2.5999999999999981E-3</v>
      </c>
    </row>
    <row r="177" spans="1:22">
      <c r="A177" s="75">
        <v>145</v>
      </c>
      <c r="B177" s="141" t="s">
        <v>193</v>
      </c>
      <c r="C177" s="142" t="s">
        <v>78</v>
      </c>
      <c r="D177" s="2">
        <v>1038048274.64</v>
      </c>
      <c r="E177" s="3">
        <f t="shared" si="60"/>
        <v>2.0757066705176627E-2</v>
      </c>
      <c r="F177" s="14">
        <v>103.59</v>
      </c>
      <c r="G177" s="14">
        <v>103.59</v>
      </c>
      <c r="H177" s="60">
        <v>541</v>
      </c>
      <c r="I177" s="5">
        <v>2.0999999999999999E-3</v>
      </c>
      <c r="J177" s="5">
        <v>4.3E-3</v>
      </c>
      <c r="K177" s="2">
        <v>1025759595.35</v>
      </c>
      <c r="L177" s="3">
        <f t="shared" si="61"/>
        <v>2.0713788408764332E-2</v>
      </c>
      <c r="M177" s="14">
        <v>103.84</v>
      </c>
      <c r="N177" s="14">
        <v>103.84</v>
      </c>
      <c r="O177" s="60">
        <v>542</v>
      </c>
      <c r="P177" s="5">
        <v>2.3999999999999998E-3</v>
      </c>
      <c r="Q177" s="5">
        <v>6.3E-3</v>
      </c>
      <c r="R177" s="81">
        <f t="shared" si="62"/>
        <v>-1.1838254145031679E-2</v>
      </c>
      <c r="S177" s="81">
        <f t="shared" si="63"/>
        <v>2.4133603629693987E-3</v>
      </c>
      <c r="T177" s="81">
        <f t="shared" si="64"/>
        <v>1.8484288354898336E-3</v>
      </c>
      <c r="U177" s="81">
        <f t="shared" si="65"/>
        <v>2.9999999999999992E-4</v>
      </c>
      <c r="V177" s="83">
        <f t="shared" si="66"/>
        <v>2E-3</v>
      </c>
    </row>
    <row r="178" spans="1:22" ht="15.75" customHeight="1">
      <c r="A178" s="75">
        <v>146</v>
      </c>
      <c r="B178" s="141" t="s">
        <v>194</v>
      </c>
      <c r="C178" s="142" t="s">
        <v>42</v>
      </c>
      <c r="D178" s="2">
        <v>8023396807.8800001</v>
      </c>
      <c r="E178" s="3">
        <f t="shared" si="60"/>
        <v>0.16043780121981707</v>
      </c>
      <c r="F178" s="14">
        <v>129.41999999999999</v>
      </c>
      <c r="G178" s="14">
        <v>129.41999999999999</v>
      </c>
      <c r="H178" s="60">
        <v>1127</v>
      </c>
      <c r="I178" s="5">
        <v>1.4E-3</v>
      </c>
      <c r="J178" s="5">
        <v>8.8000000000000005E-3</v>
      </c>
      <c r="K178" s="2">
        <v>8029453839.96</v>
      </c>
      <c r="L178" s="3">
        <f t="shared" si="61"/>
        <v>0.16214365298929659</v>
      </c>
      <c r="M178" s="14">
        <v>129.6</v>
      </c>
      <c r="N178" s="14">
        <v>129.6</v>
      </c>
      <c r="O178" s="60">
        <v>1134</v>
      </c>
      <c r="P178" s="5">
        <v>1.4E-3</v>
      </c>
      <c r="Q178" s="5">
        <v>1.0200000000000001E-2</v>
      </c>
      <c r="R178" s="81">
        <f t="shared" si="62"/>
        <v>7.549211668119349E-4</v>
      </c>
      <c r="S178" s="81">
        <f t="shared" si="63"/>
        <v>1.3908205841446982E-3</v>
      </c>
      <c r="T178" s="81">
        <f t="shared" si="64"/>
        <v>6.2111801242236021E-3</v>
      </c>
      <c r="U178" s="81">
        <f t="shared" si="65"/>
        <v>0</v>
      </c>
      <c r="V178" s="83">
        <f t="shared" si="66"/>
        <v>1.4000000000000002E-3</v>
      </c>
    </row>
    <row r="179" spans="1:22">
      <c r="A179" s="75">
        <v>147</v>
      </c>
      <c r="B179" s="141" t="s">
        <v>195</v>
      </c>
      <c r="C179" s="142" t="s">
        <v>45</v>
      </c>
      <c r="D179" s="2">
        <v>5064634391.8599997</v>
      </c>
      <c r="E179" s="3">
        <f t="shared" si="60"/>
        <v>0.10127366566417945</v>
      </c>
      <c r="F179" s="14">
        <v>1.1938</v>
      </c>
      <c r="G179" s="14">
        <v>1.1938</v>
      </c>
      <c r="H179" s="60">
        <v>604</v>
      </c>
      <c r="I179" s="5">
        <v>9.6100000000000005E-2</v>
      </c>
      <c r="J179" s="5">
        <v>9.6100000000000005E-2</v>
      </c>
      <c r="K179" s="2">
        <v>5090326161.5600004</v>
      </c>
      <c r="L179" s="3">
        <f t="shared" si="61"/>
        <v>0.10279205724239328</v>
      </c>
      <c r="M179" s="14">
        <v>1.1959</v>
      </c>
      <c r="N179" s="14">
        <v>1.1959</v>
      </c>
      <c r="O179" s="60">
        <v>604</v>
      </c>
      <c r="P179" s="5">
        <v>9.6000000000000002E-2</v>
      </c>
      <c r="Q179" s="5">
        <v>9.6600000000000005E-2</v>
      </c>
      <c r="R179" s="81">
        <f t="shared" si="62"/>
        <v>5.0727787461407247E-3</v>
      </c>
      <c r="S179" s="81">
        <f t="shared" si="63"/>
        <v>1.7590886245602202E-3</v>
      </c>
      <c r="T179" s="81">
        <f t="shared" si="64"/>
        <v>0</v>
      </c>
      <c r="U179" s="81">
        <f t="shared" si="65"/>
        <v>-1.0000000000000286E-4</v>
      </c>
      <c r="V179" s="83">
        <f t="shared" si="66"/>
        <v>5.0000000000000044E-4</v>
      </c>
    </row>
    <row r="180" spans="1:22">
      <c r="A180" s="75">
        <v>148</v>
      </c>
      <c r="B180" s="141" t="s">
        <v>196</v>
      </c>
      <c r="C180" s="142" t="s">
        <v>197</v>
      </c>
      <c r="D180" s="2">
        <v>405128964.19999999</v>
      </c>
      <c r="E180" s="3">
        <f t="shared" si="60"/>
        <v>8.1010576671059868E-3</v>
      </c>
      <c r="F180" s="18">
        <v>112.94889999999999</v>
      </c>
      <c r="G180" s="18">
        <v>113.44540000000001</v>
      </c>
      <c r="H180" s="61">
        <v>183</v>
      </c>
      <c r="I180" s="5">
        <v>2.41E-2</v>
      </c>
      <c r="J180" s="5">
        <v>0.1396</v>
      </c>
      <c r="K180" s="2">
        <v>418253310.23000002</v>
      </c>
      <c r="L180" s="3">
        <f t="shared" si="61"/>
        <v>8.4460438962926498E-3</v>
      </c>
      <c r="M180" s="18">
        <v>113.97709999999999</v>
      </c>
      <c r="N180" s="18">
        <v>114.4717</v>
      </c>
      <c r="O180" s="61">
        <v>183</v>
      </c>
      <c r="P180" s="5">
        <v>1.03E-2</v>
      </c>
      <c r="Q180" s="5">
        <v>0.14990000000000001</v>
      </c>
      <c r="R180" s="81">
        <f>((K180-D180)/D180)</f>
        <v>3.239547697093545E-2</v>
      </c>
      <c r="S180" s="81">
        <f>((N180-G180)/G180)</f>
        <v>9.0466427021280004E-3</v>
      </c>
      <c r="T180" s="81">
        <f>((O180-H180)/H180)</f>
        <v>0</v>
      </c>
      <c r="U180" s="81">
        <f>P180-I180</f>
        <v>-1.38E-2</v>
      </c>
      <c r="V180" s="83">
        <f>Q180-J180</f>
        <v>1.0300000000000004E-2</v>
      </c>
    </row>
    <row r="181" spans="1:22">
      <c r="A181" s="75">
        <v>149</v>
      </c>
      <c r="B181" s="141" t="s">
        <v>244</v>
      </c>
      <c r="C181" s="142" t="s">
        <v>197</v>
      </c>
      <c r="D181" s="2">
        <v>140227133.63999999</v>
      </c>
      <c r="E181" s="3">
        <f t="shared" si="60"/>
        <v>2.804015996125655E-3</v>
      </c>
      <c r="F181" s="18">
        <v>100.47329999999999</v>
      </c>
      <c r="G181" s="18">
        <v>100.47329999999999</v>
      </c>
      <c r="H181" s="61">
        <v>66</v>
      </c>
      <c r="I181" s="5">
        <v>1.9220000000000001E-3</v>
      </c>
      <c r="J181" s="5">
        <v>3.2780000000000001E-3</v>
      </c>
      <c r="K181" s="2">
        <v>141597035.38</v>
      </c>
      <c r="L181" s="3">
        <f t="shared" si="61"/>
        <v>2.8593551973246346E-3</v>
      </c>
      <c r="M181" s="18">
        <v>100.6627</v>
      </c>
      <c r="N181" s="18">
        <v>100.6627</v>
      </c>
      <c r="O181" s="61">
        <v>66</v>
      </c>
      <c r="P181" s="5">
        <v>1.8940000000000001E-3</v>
      </c>
      <c r="Q181" s="5">
        <v>5.1720000000000004E-3</v>
      </c>
      <c r="R181" s="81">
        <f t="shared" si="62"/>
        <v>9.7691631030333136E-3</v>
      </c>
      <c r="S181" s="81">
        <f t="shared" si="63"/>
        <v>1.885077926175474E-3</v>
      </c>
      <c r="T181" s="81">
        <f t="shared" si="64"/>
        <v>0</v>
      </c>
      <c r="U181" s="81">
        <f t="shared" si="65"/>
        <v>-2.800000000000003E-5</v>
      </c>
      <c r="V181" s="83">
        <f t="shared" si="66"/>
        <v>1.8940000000000003E-3</v>
      </c>
    </row>
    <row r="182" spans="1:22">
      <c r="A182" s="85"/>
      <c r="B182" s="19"/>
      <c r="C182" s="66" t="s">
        <v>46</v>
      </c>
      <c r="D182" s="59">
        <f>SUM(D167:D181)</f>
        <v>50009391470.574211</v>
      </c>
      <c r="E182" s="100">
        <f>(D182/$D$183)</f>
        <v>1.7834929106792581E-2</v>
      </c>
      <c r="F182" s="30"/>
      <c r="G182" s="34"/>
      <c r="H182" s="68">
        <f>SUM(H167:H181)</f>
        <v>26767</v>
      </c>
      <c r="I182" s="35"/>
      <c r="J182" s="35"/>
      <c r="K182" s="59">
        <f>SUM(K167:K181)</f>
        <v>49520617624.730827</v>
      </c>
      <c r="L182" s="100">
        <f>(K182/$K$183)</f>
        <v>1.7572350896535444E-2</v>
      </c>
      <c r="M182" s="30"/>
      <c r="N182" s="34"/>
      <c r="O182" s="68">
        <f>SUM(O167:O181)</f>
        <v>26822</v>
      </c>
      <c r="P182" s="35"/>
      <c r="Q182" s="35"/>
      <c r="R182" s="81">
        <f t="shared" si="62"/>
        <v>-9.7736411396043658E-3</v>
      </c>
      <c r="S182" s="81" t="e">
        <f t="shared" si="63"/>
        <v>#DIV/0!</v>
      </c>
      <c r="T182" s="81">
        <f t="shared" si="64"/>
        <v>2.0547689318937499E-3</v>
      </c>
      <c r="U182" s="81">
        <f t="shared" si="65"/>
        <v>0</v>
      </c>
      <c r="V182" s="83">
        <f t="shared" si="66"/>
        <v>0</v>
      </c>
    </row>
    <row r="183" spans="1:22">
      <c r="A183" s="86"/>
      <c r="B183" s="38"/>
      <c r="C183" s="67" t="s">
        <v>198</v>
      </c>
      <c r="D183" s="69">
        <f>SUM(D22,D55,D91,D120,D128,D157,D163,D182)</f>
        <v>2804014031742.2241</v>
      </c>
      <c r="E183" s="39"/>
      <c r="F183" s="39"/>
      <c r="G183" s="40"/>
      <c r="H183" s="69">
        <f>SUM(H22,H55,H91,H120,H128,H157,H163,H182)</f>
        <v>714699</v>
      </c>
      <c r="I183" s="41"/>
      <c r="J183" s="41"/>
      <c r="K183" s="69">
        <f>SUM(K22,K55,K91,K120,K128,K157,K163,K182)</f>
        <v>2818098609361.0439</v>
      </c>
      <c r="L183" s="39"/>
      <c r="M183" s="39"/>
      <c r="N183" s="40"/>
      <c r="O183" s="69">
        <f>SUM(O22,O55,O91,O120,O128,O157,O163,O182)</f>
        <v>715699</v>
      </c>
      <c r="P183" s="42"/>
      <c r="Q183" s="69"/>
      <c r="R183" s="25">
        <f t="shared" si="62"/>
        <v>5.0230053984675043E-3</v>
      </c>
      <c r="S183" s="25"/>
      <c r="T183" s="25"/>
      <c r="U183" s="25"/>
      <c r="V183" s="25"/>
    </row>
    <row r="184" spans="1:22" ht="6.75" customHeight="1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9"/>
    </row>
    <row r="185" spans="1:22" ht="15.75">
      <c r="A185" s="154" t="s">
        <v>199</v>
      </c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</row>
    <row r="186" spans="1:22">
      <c r="A186" s="75">
        <v>1</v>
      </c>
      <c r="B186" s="141" t="s">
        <v>200</v>
      </c>
      <c r="C186" s="142" t="s">
        <v>201</v>
      </c>
      <c r="D186" s="2">
        <v>92548651821</v>
      </c>
      <c r="E186" s="3">
        <f>(D186/$D$188)</f>
        <v>0.97767094467464899</v>
      </c>
      <c r="F186" s="14">
        <v>114</v>
      </c>
      <c r="G186" s="14">
        <v>114</v>
      </c>
      <c r="H186" s="64">
        <v>0</v>
      </c>
      <c r="I186" s="20">
        <v>0</v>
      </c>
      <c r="J186" s="20">
        <v>0.13800000000000001</v>
      </c>
      <c r="K186" s="2">
        <v>92548651821</v>
      </c>
      <c r="L186" s="3">
        <f>(K186/$K$188)</f>
        <v>0.97758578869590007</v>
      </c>
      <c r="M186" s="14">
        <v>114</v>
      </c>
      <c r="N186" s="14">
        <v>114</v>
      </c>
      <c r="O186" s="64">
        <v>0</v>
      </c>
      <c r="P186" s="20">
        <v>0</v>
      </c>
      <c r="Q186" s="20">
        <v>0.13800000000000001</v>
      </c>
      <c r="R186" s="81">
        <f>((K186-D186)/D186)</f>
        <v>0</v>
      </c>
      <c r="S186" s="81">
        <f>((N186-G186)/G186)</f>
        <v>0</v>
      </c>
      <c r="T186" s="81" t="e">
        <f>((O186-H186)/H186)</f>
        <v>#DIV/0!</v>
      </c>
      <c r="U186" s="81">
        <f>P186-I186</f>
        <v>0</v>
      </c>
      <c r="V186" s="83">
        <f>Q186-J186</f>
        <v>0</v>
      </c>
    </row>
    <row r="187" spans="1:22">
      <c r="A187" s="75">
        <v>2</v>
      </c>
      <c r="B187" s="141" t="s">
        <v>202</v>
      </c>
      <c r="C187" s="142" t="s">
        <v>45</v>
      </c>
      <c r="D187" s="2">
        <v>2113721368.1700001</v>
      </c>
      <c r="E187" s="3">
        <f>(D187/$D$188)</f>
        <v>2.2329055325351E-2</v>
      </c>
      <c r="F187" s="21">
        <v>1000000</v>
      </c>
      <c r="G187" s="21">
        <v>1000000</v>
      </c>
      <c r="H187" s="64">
        <v>0</v>
      </c>
      <c r="I187" s="20">
        <v>0.1641</v>
      </c>
      <c r="J187" s="20">
        <v>0.1641</v>
      </c>
      <c r="K187" s="2">
        <v>2121967260.3800001</v>
      </c>
      <c r="L187" s="3">
        <f>(K187/$K$188)</f>
        <v>2.2414211304099867E-2</v>
      </c>
      <c r="M187" s="21">
        <v>1000000</v>
      </c>
      <c r="N187" s="21">
        <v>1000000</v>
      </c>
      <c r="O187" s="64">
        <v>0</v>
      </c>
      <c r="P187" s="20" t="s">
        <v>265</v>
      </c>
      <c r="Q187" s="20" t="s">
        <v>265</v>
      </c>
      <c r="R187" s="81">
        <f>((K187-D187)/D187)</f>
        <v>3.9011254435768407E-3</v>
      </c>
      <c r="S187" s="81">
        <f>((N187-G187)/G187)</f>
        <v>0</v>
      </c>
      <c r="T187" s="81" t="e">
        <f>((O187-H187)/H187)</f>
        <v>#DIV/0!</v>
      </c>
      <c r="U187" s="81" t="e">
        <f>P187-I187</f>
        <v>#VALUE!</v>
      </c>
      <c r="V187" s="83" t="e">
        <f>Q187-J187</f>
        <v>#VALUE!</v>
      </c>
    </row>
    <row r="188" spans="1:22">
      <c r="A188" s="38"/>
      <c r="B188" s="38"/>
      <c r="C188" s="67" t="s">
        <v>203</v>
      </c>
      <c r="D188" s="73">
        <f>SUM(D186:D187)</f>
        <v>94662373189.169998</v>
      </c>
      <c r="E188" s="24"/>
      <c r="F188" s="22"/>
      <c r="G188" s="22"/>
      <c r="H188" s="73">
        <f>SUM(H186:H187)</f>
        <v>0</v>
      </c>
      <c r="I188" s="23"/>
      <c r="J188" s="23"/>
      <c r="K188" s="73">
        <f>SUM(K186:K187)</f>
        <v>94670619081.380005</v>
      </c>
      <c r="L188" s="24"/>
      <c r="M188" s="22"/>
      <c r="N188" s="22"/>
      <c r="O188" s="23"/>
      <c r="P188" s="23"/>
      <c r="Q188" s="73"/>
      <c r="R188" s="25">
        <f>((K188-D188)/D188)</f>
        <v>8.7108445860832257E-5</v>
      </c>
      <c r="S188" s="26"/>
      <c r="T188" s="26"/>
      <c r="U188" s="25">
        <f>O188-H188</f>
        <v>0</v>
      </c>
      <c r="V188" s="87">
        <f>P188-I188</f>
        <v>0</v>
      </c>
    </row>
    <row r="189" spans="1:22" ht="8.25" customHeight="1">
      <c r="A189" s="159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</row>
    <row r="190" spans="1:22" ht="15.75">
      <c r="A190" s="154" t="s">
        <v>204</v>
      </c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</row>
    <row r="191" spans="1:22">
      <c r="A191" s="75">
        <v>1</v>
      </c>
      <c r="B191" s="141" t="s">
        <v>205</v>
      </c>
      <c r="C191" s="142" t="s">
        <v>74</v>
      </c>
      <c r="D191" s="27">
        <v>1034375548.15</v>
      </c>
      <c r="E191" s="10">
        <f t="shared" ref="E191:E202" si="67">(D191/$D$203)</f>
        <v>7.3402370402100112E-2</v>
      </c>
      <c r="F191" s="21">
        <v>243.76</v>
      </c>
      <c r="G191" s="21">
        <v>247.94</v>
      </c>
      <c r="H191" s="63">
        <v>61</v>
      </c>
      <c r="I191" s="28">
        <v>3.574369952589751E-2</v>
      </c>
      <c r="J191" s="28">
        <v>0.42344283107834313</v>
      </c>
      <c r="K191" s="27">
        <v>998226811.79454339</v>
      </c>
      <c r="L191" s="10">
        <f t="shared" ref="L191:L202" si="68">(K191/$K$203)</f>
        <v>7.2751237176318442E-2</v>
      </c>
      <c r="M191" s="21">
        <v>235.2366706243769</v>
      </c>
      <c r="N191" s="21">
        <v>239.52231926004478</v>
      </c>
      <c r="O191" s="63">
        <v>61</v>
      </c>
      <c r="P191" s="28">
        <v>-3.4966070625299883E-2</v>
      </c>
      <c r="Q191" s="28">
        <v>0.34555115595679498</v>
      </c>
      <c r="R191" s="81">
        <f>((K191-D191)/D191)</f>
        <v>-3.4947400313270441E-2</v>
      </c>
      <c r="S191" s="81">
        <f>((N191-G191)/G191)</f>
        <v>-3.3950474872772508E-2</v>
      </c>
      <c r="T191" s="81">
        <f>((O191-H191)/H191)</f>
        <v>0</v>
      </c>
      <c r="U191" s="81">
        <f>P191-I191</f>
        <v>-7.0709770151197393E-2</v>
      </c>
      <c r="V191" s="83">
        <f>Q191-J191</f>
        <v>-7.7891675121548154E-2</v>
      </c>
    </row>
    <row r="192" spans="1:22">
      <c r="A192" s="75">
        <v>2</v>
      </c>
      <c r="B192" s="141" t="s">
        <v>206</v>
      </c>
      <c r="C192" s="142" t="s">
        <v>185</v>
      </c>
      <c r="D192" s="27">
        <v>1047437088.5</v>
      </c>
      <c r="E192" s="10">
        <f t="shared" si="67"/>
        <v>7.4329256216935369E-2</v>
      </c>
      <c r="F192" s="21">
        <v>29.79</v>
      </c>
      <c r="G192" s="21">
        <v>32.93</v>
      </c>
      <c r="H192" s="63">
        <v>187</v>
      </c>
      <c r="I192" s="28">
        <v>3.8899999999999997E-2</v>
      </c>
      <c r="J192" s="28">
        <v>0.38990000000000002</v>
      </c>
      <c r="K192" s="27">
        <v>1010113341.66</v>
      </c>
      <c r="L192" s="10">
        <f t="shared" si="68"/>
        <v>7.361753303536335E-2</v>
      </c>
      <c r="M192" s="21">
        <v>28.73</v>
      </c>
      <c r="N192" s="21">
        <v>31.76</v>
      </c>
      <c r="O192" s="63">
        <v>187</v>
      </c>
      <c r="P192" s="28">
        <v>-3.56E-2</v>
      </c>
      <c r="Q192" s="28">
        <v>0.34039999999999998</v>
      </c>
      <c r="R192" s="81">
        <f t="shared" ref="R192:R203" si="69">((K192-D192)/D192)</f>
        <v>-3.5633401995961531E-2</v>
      </c>
      <c r="S192" s="81">
        <f t="shared" ref="S192:S203" si="70">((N192-G192)/G192)</f>
        <v>-3.5529911934406258E-2</v>
      </c>
      <c r="T192" s="81">
        <f t="shared" ref="T192:T203" si="71">((O192-H192)/H192)</f>
        <v>0</v>
      </c>
      <c r="U192" s="81">
        <f t="shared" ref="U192:U203" si="72">P192-I192</f>
        <v>-7.4499999999999997E-2</v>
      </c>
      <c r="V192" s="83">
        <f t="shared" ref="V192:V203" si="73">Q192-J192</f>
        <v>-4.9500000000000044E-2</v>
      </c>
    </row>
    <row r="193" spans="1:22">
      <c r="A193" s="75">
        <v>3</v>
      </c>
      <c r="B193" s="141" t="s">
        <v>207</v>
      </c>
      <c r="C193" s="142" t="s">
        <v>36</v>
      </c>
      <c r="D193" s="27">
        <v>285131052.02999997</v>
      </c>
      <c r="E193" s="10">
        <f t="shared" si="67"/>
        <v>2.0233748885188724E-2</v>
      </c>
      <c r="F193" s="21">
        <v>21.274467999999999</v>
      </c>
      <c r="G193" s="21">
        <v>21.694368999999998</v>
      </c>
      <c r="H193" s="63">
        <v>75</v>
      </c>
      <c r="I193" s="28">
        <v>-3.2328460525778979E-2</v>
      </c>
      <c r="J193" s="28">
        <v>-9.4324706437713624E-2</v>
      </c>
      <c r="K193" s="27">
        <v>272864794.26999998</v>
      </c>
      <c r="L193" s="10">
        <f t="shared" si="68"/>
        <v>1.9886513896893724E-2</v>
      </c>
      <c r="M193" s="21">
        <v>20.359245999999999</v>
      </c>
      <c r="N193" s="21">
        <v>20.794058</v>
      </c>
      <c r="O193" s="63">
        <v>75</v>
      </c>
      <c r="P193" s="28">
        <v>-4.3019719082400765E-2</v>
      </c>
      <c r="Q193" s="28">
        <v>-0.13328660314663399</v>
      </c>
      <c r="R193" s="81">
        <f t="shared" si="69"/>
        <v>-4.3019719082400751E-2</v>
      </c>
      <c r="S193" s="81">
        <f t="shared" si="70"/>
        <v>-4.1499755074692356E-2</v>
      </c>
      <c r="T193" s="81">
        <f t="shared" si="71"/>
        <v>0</v>
      </c>
      <c r="U193" s="81">
        <f t="shared" si="72"/>
        <v>-1.0691258556621785E-2</v>
      </c>
      <c r="V193" s="83">
        <f t="shared" si="73"/>
        <v>-3.8961896708920363E-2</v>
      </c>
    </row>
    <row r="194" spans="1:22">
      <c r="A194" s="75">
        <v>4</v>
      </c>
      <c r="B194" s="141" t="s">
        <v>208</v>
      </c>
      <c r="C194" s="142" t="s">
        <v>36</v>
      </c>
      <c r="D194" s="27">
        <v>568818835.37</v>
      </c>
      <c r="E194" s="10">
        <f t="shared" si="67"/>
        <v>4.036507912449723E-2</v>
      </c>
      <c r="F194" s="21">
        <v>42.684569000000003</v>
      </c>
      <c r="G194" s="21">
        <v>43.185043999999998</v>
      </c>
      <c r="H194" s="63">
        <v>61</v>
      </c>
      <c r="I194" s="28">
        <v>1.2340050966144211E-3</v>
      </c>
      <c r="J194" s="28">
        <v>0.13363009168108642</v>
      </c>
      <c r="K194" s="27">
        <v>541514531.25</v>
      </c>
      <c r="L194" s="10">
        <f t="shared" si="68"/>
        <v>3.9465832446003435E-2</v>
      </c>
      <c r="M194" s="21">
        <v>40.635635000000001</v>
      </c>
      <c r="N194" s="21">
        <v>41.158033000000003</v>
      </c>
      <c r="O194" s="63">
        <v>61</v>
      </c>
      <c r="P194" s="28">
        <v>-4.8001758068083933E-2</v>
      </c>
      <c r="Q194" s="28">
        <v>7.9213854281511065E-2</v>
      </c>
      <c r="R194" s="81">
        <f t="shared" si="69"/>
        <v>-4.8001758068083933E-2</v>
      </c>
      <c r="S194" s="81">
        <f t="shared" si="70"/>
        <v>-4.6937800966464098E-2</v>
      </c>
      <c r="T194" s="81">
        <f t="shared" si="71"/>
        <v>0</v>
      </c>
      <c r="U194" s="81">
        <f t="shared" si="72"/>
        <v>-4.9235763164698354E-2</v>
      </c>
      <c r="V194" s="83">
        <f t="shared" si="73"/>
        <v>-5.4416237399575351E-2</v>
      </c>
    </row>
    <row r="195" spans="1:22">
      <c r="A195" s="75">
        <v>5</v>
      </c>
      <c r="B195" s="141" t="s">
        <v>209</v>
      </c>
      <c r="C195" s="142" t="s">
        <v>210</v>
      </c>
      <c r="D195" s="27">
        <v>1247708233.9000001</v>
      </c>
      <c r="E195" s="10">
        <f t="shared" si="67"/>
        <v>8.8541093321742759E-2</v>
      </c>
      <c r="F195" s="21">
        <v>18700</v>
      </c>
      <c r="G195" s="21">
        <v>22400</v>
      </c>
      <c r="H195" s="63">
        <v>220</v>
      </c>
      <c r="I195" s="28">
        <v>0.03</v>
      </c>
      <c r="J195" s="28">
        <v>0.62</v>
      </c>
      <c r="K195" s="27">
        <v>1297319735.8399999</v>
      </c>
      <c r="L195" s="10">
        <f t="shared" si="68"/>
        <v>9.4549269445029074E-2</v>
      </c>
      <c r="M195" s="21">
        <v>18700</v>
      </c>
      <c r="N195" s="21">
        <v>22400</v>
      </c>
      <c r="O195" s="63">
        <v>220</v>
      </c>
      <c r="P195" s="28">
        <v>0.04</v>
      </c>
      <c r="Q195" s="28">
        <v>0.69</v>
      </c>
      <c r="R195" s="81">
        <f t="shared" si="69"/>
        <v>3.9762101901762416E-2</v>
      </c>
      <c r="S195" s="81">
        <f t="shared" si="70"/>
        <v>0</v>
      </c>
      <c r="T195" s="81">
        <f t="shared" si="71"/>
        <v>0</v>
      </c>
      <c r="U195" s="81">
        <f t="shared" si="72"/>
        <v>1.0000000000000002E-2</v>
      </c>
      <c r="V195" s="83">
        <f t="shared" si="73"/>
        <v>6.9999999999999951E-2</v>
      </c>
    </row>
    <row r="196" spans="1:22">
      <c r="A196" s="75">
        <v>6</v>
      </c>
      <c r="B196" s="141" t="s">
        <v>211</v>
      </c>
      <c r="C196" s="142" t="s">
        <v>212</v>
      </c>
      <c r="D196" s="27">
        <v>1094051005.3099999</v>
      </c>
      <c r="E196" s="10">
        <f t="shared" si="67"/>
        <v>7.7637118621165471E-2</v>
      </c>
      <c r="F196" s="21">
        <v>1090</v>
      </c>
      <c r="G196" s="21">
        <v>1090</v>
      </c>
      <c r="H196" s="63">
        <v>78</v>
      </c>
      <c r="I196" s="28">
        <v>9.5999999999999992E-3</v>
      </c>
      <c r="J196" s="28">
        <v>0.14449999999999999</v>
      </c>
      <c r="K196" s="27">
        <v>1062256434.8099999</v>
      </c>
      <c r="L196" s="10">
        <f t="shared" si="68"/>
        <v>7.7417746065148507E-2</v>
      </c>
      <c r="M196" s="21">
        <v>899.9</v>
      </c>
      <c r="N196" s="21">
        <v>899.9</v>
      </c>
      <c r="O196" s="63">
        <v>78</v>
      </c>
      <c r="P196" s="28">
        <v>-2.9100000000000001E-2</v>
      </c>
      <c r="Q196" s="28">
        <v>0.11210000000000001</v>
      </c>
      <c r="R196" s="81">
        <f t="shared" si="69"/>
        <v>-2.9061323782606452E-2</v>
      </c>
      <c r="S196" s="81">
        <f t="shared" si="70"/>
        <v>-0.17440366972477067</v>
      </c>
      <c r="T196" s="81">
        <f t="shared" si="71"/>
        <v>0</v>
      </c>
      <c r="U196" s="81">
        <f t="shared" si="72"/>
        <v>-3.8699999999999998E-2</v>
      </c>
      <c r="V196" s="83">
        <f t="shared" si="73"/>
        <v>-3.2399999999999984E-2</v>
      </c>
    </row>
    <row r="197" spans="1:22">
      <c r="A197" s="75">
        <v>7</v>
      </c>
      <c r="B197" s="141" t="s">
        <v>213</v>
      </c>
      <c r="C197" s="142" t="s">
        <v>212</v>
      </c>
      <c r="D197" s="27">
        <v>980520342.34000003</v>
      </c>
      <c r="E197" s="10">
        <f t="shared" si="67"/>
        <v>6.9580644557925675E-2</v>
      </c>
      <c r="F197" s="21">
        <v>765</v>
      </c>
      <c r="G197" s="21">
        <v>765</v>
      </c>
      <c r="H197" s="63">
        <v>468</v>
      </c>
      <c r="I197" s="28">
        <v>4.7300000000000002E-2</v>
      </c>
      <c r="J197" s="28">
        <v>0.46650000000000003</v>
      </c>
      <c r="K197" s="27">
        <v>952578455.63999999</v>
      </c>
      <c r="L197" s="10">
        <f t="shared" si="68"/>
        <v>6.9424363618055637E-2</v>
      </c>
      <c r="M197" s="21">
        <v>843</v>
      </c>
      <c r="N197" s="21">
        <v>843</v>
      </c>
      <c r="O197" s="63">
        <v>468</v>
      </c>
      <c r="P197" s="28">
        <v>-2.8500000000000001E-2</v>
      </c>
      <c r="Q197" s="28">
        <v>0.42509999999999998</v>
      </c>
      <c r="R197" s="81">
        <f t="shared" si="69"/>
        <v>-2.849699847462325E-2</v>
      </c>
      <c r="S197" s="81">
        <f t="shared" si="70"/>
        <v>0.10196078431372549</v>
      </c>
      <c r="T197" s="81">
        <f t="shared" si="71"/>
        <v>0</v>
      </c>
      <c r="U197" s="81">
        <f t="shared" si="72"/>
        <v>-7.5800000000000006E-2</v>
      </c>
      <c r="V197" s="83">
        <f t="shared" si="73"/>
        <v>-4.1400000000000048E-2</v>
      </c>
    </row>
    <row r="198" spans="1:22">
      <c r="A198" s="75">
        <v>8</v>
      </c>
      <c r="B198" s="141" t="s">
        <v>214</v>
      </c>
      <c r="C198" s="142" t="s">
        <v>215</v>
      </c>
      <c r="D198" s="27">
        <v>370716522.50999999</v>
      </c>
      <c r="E198" s="10">
        <f t="shared" si="67"/>
        <v>2.6307148837891352E-2</v>
      </c>
      <c r="F198" s="21">
        <v>16.350000000000001</v>
      </c>
      <c r="G198" s="21">
        <v>16.45</v>
      </c>
      <c r="H198" s="63">
        <v>56</v>
      </c>
      <c r="I198" s="28">
        <v>8.7800000000000003E-2</v>
      </c>
      <c r="J198" s="28">
        <v>0.4148</v>
      </c>
      <c r="K198" s="27">
        <v>378308668.70999998</v>
      </c>
      <c r="L198" s="10">
        <f t="shared" si="68"/>
        <v>2.7571312809861886E-2</v>
      </c>
      <c r="M198" s="21">
        <v>16.68</v>
      </c>
      <c r="N198" s="21">
        <v>16.78</v>
      </c>
      <c r="O198" s="63">
        <v>56</v>
      </c>
      <c r="P198" s="28">
        <v>3.73E-2</v>
      </c>
      <c r="Q198" s="28">
        <v>0.46750000000000003</v>
      </c>
      <c r="R198" s="81">
        <f t="shared" si="69"/>
        <v>2.0479654234443225E-2</v>
      </c>
      <c r="S198" s="81">
        <f t="shared" si="70"/>
        <v>2.0060790273556343E-2</v>
      </c>
      <c r="T198" s="81">
        <f t="shared" si="71"/>
        <v>0</v>
      </c>
      <c r="U198" s="81">
        <f t="shared" si="72"/>
        <v>-5.0500000000000003E-2</v>
      </c>
      <c r="V198" s="83">
        <f t="shared" si="73"/>
        <v>5.2700000000000025E-2</v>
      </c>
    </row>
    <row r="199" spans="1:22">
      <c r="A199" s="75">
        <v>9</v>
      </c>
      <c r="B199" s="141" t="s">
        <v>216</v>
      </c>
      <c r="C199" s="142" t="s">
        <v>215</v>
      </c>
      <c r="D199" s="29">
        <v>719949825.37</v>
      </c>
      <c r="E199" s="10">
        <f t="shared" si="67"/>
        <v>5.1089784408817604E-2</v>
      </c>
      <c r="F199" s="21">
        <v>8.91</v>
      </c>
      <c r="G199" s="21">
        <v>9.01</v>
      </c>
      <c r="H199" s="63">
        <v>93</v>
      </c>
      <c r="I199" s="28">
        <v>-9.0899999999999995E-2</v>
      </c>
      <c r="J199" s="28">
        <v>-3.7400000000000003E-2</v>
      </c>
      <c r="K199" s="29">
        <v>705033621.72000003</v>
      </c>
      <c r="L199" s="10">
        <f t="shared" si="68"/>
        <v>5.1383180280262307E-2</v>
      </c>
      <c r="M199" s="21">
        <v>8.73</v>
      </c>
      <c r="N199" s="21">
        <v>8.83</v>
      </c>
      <c r="O199" s="63">
        <v>93</v>
      </c>
      <c r="P199" s="28">
        <v>1.7600000000000001E-2</v>
      </c>
      <c r="Q199" s="28">
        <v>-2.0400000000000001E-2</v>
      </c>
      <c r="R199" s="81">
        <f t="shared" si="69"/>
        <v>-2.0718393316276132E-2</v>
      </c>
      <c r="S199" s="81">
        <f t="shared" si="70"/>
        <v>-1.997780244173138E-2</v>
      </c>
      <c r="T199" s="81">
        <f t="shared" si="71"/>
        <v>0</v>
      </c>
      <c r="U199" s="81">
        <f t="shared" si="72"/>
        <v>0.1085</v>
      </c>
      <c r="V199" s="83">
        <f t="shared" si="73"/>
        <v>1.7000000000000001E-2</v>
      </c>
    </row>
    <row r="200" spans="1:22" ht="15" customHeight="1">
      <c r="A200" s="75">
        <v>10</v>
      </c>
      <c r="B200" s="141" t="s">
        <v>217</v>
      </c>
      <c r="C200" s="142" t="s">
        <v>215</v>
      </c>
      <c r="D200" s="27">
        <v>466197128.52999997</v>
      </c>
      <c r="E200" s="10">
        <f t="shared" si="67"/>
        <v>3.3082737087083695E-2</v>
      </c>
      <c r="F200" s="21">
        <v>131.43</v>
      </c>
      <c r="G200" s="21">
        <v>133.43</v>
      </c>
      <c r="H200" s="63">
        <v>242</v>
      </c>
      <c r="I200" s="28">
        <v>-0.10630000000000001</v>
      </c>
      <c r="J200" s="28">
        <v>1.5</v>
      </c>
      <c r="K200" s="27">
        <v>461581682.54000002</v>
      </c>
      <c r="L200" s="10">
        <f t="shared" si="68"/>
        <v>3.3640289026441499E-2</v>
      </c>
      <c r="M200" s="21">
        <v>130.12</v>
      </c>
      <c r="N200" s="21">
        <v>132.12</v>
      </c>
      <c r="O200" s="63">
        <v>242</v>
      </c>
      <c r="P200" s="28">
        <v>-0.19189999999999999</v>
      </c>
      <c r="Q200" s="28">
        <v>1.0203</v>
      </c>
      <c r="R200" s="81">
        <f t="shared" si="69"/>
        <v>-9.9002025271010315E-3</v>
      </c>
      <c r="S200" s="81">
        <f t="shared" si="70"/>
        <v>-9.8178820355242606E-3</v>
      </c>
      <c r="T200" s="81">
        <f t="shared" si="71"/>
        <v>0</v>
      </c>
      <c r="U200" s="81">
        <f t="shared" si="72"/>
        <v>-8.5599999999999982E-2</v>
      </c>
      <c r="V200" s="83">
        <f t="shared" si="73"/>
        <v>-0.47970000000000002</v>
      </c>
    </row>
    <row r="201" spans="1:22">
      <c r="A201" s="75">
        <v>11</v>
      </c>
      <c r="B201" s="141" t="s">
        <v>218</v>
      </c>
      <c r="C201" s="142" t="s">
        <v>215</v>
      </c>
      <c r="D201" s="27">
        <v>5723483247.5600004</v>
      </c>
      <c r="E201" s="10">
        <f t="shared" si="67"/>
        <v>0.4061554220602</v>
      </c>
      <c r="F201" s="21">
        <v>40.08</v>
      </c>
      <c r="G201" s="21">
        <v>40.28</v>
      </c>
      <c r="H201" s="63">
        <v>249</v>
      </c>
      <c r="I201" s="28">
        <v>2.3599999999999999E-2</v>
      </c>
      <c r="J201" s="28">
        <v>0.44440000000000002</v>
      </c>
      <c r="K201" s="27">
        <v>5532165141.8199997</v>
      </c>
      <c r="L201" s="10">
        <f t="shared" si="68"/>
        <v>0.40318678438176986</v>
      </c>
      <c r="M201" s="21">
        <v>38.74</v>
      </c>
      <c r="N201" s="21">
        <v>38.94</v>
      </c>
      <c r="O201" s="63">
        <v>249</v>
      </c>
      <c r="P201" s="28">
        <v>-1.2800000000000001E-2</v>
      </c>
      <c r="Q201" s="28">
        <v>0.4259</v>
      </c>
      <c r="R201" s="81">
        <f t="shared" si="69"/>
        <v>-3.3426865680363835E-2</v>
      </c>
      <c r="S201" s="81">
        <f t="shared" si="70"/>
        <v>-3.3267130089374465E-2</v>
      </c>
      <c r="T201" s="81">
        <f t="shared" si="71"/>
        <v>0</v>
      </c>
      <c r="U201" s="81">
        <f t="shared" si="72"/>
        <v>-3.6400000000000002E-2</v>
      </c>
      <c r="V201" s="83">
        <f t="shared" si="73"/>
        <v>-1.8500000000000016E-2</v>
      </c>
    </row>
    <row r="202" spans="1:22">
      <c r="A202" s="75">
        <v>12</v>
      </c>
      <c r="B202" s="141" t="s">
        <v>219</v>
      </c>
      <c r="C202" s="142" t="s">
        <v>215</v>
      </c>
      <c r="D202" s="29">
        <v>553466004.04999995</v>
      </c>
      <c r="E202" s="10">
        <f t="shared" si="67"/>
        <v>3.9275596476452089E-2</v>
      </c>
      <c r="F202" s="21">
        <v>53.22</v>
      </c>
      <c r="G202" s="21">
        <v>53.42</v>
      </c>
      <c r="H202" s="63">
        <v>50</v>
      </c>
      <c r="I202" s="28">
        <v>-0.16209999999999999</v>
      </c>
      <c r="J202" s="28">
        <v>1.0868</v>
      </c>
      <c r="K202" s="29">
        <v>509134187.19999999</v>
      </c>
      <c r="L202" s="10">
        <f t="shared" si="68"/>
        <v>3.7105937818852103E-2</v>
      </c>
      <c r="M202" s="21">
        <v>48.98</v>
      </c>
      <c r="N202" s="21">
        <v>49.18</v>
      </c>
      <c r="O202" s="63">
        <v>50</v>
      </c>
      <c r="P202" s="28">
        <v>-9.7600000000000006E-2</v>
      </c>
      <c r="Q202" s="28">
        <v>0.88300000000000001</v>
      </c>
      <c r="R202" s="81">
        <f t="shared" si="69"/>
        <v>-8.0098536361042763E-2</v>
      </c>
      <c r="S202" s="81">
        <f t="shared" si="70"/>
        <v>-7.9371022089105236E-2</v>
      </c>
      <c r="T202" s="81">
        <f t="shared" si="71"/>
        <v>0</v>
      </c>
      <c r="U202" s="81">
        <f t="shared" si="72"/>
        <v>6.4499999999999988E-2</v>
      </c>
      <c r="V202" s="83">
        <f t="shared" si="73"/>
        <v>-0.20379999999999998</v>
      </c>
    </row>
    <row r="203" spans="1:22">
      <c r="A203" s="43"/>
      <c r="B203" s="43"/>
      <c r="C203" s="74" t="s">
        <v>220</v>
      </c>
      <c r="D203" s="73">
        <f>SUM(D191:D202)</f>
        <v>14091854833.619999</v>
      </c>
      <c r="E203" s="24"/>
      <c r="F203" s="24"/>
      <c r="G203" s="22"/>
      <c r="H203" s="73">
        <f>SUM(H191:H202)</f>
        <v>1840</v>
      </c>
      <c r="I203" s="23"/>
      <c r="J203" s="23"/>
      <c r="K203" s="73">
        <f>SUM(K191:K202)</f>
        <v>13721097407.254545</v>
      </c>
      <c r="L203" s="24"/>
      <c r="M203" s="24"/>
      <c r="N203" s="22"/>
      <c r="O203" s="73">
        <f>SUM(O191:O202)</f>
        <v>1840</v>
      </c>
      <c r="P203" s="23"/>
      <c r="Q203" s="23"/>
      <c r="R203" s="81">
        <f t="shared" si="69"/>
        <v>-2.6310051497330914E-2</v>
      </c>
      <c r="S203" s="81" t="e">
        <f t="shared" si="70"/>
        <v>#DIV/0!</v>
      </c>
      <c r="T203" s="81">
        <f t="shared" si="71"/>
        <v>0</v>
      </c>
      <c r="U203" s="81">
        <f t="shared" si="72"/>
        <v>0</v>
      </c>
      <c r="V203" s="83">
        <f t="shared" si="73"/>
        <v>0</v>
      </c>
    </row>
    <row r="204" spans="1:22">
      <c r="A204" s="88"/>
      <c r="B204" s="88"/>
      <c r="C204" s="89" t="s">
        <v>221</v>
      </c>
      <c r="D204" s="90">
        <f>SUM(D183,D188,D203)</f>
        <v>2912768259765.0142</v>
      </c>
      <c r="E204" s="91"/>
      <c r="F204" s="91"/>
      <c r="G204" s="92"/>
      <c r="H204" s="90">
        <f>SUM(H183,H188,H203)</f>
        <v>716539</v>
      </c>
      <c r="I204" s="93"/>
      <c r="J204" s="93"/>
      <c r="K204" s="90">
        <f>SUM(K183,K188,K203)</f>
        <v>2926490325849.6782</v>
      </c>
      <c r="L204" s="91"/>
      <c r="M204" s="91"/>
      <c r="N204" s="92"/>
      <c r="O204" s="90">
        <f>SUM(O183,O188,O203)</f>
        <v>717539</v>
      </c>
      <c r="P204" s="94"/>
      <c r="Q204" s="90"/>
      <c r="R204" s="95"/>
      <c r="S204" s="96"/>
      <c r="T204" s="96"/>
      <c r="U204" s="97"/>
      <c r="V204" s="97"/>
    </row>
    <row r="205" spans="1:22">
      <c r="A205" s="109" t="s">
        <v>250</v>
      </c>
      <c r="B205" s="110" t="s">
        <v>264</v>
      </c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</row>
    <row r="207" spans="1:22">
      <c r="B207" s="113"/>
      <c r="C207" s="113"/>
      <c r="D207" s="112"/>
      <c r="K207" s="112"/>
    </row>
    <row r="208" spans="1:22">
      <c r="B208" s="113"/>
      <c r="D208" s="112"/>
    </row>
  </sheetData>
  <sheetProtection algorithmName="SHA-512" hashValue="BdVsN2MQZOx+wxwYvmms7zuVvJo10VESQJTvqhN6SBAV9cl1QUWhaWqzWm/yB6Fxh5VLS/kqmTiwCHBgz8dDvg==" saltValue="xT6iLLZNoAI6qczuzE0gcg==" spinCount="100000" sheet="1" objects="1" scenarios="1"/>
  <protectedRanges>
    <protectedRange password="CADF" sqref="K10 D10" name="Fund Name_1_1_1_3_1_1_2"/>
  </protectedRanges>
  <mergeCells count="31">
    <mergeCell ref="A189:V189"/>
    <mergeCell ref="A190:V190"/>
    <mergeCell ref="A166:V166"/>
    <mergeCell ref="A169:V169"/>
    <mergeCell ref="A170:V170"/>
    <mergeCell ref="A184:U184"/>
    <mergeCell ref="A185:V185"/>
    <mergeCell ref="A165:V165"/>
    <mergeCell ref="A93:V93"/>
    <mergeCell ref="A94:V94"/>
    <mergeCell ref="A107:V107"/>
    <mergeCell ref="A108:V108"/>
    <mergeCell ref="A121:V121"/>
    <mergeCell ref="A122:V122"/>
    <mergeCell ref="A129:V129"/>
    <mergeCell ref="A130:V130"/>
    <mergeCell ref="A158:V158"/>
    <mergeCell ref="A159:V159"/>
    <mergeCell ref="A164:V164"/>
    <mergeCell ref="A92:V92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79 E79 E62" formula="1"/>
    <ignoredError sqref="S128 S22 T33 S55 S91 S120 T138 S157 S163 S182 S203 T186:T18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J3" sqref="J3"/>
    </sheetView>
  </sheetViews>
  <sheetFormatPr defaultRowHeight="15"/>
  <cols>
    <col min="1" max="1" width="34" customWidth="1"/>
    <col min="2" max="2" width="19.42578125" customWidth="1"/>
    <col min="3" max="3" width="17.42578125" customWidth="1"/>
  </cols>
  <sheetData>
    <row r="1" spans="1:4">
      <c r="A1" s="101"/>
      <c r="B1" s="101"/>
      <c r="C1" s="101"/>
    </row>
    <row r="2" spans="1:4">
      <c r="A2" s="101"/>
      <c r="B2" s="101"/>
      <c r="C2" s="101"/>
      <c r="D2" s="99"/>
    </row>
    <row r="3" spans="1:4">
      <c r="A3" s="101"/>
      <c r="B3" s="101"/>
      <c r="C3" s="101"/>
      <c r="D3" s="99"/>
    </row>
    <row r="4" spans="1:4" ht="33" customHeight="1">
      <c r="A4" s="114" t="s">
        <v>222</v>
      </c>
      <c r="B4" s="115" t="s">
        <v>261</v>
      </c>
      <c r="C4" s="115" t="s">
        <v>266</v>
      </c>
      <c r="D4" s="99"/>
    </row>
    <row r="5" spans="1:4" ht="19.5" customHeight="1">
      <c r="A5" s="116" t="s">
        <v>15</v>
      </c>
      <c r="B5" s="117">
        <f>29579029239.5971/1000000000</f>
        <v>29.579029239597098</v>
      </c>
      <c r="C5" s="117">
        <f>28192321561.7546/1000000000</f>
        <v>28.1923215617546</v>
      </c>
      <c r="D5" s="99"/>
    </row>
    <row r="6" spans="1:4" ht="16.5">
      <c r="A6" s="118" t="s">
        <v>47</v>
      </c>
      <c r="B6" s="119">
        <f>966685157443.697/1000000000</f>
        <v>966.68515744369699</v>
      </c>
      <c r="C6" s="119">
        <f>949382861578.855/1000000000</f>
        <v>949.382861578855</v>
      </c>
      <c r="D6" s="99"/>
    </row>
    <row r="7" spans="1:4" ht="16.5">
      <c r="A7" s="118" t="s">
        <v>223</v>
      </c>
      <c r="B7" s="117">
        <f>283536298257.919/1000000000</f>
        <v>283.53629825791899</v>
      </c>
      <c r="C7" s="117">
        <f>281780566180.146/1000000000</f>
        <v>281.78056618014597</v>
      </c>
      <c r="D7" s="99"/>
    </row>
    <row r="8" spans="1:4" ht="16.5">
      <c r="A8" s="118" t="s">
        <v>128</v>
      </c>
      <c r="B8" s="119">
        <f>1318494922122.72/1000000000</f>
        <v>1318.49492212272</v>
      </c>
      <c r="C8" s="119">
        <f>1354299215906.88/1000000000</f>
        <v>1354.2992159068799</v>
      </c>
      <c r="D8" s="99"/>
    </row>
    <row r="9" spans="1:4" ht="16.5">
      <c r="A9" s="118" t="s">
        <v>224</v>
      </c>
      <c r="B9" s="117">
        <f>99704526748.8594/1000000000</f>
        <v>99.704526748859408</v>
      </c>
      <c r="C9" s="117">
        <f>99722351454.0567/1000000000</f>
        <v>99.722351454056707</v>
      </c>
      <c r="D9" s="99"/>
    </row>
    <row r="10" spans="1:4" ht="16.5">
      <c r="A10" s="118" t="s">
        <v>154</v>
      </c>
      <c r="B10" s="120">
        <f>50622521144.0209/1000000000</f>
        <v>50.622521144020894</v>
      </c>
      <c r="C10" s="120">
        <f>49943289569.6497/1000000000</f>
        <v>49.9432895696497</v>
      </c>
      <c r="D10" s="99"/>
    </row>
    <row r="11" spans="1:4" ht="16.5">
      <c r="A11" s="118" t="s">
        <v>178</v>
      </c>
      <c r="B11" s="117">
        <f>5382185314.84/1000000000</f>
        <v>5.3821853148400001</v>
      </c>
      <c r="C11" s="117">
        <f>5257385484.97/1000000000</f>
        <v>5.2573854849700004</v>
      </c>
      <c r="D11" s="99"/>
    </row>
    <row r="12" spans="1:4" ht="16.5">
      <c r="A12" s="118" t="s">
        <v>225</v>
      </c>
      <c r="B12" s="117">
        <f>50009391470.5742/1000000000</f>
        <v>50.009391470574201</v>
      </c>
      <c r="C12" s="117">
        <f>49520617624.7308/1000000000</f>
        <v>49.520617624730797</v>
      </c>
      <c r="D12" s="99"/>
    </row>
    <row r="13" spans="1:4">
      <c r="A13" s="99"/>
      <c r="B13" s="99"/>
      <c r="C13" s="99"/>
      <c r="D13" s="99"/>
    </row>
    <row r="14" spans="1:4" ht="16.5">
      <c r="A14" s="99"/>
      <c r="B14" s="117">
        <v>28192321561.754601</v>
      </c>
      <c r="C14" s="99"/>
      <c r="D14" s="99"/>
    </row>
    <row r="15" spans="1:4" ht="16.5">
      <c r="A15" s="99"/>
      <c r="B15" s="119">
        <v>949382861578.85498</v>
      </c>
      <c r="C15" s="99"/>
      <c r="D15" s="99"/>
    </row>
    <row r="16" spans="1:4" ht="16.5">
      <c r="A16" s="99"/>
      <c r="B16" s="117">
        <v>281780566180.146</v>
      </c>
      <c r="C16" s="136"/>
      <c r="D16" s="99"/>
    </row>
    <row r="17" spans="1:4" ht="16.5">
      <c r="A17" s="99"/>
      <c r="B17" s="119">
        <v>1354299215906.8799</v>
      </c>
      <c r="C17" s="125"/>
      <c r="D17" s="99"/>
    </row>
    <row r="18" spans="1:4" ht="16.5">
      <c r="A18" s="122"/>
      <c r="B18" s="117">
        <v>99722351454.056702</v>
      </c>
      <c r="C18" s="134"/>
      <c r="D18" s="99"/>
    </row>
    <row r="19" spans="1:4" ht="16.5">
      <c r="A19" s="123"/>
      <c r="B19" s="120">
        <v>49943289569.649696</v>
      </c>
      <c r="C19" s="125"/>
      <c r="D19" s="99"/>
    </row>
    <row r="20" spans="1:4" ht="16.5">
      <c r="A20" s="123"/>
      <c r="B20" s="117">
        <v>5257385484.9700003</v>
      </c>
      <c r="C20" s="134"/>
      <c r="D20" s="99"/>
    </row>
    <row r="21" spans="1:4" ht="16.5">
      <c r="A21" s="123"/>
      <c r="B21" s="117">
        <v>49520617624.730797</v>
      </c>
      <c r="C21" s="125"/>
      <c r="D21" s="99"/>
    </row>
    <row r="22" spans="1:4" ht="16.5">
      <c r="A22" s="123"/>
      <c r="B22" s="125"/>
      <c r="C22" s="124"/>
      <c r="D22" s="99"/>
    </row>
    <row r="23" spans="1:4" ht="16.5">
      <c r="A23" s="123"/>
      <c r="B23" s="125">
        <v>49899185767.631302</v>
      </c>
      <c r="C23" s="125"/>
      <c r="D23" s="99"/>
    </row>
    <row r="24" spans="1:4" ht="16.5">
      <c r="A24" s="123"/>
      <c r="B24" s="125"/>
      <c r="C24" s="125"/>
      <c r="D24" s="99"/>
    </row>
    <row r="25" spans="1:4" ht="16.5">
      <c r="A25" s="123"/>
      <c r="B25" s="125"/>
      <c r="C25" s="125"/>
      <c r="D25" s="99"/>
    </row>
    <row r="26" spans="1:4" ht="16.5">
      <c r="A26" s="127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Ds0enRnJT8Co8Y1l/7WZPxZcJ1CPp9/kgiLEsQ16U1JEukvLaNpACN8dvvF/Bw3/jUZSgzN3COCV3vKgvueY/A==" saltValue="2Uy4djE1S73QamjcPH+r/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L2" sqref="L2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14" t="s">
        <v>222</v>
      </c>
      <c r="B1" s="121">
        <v>45345</v>
      </c>
      <c r="C1" s="99"/>
    </row>
    <row r="2" spans="1:3" ht="16.5">
      <c r="A2" s="118" t="s">
        <v>178</v>
      </c>
      <c r="B2" s="117">
        <v>5257385484.9699993</v>
      </c>
      <c r="C2" s="99"/>
    </row>
    <row r="3" spans="1:3" ht="16.5">
      <c r="A3" s="118" t="s">
        <v>15</v>
      </c>
      <c r="B3" s="117">
        <v>28192321561.754601</v>
      </c>
      <c r="C3" s="99"/>
    </row>
    <row r="4" spans="1:3" ht="16.5">
      <c r="A4" s="118" t="s">
        <v>154</v>
      </c>
      <c r="B4" s="117">
        <v>49520617624.730827</v>
      </c>
      <c r="C4" s="99"/>
    </row>
    <row r="5" spans="1:3" ht="16.5">
      <c r="A5" s="118" t="s">
        <v>225</v>
      </c>
      <c r="B5" s="120">
        <v>49943289569.649658</v>
      </c>
      <c r="C5" s="99"/>
    </row>
    <row r="6" spans="1:3" ht="16.5">
      <c r="A6" s="118" t="s">
        <v>224</v>
      </c>
      <c r="B6" s="117">
        <v>99722351454.056747</v>
      </c>
      <c r="C6" s="99"/>
    </row>
    <row r="7" spans="1:3" ht="16.5">
      <c r="A7" s="118" t="s">
        <v>223</v>
      </c>
      <c r="B7" s="117">
        <v>281780566180.14624</v>
      </c>
      <c r="C7" s="99"/>
    </row>
    <row r="8" spans="1:3" ht="16.5">
      <c r="A8" s="118" t="s">
        <v>47</v>
      </c>
      <c r="B8" s="119">
        <v>949382861578.85535</v>
      </c>
      <c r="C8" s="99"/>
    </row>
    <row r="9" spans="1:3" ht="16.5">
      <c r="A9" s="118" t="s">
        <v>128</v>
      </c>
      <c r="B9" s="119">
        <v>1354299215906.8804</v>
      </c>
      <c r="C9" s="99"/>
    </row>
    <row r="10" spans="1:3">
      <c r="A10" s="99"/>
      <c r="B10" s="99"/>
      <c r="C10" s="99"/>
    </row>
    <row r="11" spans="1:3">
      <c r="A11" s="99"/>
      <c r="B11" s="99"/>
      <c r="C11" s="99"/>
    </row>
    <row r="12" spans="1:3" ht="16.5">
      <c r="A12" s="117">
        <v>5257385484.9699993</v>
      </c>
      <c r="B12" s="99"/>
      <c r="C12" s="99"/>
    </row>
    <row r="13" spans="1:3" ht="16.5">
      <c r="A13" s="117">
        <v>28192321561.754601</v>
      </c>
      <c r="B13" s="117"/>
      <c r="C13" s="99"/>
    </row>
    <row r="14" spans="1:3" ht="16.5">
      <c r="A14" s="117">
        <v>49520617624.730827</v>
      </c>
      <c r="B14" s="117"/>
      <c r="C14" s="99"/>
    </row>
    <row r="15" spans="1:3" ht="16.5" customHeight="1">
      <c r="A15" s="120">
        <v>49943289569.649658</v>
      </c>
      <c r="B15" s="120"/>
      <c r="C15" s="99"/>
    </row>
    <row r="16" spans="1:3" ht="16.5">
      <c r="A16" s="117">
        <v>99722351454.056747</v>
      </c>
      <c r="B16" s="117"/>
      <c r="C16" s="99"/>
    </row>
    <row r="17" spans="1:17" ht="16.5">
      <c r="A17" s="117">
        <v>281780566180.14624</v>
      </c>
      <c r="B17" s="117"/>
      <c r="C17" s="99"/>
    </row>
    <row r="18" spans="1:17" ht="16.5">
      <c r="A18" s="119">
        <v>949382861578.85535</v>
      </c>
      <c r="B18" s="117"/>
      <c r="C18" s="99"/>
    </row>
    <row r="19" spans="1:17" ht="16.5">
      <c r="A19" s="119">
        <v>1354299215906.8804</v>
      </c>
      <c r="B19" s="133"/>
      <c r="C19" s="99"/>
    </row>
    <row r="20" spans="1:17" ht="16.5">
      <c r="A20" s="134">
        <v>1318494922122.7168</v>
      </c>
      <c r="B20" s="134"/>
      <c r="C20" s="99"/>
    </row>
    <row r="21" spans="1:17" ht="16.5">
      <c r="A21" s="123"/>
      <c r="B21" s="134"/>
      <c r="C21" s="99"/>
    </row>
    <row r="22" spans="1:17" ht="16.5">
      <c r="A22" s="101"/>
      <c r="B22" s="135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60" t="s">
        <v>267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07"/>
    </row>
    <row r="33" spans="1:17" ht="15" customHeight="1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07"/>
    </row>
  </sheetData>
  <sheetProtection algorithmName="SHA-512" hashValue="DJ+McywmS9bUKpVa8H/1vW9i0gOQjhrCv220QR7iuCvP09g30y22D70/ivybtn5DPMWUyDJjqE8aURufxwjkXw==" saltValue="6AUnGhQc/6hhxwgB8NYojQ==" spinCount="100000" sheet="1" objects="1" scenarios="1"/>
  <sortState xmlns:xlrd2="http://schemas.microsoft.com/office/spreadsheetml/2017/richdata2" ref="A12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"/>
  <sheetViews>
    <sheetView zoomScale="110" zoomScaleNormal="110" workbookViewId="0">
      <selection activeCell="I2" sqref="I2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101"/>
      <c r="M1" s="101"/>
    </row>
    <row r="2" spans="1:13">
      <c r="A2" s="130" t="s">
        <v>233</v>
      </c>
      <c r="B2" s="131">
        <v>45296</v>
      </c>
      <c r="C2" s="131">
        <v>45303</v>
      </c>
      <c r="D2" s="131">
        <v>45310</v>
      </c>
      <c r="E2" s="131">
        <v>45317</v>
      </c>
      <c r="F2" s="131">
        <v>45324</v>
      </c>
      <c r="G2" s="131">
        <v>45331</v>
      </c>
      <c r="H2" s="131">
        <v>45338</v>
      </c>
      <c r="I2" s="131">
        <v>45345</v>
      </c>
      <c r="J2" s="99"/>
      <c r="K2" s="99"/>
      <c r="L2" s="101"/>
      <c r="M2" s="101"/>
    </row>
    <row r="3" spans="1:13">
      <c r="A3" s="130" t="s">
        <v>234</v>
      </c>
      <c r="B3" s="132">
        <f>2137525044219.98/1000000000</f>
        <v>2137.5250442199799</v>
      </c>
      <c r="C3" s="132">
        <f>2218204777155.8/1000000000</f>
        <v>2218.2047771558</v>
      </c>
      <c r="D3" s="132">
        <f>2215471403911.63/1000000000</f>
        <v>2215.4714039116297</v>
      </c>
      <c r="E3" s="132">
        <f>2278172196680.68/1000000000</f>
        <v>2278.1721966806804</v>
      </c>
      <c r="F3" s="132">
        <f>2700558814021.03/1000000000</f>
        <v>2700.5588140210298</v>
      </c>
      <c r="G3" s="132">
        <f>2722532361445.49/1000000000</f>
        <v>2722.5323614454901</v>
      </c>
      <c r="H3" s="132">
        <f>2804014031742.22/1000000000</f>
        <v>2804.0140317422201</v>
      </c>
      <c r="I3" s="132">
        <f>2818098609361.04/1000000000</f>
        <v>2818.09860936104</v>
      </c>
      <c r="J3" s="99"/>
      <c r="K3" s="99"/>
      <c r="L3" s="101"/>
      <c r="M3" s="101"/>
    </row>
    <row r="4" spans="1:13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101"/>
      <c r="M4" s="101"/>
    </row>
    <row r="5" spans="1:1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</sheetData>
  <sheetProtection algorithmName="SHA-512" hashValue="rmubaw8hurkyiDfYj0PyiSDl7q83rwKV5RYTvOcE8hMTlImXJdZW++8+mJdchWXggPwfvbHZzyOBXEfjw8p2LQ==" saltValue="em9/Sxc+oMUh3WFKa/utg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45655</v>
      </c>
      <c r="C1" s="45">
        <v>45296</v>
      </c>
      <c r="D1" s="45">
        <v>45303</v>
      </c>
      <c r="E1" s="45">
        <v>45310</v>
      </c>
      <c r="F1" s="45">
        <v>45317</v>
      </c>
      <c r="G1" s="45">
        <v>45324</v>
      </c>
      <c r="H1" s="45">
        <v>45331</v>
      </c>
      <c r="I1" s="45">
        <v>45338</v>
      </c>
      <c r="J1" s="45">
        <v>45345</v>
      </c>
    </row>
    <row r="2" spans="1:11" ht="16.5">
      <c r="A2" s="46" t="s">
        <v>15</v>
      </c>
      <c r="B2" s="47">
        <v>24405214546.111698</v>
      </c>
      <c r="C2" s="47">
        <v>26318158433.3255</v>
      </c>
      <c r="D2" s="47">
        <v>27950770849.196804</v>
      </c>
      <c r="E2" s="47">
        <v>30206984491.494904</v>
      </c>
      <c r="F2" s="47">
        <v>31149538694.629303</v>
      </c>
      <c r="G2" s="47">
        <v>31133318704.695301</v>
      </c>
      <c r="H2" s="47">
        <v>29773154676.329697</v>
      </c>
      <c r="I2" s="47">
        <v>29579029239.597099</v>
      </c>
      <c r="J2" s="47">
        <v>28192321561.754601</v>
      </c>
    </row>
    <row r="3" spans="1:11" ht="16.5">
      <c r="A3" s="46" t="s">
        <v>47</v>
      </c>
      <c r="B3" s="48">
        <v>881602898033.37561</v>
      </c>
      <c r="C3" s="48">
        <v>903708318785.28052</v>
      </c>
      <c r="D3" s="48">
        <v>912572121651.28699</v>
      </c>
      <c r="E3" s="48">
        <v>930010368618.9447</v>
      </c>
      <c r="F3" s="48">
        <v>949716593900.38049</v>
      </c>
      <c r="G3" s="48">
        <v>962897181294.703</v>
      </c>
      <c r="H3" s="48">
        <v>965954238325.48999</v>
      </c>
      <c r="I3" s="48">
        <v>966685157443.69678</v>
      </c>
      <c r="J3" s="48">
        <v>949382861578.85535</v>
      </c>
    </row>
    <row r="4" spans="1:11" ht="16.5">
      <c r="A4" s="46" t="s">
        <v>223</v>
      </c>
      <c r="B4" s="47">
        <v>287675389277.73108</v>
      </c>
      <c r="C4" s="47">
        <v>287055376560.05243</v>
      </c>
      <c r="D4" s="47">
        <v>288835807549.41266</v>
      </c>
      <c r="E4" s="47">
        <v>288027196204.47491</v>
      </c>
      <c r="F4" s="47">
        <v>287140620370.69159</v>
      </c>
      <c r="G4" s="47">
        <v>285837472467.20758</v>
      </c>
      <c r="H4" s="47">
        <v>284109657368.59705</v>
      </c>
      <c r="I4" s="47">
        <v>283536298257.91882</v>
      </c>
      <c r="J4" s="47">
        <v>281780566180.14624</v>
      </c>
    </row>
    <row r="5" spans="1:11" ht="16.5">
      <c r="A5" s="46" t="s">
        <v>128</v>
      </c>
      <c r="B5" s="48">
        <v>750658281364.3822</v>
      </c>
      <c r="C5" s="48">
        <v>726920775377.21094</v>
      </c>
      <c r="D5" s="48">
        <v>790548059586.41138</v>
      </c>
      <c r="E5" s="48">
        <v>765722989499.45947</v>
      </c>
      <c r="F5" s="48">
        <v>804116651844.98926</v>
      </c>
      <c r="G5" s="48">
        <v>1213277971788.4419</v>
      </c>
      <c r="H5" s="48">
        <v>1237172786827.9678</v>
      </c>
      <c r="I5" s="48">
        <v>1318494922122.7168</v>
      </c>
      <c r="J5" s="48">
        <v>1354299215906.8804</v>
      </c>
    </row>
    <row r="6" spans="1:11" ht="16.5">
      <c r="A6" s="46" t="s">
        <v>224</v>
      </c>
      <c r="B6" s="47">
        <v>96685745868.738373</v>
      </c>
      <c r="C6" s="47">
        <v>96815736652.814392</v>
      </c>
      <c r="D6" s="47">
        <v>99637490377.51947</v>
      </c>
      <c r="E6" s="47">
        <v>99595668997.222809</v>
      </c>
      <c r="F6" s="47">
        <v>100204717801.01483</v>
      </c>
      <c r="G6" s="47">
        <v>100225758223.61491</v>
      </c>
      <c r="H6" s="47">
        <v>99671501901.347351</v>
      </c>
      <c r="I6" s="47">
        <v>99704526748.85936</v>
      </c>
      <c r="J6" s="47">
        <v>99722351454.056747</v>
      </c>
    </row>
    <row r="7" spans="1:11" ht="16.5">
      <c r="A7" s="46" t="s">
        <v>154</v>
      </c>
      <c r="B7" s="49">
        <v>42555783009.607452</v>
      </c>
      <c r="C7" s="49">
        <v>44249451355.676628</v>
      </c>
      <c r="D7" s="49">
        <v>47102830010.420479</v>
      </c>
      <c r="E7" s="49">
        <v>49666823038.976089</v>
      </c>
      <c r="F7" s="49">
        <v>50649516378.670189</v>
      </c>
      <c r="G7" s="49">
        <v>51726288214.56089</v>
      </c>
      <c r="H7" s="49">
        <v>50580214127.421928</v>
      </c>
      <c r="I7" s="49">
        <v>50622521144.020866</v>
      </c>
      <c r="J7" s="49">
        <v>49943289569.649658</v>
      </c>
    </row>
    <row r="8" spans="1:11" ht="16.5">
      <c r="A8" s="46" t="s">
        <v>178</v>
      </c>
      <c r="B8" s="47">
        <v>4392041950.5100002</v>
      </c>
      <c r="C8" s="47">
        <v>4619717314.71</v>
      </c>
      <c r="D8" s="47">
        <v>4848445844.8000002</v>
      </c>
      <c r="E8" s="47">
        <v>5180809308.1199999</v>
      </c>
      <c r="F8" s="47">
        <v>5351667060.3500004</v>
      </c>
      <c r="G8" s="47">
        <v>5492189675.5599995</v>
      </c>
      <c r="H8" s="47">
        <v>5371622450.7000008</v>
      </c>
      <c r="I8" s="47">
        <v>5382185314.8400002</v>
      </c>
      <c r="J8" s="47">
        <v>5257385484.9699993</v>
      </c>
    </row>
    <row r="9" spans="1:11" ht="16.5">
      <c r="A9" s="46" t="s">
        <v>225</v>
      </c>
      <c r="B9" s="47">
        <v>46069244637.507507</v>
      </c>
      <c r="C9" s="47">
        <v>47837509740.908691</v>
      </c>
      <c r="D9" s="47">
        <v>46709251286.749229</v>
      </c>
      <c r="E9" s="47">
        <v>47060563752.939224</v>
      </c>
      <c r="F9" s="47">
        <v>49842890629.950577</v>
      </c>
      <c r="G9" s="47">
        <v>49968633652.242981</v>
      </c>
      <c r="H9" s="47">
        <v>49899185767.63131</v>
      </c>
      <c r="I9" s="47">
        <v>50009391470.574211</v>
      </c>
      <c r="J9" s="47">
        <v>49520617624.730827</v>
      </c>
    </row>
    <row r="10" spans="1:11" ht="15.75">
      <c r="A10" s="50" t="s">
        <v>226</v>
      </c>
      <c r="B10" s="51">
        <f t="shared" ref="B10:J10" si="0">SUM(B2:B9)</f>
        <v>2134044598687.9639</v>
      </c>
      <c r="C10" s="51">
        <f t="shared" si="0"/>
        <v>2137525044219.979</v>
      </c>
      <c r="D10" s="51">
        <f t="shared" si="0"/>
        <v>2218204777155.7969</v>
      </c>
      <c r="E10" s="51">
        <f t="shared" si="0"/>
        <v>2215471403911.6323</v>
      </c>
      <c r="F10" s="51">
        <f t="shared" si="0"/>
        <v>2278172196680.6768</v>
      </c>
      <c r="G10" s="51">
        <f t="shared" si="0"/>
        <v>2700558814021.0269</v>
      </c>
      <c r="H10" s="51">
        <f t="shared" si="0"/>
        <v>2722532361445.4854</v>
      </c>
      <c r="I10" s="51">
        <f t="shared" si="0"/>
        <v>2804014031742.2241</v>
      </c>
      <c r="J10" s="51">
        <f t="shared" si="0"/>
        <v>2818098609361.0439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2135784821453.9714</v>
      </c>
      <c r="D12" s="57">
        <f t="shared" ref="D12:J12" si="1">(C10+D10)/2</f>
        <v>2177864910687.8879</v>
      </c>
      <c r="E12" s="57">
        <f t="shared" si="1"/>
        <v>2216838090533.7148</v>
      </c>
      <c r="F12" s="57">
        <f t="shared" si="1"/>
        <v>2246821800296.1543</v>
      </c>
      <c r="G12" s="57">
        <f>(F10+G10)/2</f>
        <v>2489365505350.8516</v>
      </c>
      <c r="H12" s="57">
        <f t="shared" si="1"/>
        <v>2711545587733.2559</v>
      </c>
      <c r="I12" s="57">
        <f t="shared" si="1"/>
        <v>2763273196593.8545</v>
      </c>
      <c r="J12" s="57">
        <f t="shared" si="1"/>
        <v>2811056320551.6338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C14" s="101"/>
      <c r="D14" s="101"/>
      <c r="E14" s="101"/>
      <c r="F14" s="101"/>
      <c r="G14" s="101"/>
      <c r="H14" s="101"/>
      <c r="I14" s="101"/>
      <c r="J14" s="101"/>
      <c r="K14" s="99"/>
    </row>
    <row r="15" spans="1:11">
      <c r="C15" s="146"/>
      <c r="D15" s="146"/>
      <c r="E15" s="146"/>
      <c r="F15" s="146"/>
      <c r="G15" s="146"/>
      <c r="H15" s="146"/>
      <c r="I15" s="146"/>
      <c r="J15" s="146"/>
      <c r="K15" s="99"/>
    </row>
    <row r="16" spans="1:11">
      <c r="C16" s="132">
        <f>2137525044219.98/1000000000</f>
        <v>2137.5250442199799</v>
      </c>
      <c r="D16" s="132">
        <f>2218204777155.8/1000000000</f>
        <v>2218.2047771558</v>
      </c>
      <c r="E16" s="132">
        <f>2215471403911.63/1000000000</f>
        <v>2215.4714039116297</v>
      </c>
      <c r="F16" s="132">
        <f>2278172196680.68/1000000000</f>
        <v>2278.1721966806804</v>
      </c>
      <c r="G16" s="132">
        <f>2700558814021.03/1000000000</f>
        <v>2700.5588140210298</v>
      </c>
      <c r="H16" s="132">
        <f>2722532361445.49/1000000000</f>
        <v>2722.5323614454901</v>
      </c>
      <c r="I16" s="132">
        <f>2804014031742.22/1000000000</f>
        <v>2804.0140317422201</v>
      </c>
      <c r="J16" s="132">
        <f>2818098609361.04/1000000000</f>
        <v>2818.09860936104</v>
      </c>
      <c r="K16" s="99"/>
    </row>
    <row r="17" spans="3:11">
      <c r="C17" s="99"/>
      <c r="D17" s="99"/>
      <c r="E17" s="99"/>
      <c r="F17" s="99"/>
      <c r="G17" s="99"/>
      <c r="H17" s="99"/>
      <c r="I17" s="99"/>
      <c r="J17" s="99"/>
      <c r="K17" s="99"/>
    </row>
    <row r="18" spans="3:11">
      <c r="C18" s="137">
        <v>2137525044219.98</v>
      </c>
      <c r="D18" s="137">
        <v>2218204777155.7998</v>
      </c>
      <c r="E18" s="137">
        <v>2215471403911.6299</v>
      </c>
      <c r="F18" s="137">
        <v>2278172196680.6802</v>
      </c>
      <c r="G18" s="137">
        <v>2700558814021.0298</v>
      </c>
      <c r="H18" s="137">
        <v>2722532361445.4902</v>
      </c>
      <c r="I18" s="137">
        <v>2804014031742.2202</v>
      </c>
      <c r="J18" s="137">
        <v>2818098609361.04</v>
      </c>
      <c r="K18" s="99"/>
    </row>
    <row r="19" spans="3:11">
      <c r="C19" s="101"/>
      <c r="D19" s="101"/>
      <c r="E19" s="101"/>
      <c r="F19" s="101"/>
      <c r="G19" s="101"/>
      <c r="H19" s="101"/>
      <c r="I19" s="101"/>
      <c r="J19" s="101"/>
      <c r="K19" s="99"/>
    </row>
    <row r="20" spans="3:11">
      <c r="C20" s="99"/>
      <c r="D20" s="99"/>
      <c r="E20" s="99"/>
      <c r="F20" s="99"/>
      <c r="G20" s="99"/>
      <c r="H20" s="99"/>
      <c r="I20" s="99"/>
      <c r="J20" s="99"/>
      <c r="K20" s="99"/>
    </row>
    <row r="21" spans="3:11">
      <c r="C21" s="99"/>
      <c r="D21" s="99"/>
      <c r="E21" s="99"/>
      <c r="F21" s="99"/>
      <c r="G21" s="99"/>
      <c r="H21" s="99"/>
      <c r="I21" s="99"/>
      <c r="J21" s="99"/>
      <c r="K21" s="99"/>
    </row>
    <row r="22" spans="3:11">
      <c r="C22" s="99"/>
      <c r="D22" s="99"/>
      <c r="E22" s="99"/>
      <c r="F22" s="99"/>
      <c r="G22" s="99"/>
      <c r="H22" s="99"/>
      <c r="I22" s="99"/>
      <c r="J22" s="99"/>
      <c r="K22" s="99"/>
    </row>
  </sheetData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2024-03-20T14:07:21Z</dcterms:modified>
</cp:coreProperties>
</file>