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11593D7E-0117-41EE-AF7E-9A5BD29488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H3" i="5"/>
  <c r="G3" i="5"/>
  <c r="F3" i="5"/>
  <c r="E3" i="5"/>
  <c r="D3" i="5"/>
  <c r="C3" i="5"/>
  <c r="B3" i="5"/>
  <c r="J16" i="4"/>
  <c r="I16" i="4"/>
  <c r="H16" i="4"/>
  <c r="G16" i="4"/>
  <c r="F16" i="4"/>
  <c r="E16" i="4"/>
  <c r="D16" i="4"/>
  <c r="C16" i="4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12" i="1"/>
  <c r="M112" i="1"/>
  <c r="N101" i="1"/>
  <c r="M101" i="1"/>
  <c r="K101" i="1"/>
  <c r="N97" i="1"/>
  <c r="M97" i="1"/>
  <c r="K97" i="1"/>
  <c r="N103" i="1" l="1"/>
  <c r="M103" i="1"/>
  <c r="K103" i="1"/>
  <c r="G117" i="1"/>
  <c r="F117" i="1"/>
  <c r="N117" i="1"/>
  <c r="M117" i="1"/>
  <c r="N102" i="1"/>
  <c r="M102" i="1"/>
  <c r="K102" i="1"/>
  <c r="N96" i="1"/>
  <c r="M96" i="1"/>
  <c r="K96" i="1"/>
  <c r="N104" i="1"/>
  <c r="M104" i="1"/>
  <c r="K104" i="1"/>
  <c r="N94" i="1" l="1"/>
  <c r="M94" i="1"/>
  <c r="N95" i="1"/>
  <c r="M95" i="1"/>
  <c r="K95" i="1"/>
  <c r="N114" i="1"/>
  <c r="M114" i="1"/>
  <c r="N109" i="1" l="1"/>
  <c r="M109" i="1"/>
  <c r="K109" i="1"/>
  <c r="N113" i="1"/>
  <c r="M113" i="1"/>
  <c r="G114" i="1"/>
  <c r="F114" i="1"/>
  <c r="G113" i="1"/>
  <c r="F113" i="1"/>
  <c r="G112" i="1"/>
  <c r="F112" i="1"/>
  <c r="G109" i="1"/>
  <c r="F109" i="1"/>
  <c r="D109" i="1"/>
  <c r="G104" i="1"/>
  <c r="F104" i="1"/>
  <c r="G103" i="1"/>
  <c r="F103" i="1"/>
  <c r="G102" i="1"/>
  <c r="F102" i="1"/>
  <c r="G101" i="1"/>
  <c r="F101" i="1"/>
  <c r="G97" i="1"/>
  <c r="F97" i="1"/>
  <c r="G96" i="1"/>
  <c r="F96" i="1"/>
  <c r="G95" i="1"/>
  <c r="F95" i="1"/>
  <c r="G94" i="1"/>
  <c r="F94" i="1"/>
  <c r="D104" i="1"/>
  <c r="D103" i="1"/>
  <c r="D102" i="1"/>
  <c r="D101" i="1"/>
  <c r="D97" i="1"/>
  <c r="D96" i="1"/>
  <c r="D95" i="1"/>
  <c r="V185" i="1" l="1"/>
  <c r="T148" i="1"/>
  <c r="S148" i="1"/>
  <c r="R115" i="1" l="1"/>
  <c r="V144" i="1" l="1"/>
  <c r="T136" i="1" l="1"/>
  <c r="R130" i="1"/>
  <c r="S130" i="1"/>
  <c r="T130" i="1"/>
  <c r="U130" i="1"/>
  <c r="V130" i="1"/>
  <c r="R150" i="1"/>
  <c r="S150" i="1"/>
  <c r="T150" i="1"/>
  <c r="U150" i="1"/>
  <c r="V150" i="1"/>
  <c r="R112" i="1" l="1"/>
  <c r="S112" i="1"/>
  <c r="S172" i="1" l="1"/>
  <c r="V112" i="1"/>
  <c r="U112" i="1"/>
  <c r="T112" i="1"/>
  <c r="R191" i="1" l="1"/>
  <c r="R192" i="1"/>
  <c r="R65" i="1" l="1"/>
  <c r="V73" i="1" l="1"/>
  <c r="U73" i="1"/>
  <c r="T73" i="1"/>
  <c r="S73" i="1"/>
  <c r="R73" i="1"/>
  <c r="V78" i="1" l="1"/>
  <c r="U78" i="1"/>
  <c r="T78" i="1"/>
  <c r="S78" i="1"/>
  <c r="R78" i="1"/>
  <c r="I10" i="4" l="1"/>
  <c r="H10" i="4"/>
  <c r="G10" i="4"/>
  <c r="F10" i="4"/>
  <c r="E10" i="4"/>
  <c r="D10" i="4"/>
  <c r="C10" i="4"/>
  <c r="B10" i="4"/>
  <c r="V173" i="1" l="1"/>
  <c r="U173" i="1"/>
  <c r="T173" i="1"/>
  <c r="S173" i="1"/>
  <c r="R173" i="1"/>
  <c r="T32" i="1" l="1"/>
  <c r="S21" i="1" l="1"/>
  <c r="T21" i="1"/>
  <c r="V96" i="1" l="1"/>
  <c r="R96" i="1"/>
  <c r="S96" i="1"/>
  <c r="T96" i="1"/>
  <c r="U96" i="1"/>
  <c r="R12" i="1" l="1"/>
  <c r="R48" i="1" l="1"/>
  <c r="V48" i="1"/>
  <c r="U48" i="1"/>
  <c r="T48" i="1"/>
  <c r="S48" i="1"/>
  <c r="V97" i="1" l="1"/>
  <c r="U97" i="1"/>
  <c r="T97" i="1"/>
  <c r="S97" i="1"/>
  <c r="R97" i="1"/>
  <c r="V122" i="1" l="1"/>
  <c r="U122" i="1"/>
  <c r="T122" i="1"/>
  <c r="S122" i="1"/>
  <c r="R122" i="1"/>
  <c r="R70" i="1" l="1"/>
  <c r="V178" i="1" l="1"/>
  <c r="U178" i="1"/>
  <c r="T178" i="1"/>
  <c r="S178" i="1"/>
  <c r="R178" i="1"/>
  <c r="S166" i="1" l="1"/>
  <c r="D161" i="1" l="1"/>
  <c r="D118" i="1"/>
  <c r="E109" i="1" s="1"/>
  <c r="E97" i="1" l="1"/>
  <c r="E112" i="1"/>
  <c r="R88" i="1"/>
  <c r="S88" i="1"/>
  <c r="T88" i="1"/>
  <c r="U88" i="1"/>
  <c r="V88" i="1"/>
  <c r="D201" i="1"/>
  <c r="D180" i="1"/>
  <c r="D126" i="1"/>
  <c r="E122" i="1" s="1"/>
  <c r="D55" i="1"/>
  <c r="E170" i="1" l="1"/>
  <c r="E171" i="1"/>
  <c r="E172" i="1"/>
  <c r="E173" i="1"/>
  <c r="E174" i="1"/>
  <c r="E175" i="1"/>
  <c r="E176" i="1"/>
  <c r="E177" i="1"/>
  <c r="E178" i="1"/>
  <c r="E179" i="1"/>
  <c r="R159" i="1"/>
  <c r="R80" i="1" l="1"/>
  <c r="S80" i="1"/>
  <c r="T80" i="1"/>
  <c r="V80" i="1"/>
  <c r="U80" i="1"/>
  <c r="D22" i="1" l="1"/>
  <c r="R110" i="1" l="1"/>
  <c r="R19" i="1" l="1"/>
  <c r="R190" i="1" l="1"/>
  <c r="S190" i="1"/>
  <c r="T190" i="1"/>
  <c r="U190" i="1"/>
  <c r="V190" i="1"/>
  <c r="S191" i="1"/>
  <c r="T191" i="1"/>
  <c r="U191" i="1"/>
  <c r="V191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1" i="1"/>
  <c r="U201" i="1"/>
  <c r="V201" i="1"/>
  <c r="V189" i="1"/>
  <c r="U189" i="1"/>
  <c r="T189" i="1"/>
  <c r="S189" i="1"/>
  <c r="R189" i="1"/>
  <c r="U185" i="1"/>
  <c r="T185" i="1"/>
  <c r="S185" i="1"/>
  <c r="R185" i="1"/>
  <c r="V184" i="1"/>
  <c r="U184" i="1"/>
  <c r="T184" i="1"/>
  <c r="S184" i="1"/>
  <c r="R184" i="1"/>
  <c r="R170" i="1"/>
  <c r="S170" i="1"/>
  <c r="T170" i="1"/>
  <c r="U170" i="1"/>
  <c r="V170" i="1"/>
  <c r="R171" i="1"/>
  <c r="S171" i="1"/>
  <c r="T171" i="1"/>
  <c r="U171" i="1"/>
  <c r="V171" i="1"/>
  <c r="R172" i="1"/>
  <c r="T172" i="1"/>
  <c r="U172" i="1"/>
  <c r="V172" i="1"/>
  <c r="R174" i="1"/>
  <c r="S174" i="1"/>
  <c r="T174" i="1"/>
  <c r="U174" i="1"/>
  <c r="V174" i="1"/>
  <c r="R175" i="1"/>
  <c r="S175" i="1"/>
  <c r="T175" i="1"/>
  <c r="U175" i="1"/>
  <c r="V175" i="1"/>
  <c r="R176" i="1"/>
  <c r="S176" i="1"/>
  <c r="T176" i="1"/>
  <c r="U176" i="1"/>
  <c r="V176" i="1"/>
  <c r="R177" i="1"/>
  <c r="S177" i="1"/>
  <c r="T177" i="1"/>
  <c r="U177" i="1"/>
  <c r="V177" i="1"/>
  <c r="R179" i="1"/>
  <c r="S179" i="1"/>
  <c r="T179" i="1"/>
  <c r="U179" i="1"/>
  <c r="V179" i="1"/>
  <c r="S180" i="1"/>
  <c r="U180" i="1"/>
  <c r="V180" i="1"/>
  <c r="V169" i="1"/>
  <c r="U169" i="1"/>
  <c r="T169" i="1"/>
  <c r="S169" i="1"/>
  <c r="R169" i="1"/>
  <c r="V166" i="1"/>
  <c r="U166" i="1"/>
  <c r="T166" i="1"/>
  <c r="R166" i="1"/>
  <c r="V165" i="1"/>
  <c r="U165" i="1"/>
  <c r="T165" i="1"/>
  <c r="S165" i="1"/>
  <c r="R165" i="1"/>
  <c r="S159" i="1"/>
  <c r="T159" i="1"/>
  <c r="U159" i="1"/>
  <c r="V159" i="1"/>
  <c r="R160" i="1"/>
  <c r="S160" i="1"/>
  <c r="T160" i="1"/>
  <c r="U160" i="1"/>
  <c r="V160" i="1"/>
  <c r="S161" i="1"/>
  <c r="U161" i="1"/>
  <c r="V161" i="1"/>
  <c r="V158" i="1"/>
  <c r="U158" i="1"/>
  <c r="T158" i="1"/>
  <c r="S158" i="1"/>
  <c r="R158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U148" i="1"/>
  <c r="V148" i="1"/>
  <c r="R149" i="1"/>
  <c r="S149" i="1"/>
  <c r="T149" i="1"/>
  <c r="U149" i="1"/>
  <c r="V149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S155" i="1"/>
  <c r="U155" i="1"/>
  <c r="V155" i="1"/>
  <c r="V129" i="1"/>
  <c r="U129" i="1"/>
  <c r="T129" i="1"/>
  <c r="S129" i="1"/>
  <c r="R129" i="1"/>
  <c r="R123" i="1"/>
  <c r="S123" i="1"/>
  <c r="T123" i="1"/>
  <c r="U123" i="1"/>
  <c r="V123" i="1"/>
  <c r="R124" i="1"/>
  <c r="S124" i="1"/>
  <c r="T124" i="1"/>
  <c r="U124" i="1"/>
  <c r="V124" i="1"/>
  <c r="R125" i="1"/>
  <c r="S125" i="1"/>
  <c r="T125" i="1"/>
  <c r="U125" i="1"/>
  <c r="V125" i="1"/>
  <c r="S126" i="1"/>
  <c r="U126" i="1"/>
  <c r="V126" i="1"/>
  <c r="V121" i="1"/>
  <c r="U121" i="1"/>
  <c r="T121" i="1"/>
  <c r="S121" i="1"/>
  <c r="R121" i="1"/>
  <c r="R109" i="1"/>
  <c r="S109" i="1"/>
  <c r="T109" i="1"/>
  <c r="U109" i="1"/>
  <c r="V109" i="1"/>
  <c r="S110" i="1"/>
  <c r="T110" i="1"/>
  <c r="U110" i="1"/>
  <c r="V110" i="1"/>
  <c r="R111" i="1"/>
  <c r="S111" i="1"/>
  <c r="T111" i="1"/>
  <c r="U111" i="1"/>
  <c r="V111" i="1"/>
  <c r="R113" i="1"/>
  <c r="S113" i="1"/>
  <c r="T113" i="1"/>
  <c r="U113" i="1"/>
  <c r="V113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S118" i="1"/>
  <c r="U118" i="1"/>
  <c r="V118" i="1"/>
  <c r="V108" i="1"/>
  <c r="U108" i="1"/>
  <c r="T108" i="1"/>
  <c r="S108" i="1"/>
  <c r="R108" i="1"/>
  <c r="R95" i="1"/>
  <c r="S95" i="1"/>
  <c r="T95" i="1"/>
  <c r="U95" i="1"/>
  <c r="V95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V94" i="1"/>
  <c r="U94" i="1"/>
  <c r="T94" i="1"/>
  <c r="S94" i="1"/>
  <c r="R94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9" i="1"/>
  <c r="S89" i="1"/>
  <c r="T89" i="1"/>
  <c r="U89" i="1"/>
  <c r="V89" i="1"/>
  <c r="S90" i="1"/>
  <c r="U90" i="1"/>
  <c r="V90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3" i="1"/>
  <c r="O180" i="1" l="1"/>
  <c r="O201" i="1"/>
  <c r="K201" i="1"/>
  <c r="H201" i="1"/>
  <c r="K186" i="1"/>
  <c r="H186" i="1"/>
  <c r="D186" i="1"/>
  <c r="H180" i="1"/>
  <c r="K180" i="1"/>
  <c r="L176" i="1" s="1"/>
  <c r="H161" i="1"/>
  <c r="O161" i="1"/>
  <c r="K161" i="1"/>
  <c r="O155" i="1"/>
  <c r="K155" i="1"/>
  <c r="H155" i="1"/>
  <c r="D155" i="1"/>
  <c r="O126" i="1"/>
  <c r="K126" i="1"/>
  <c r="L122" i="1" s="1"/>
  <c r="H126" i="1"/>
  <c r="T126" i="1" s="1"/>
  <c r="H118" i="1"/>
  <c r="O118" i="1"/>
  <c r="K118" i="1"/>
  <c r="L112" i="1" s="1"/>
  <c r="O90" i="1"/>
  <c r="K90" i="1"/>
  <c r="H90" i="1"/>
  <c r="D90" i="1"/>
  <c r="E73" i="1" s="1"/>
  <c r="O55" i="1"/>
  <c r="K55" i="1"/>
  <c r="H55" i="1"/>
  <c r="O22" i="1"/>
  <c r="H22" i="1"/>
  <c r="E149" i="1" l="1"/>
  <c r="E150" i="1"/>
  <c r="L82" i="1"/>
  <c r="L89" i="1"/>
  <c r="L73" i="1"/>
  <c r="L130" i="1"/>
  <c r="L150" i="1"/>
  <c r="E130" i="1"/>
  <c r="L170" i="1"/>
  <c r="L171" i="1"/>
  <c r="L172" i="1"/>
  <c r="L173" i="1"/>
  <c r="L174" i="1"/>
  <c r="L175" i="1"/>
  <c r="L177" i="1"/>
  <c r="L178" i="1"/>
  <c r="L179" i="1"/>
  <c r="L97" i="1"/>
  <c r="L110" i="1"/>
  <c r="L169" i="1"/>
  <c r="E78" i="1"/>
  <c r="L78" i="1"/>
  <c r="L52" i="1"/>
  <c r="L35" i="1"/>
  <c r="L199" i="1"/>
  <c r="L200" i="1"/>
  <c r="E48" i="1"/>
  <c r="L47" i="1"/>
  <c r="L49" i="1"/>
  <c r="L48" i="1"/>
  <c r="L50" i="1"/>
  <c r="L94" i="1"/>
  <c r="L108" i="1"/>
  <c r="L145" i="1"/>
  <c r="L151" i="1"/>
  <c r="L83" i="1"/>
  <c r="L61" i="1"/>
  <c r="L149" i="1"/>
  <c r="L96" i="1"/>
  <c r="L25" i="1"/>
  <c r="L38" i="1"/>
  <c r="T180" i="1"/>
  <c r="L87" i="1"/>
  <c r="L88" i="1"/>
  <c r="E80" i="1"/>
  <c r="E88" i="1"/>
  <c r="T201" i="1"/>
  <c r="L80" i="1"/>
  <c r="T55" i="1"/>
  <c r="T161" i="1"/>
  <c r="R161" i="1"/>
  <c r="T90" i="1"/>
  <c r="T155" i="1"/>
  <c r="T22" i="1"/>
  <c r="R126" i="1"/>
  <c r="R201" i="1"/>
  <c r="T118" i="1"/>
  <c r="O181" i="1"/>
  <c r="O202" i="1" s="1"/>
  <c r="R155" i="1"/>
  <c r="L144" i="1"/>
  <c r="R118" i="1"/>
  <c r="R90" i="1"/>
  <c r="L60" i="1"/>
  <c r="L62" i="1"/>
  <c r="L64" i="1"/>
  <c r="L66" i="1"/>
  <c r="L68" i="1"/>
  <c r="L70" i="1"/>
  <c r="L72" i="1"/>
  <c r="L75" i="1"/>
  <c r="L77" i="1"/>
  <c r="L81" i="1"/>
  <c r="L85" i="1"/>
  <c r="L59" i="1"/>
  <c r="L63" i="1"/>
  <c r="L65" i="1"/>
  <c r="L67" i="1"/>
  <c r="L69" i="1"/>
  <c r="L71" i="1"/>
  <c r="L74" i="1"/>
  <c r="L76" i="1"/>
  <c r="L79" i="1"/>
  <c r="L84" i="1"/>
  <c r="L8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0" i="1"/>
  <c r="H181" i="1"/>
  <c r="H202" i="1" s="1"/>
  <c r="J10" i="4"/>
  <c r="J12" i="4" s="1"/>
  <c r="I12" i="4"/>
  <c r="H12" i="4"/>
  <c r="G12" i="4"/>
  <c r="F12" i="4"/>
  <c r="E12" i="4"/>
  <c r="C12" i="4"/>
  <c r="E197" i="1"/>
  <c r="L198" i="1"/>
  <c r="L197" i="1"/>
  <c r="L195" i="1"/>
  <c r="L194" i="1"/>
  <c r="L193" i="1"/>
  <c r="L191" i="1"/>
  <c r="L190" i="1"/>
  <c r="L189" i="1"/>
  <c r="V186" i="1"/>
  <c r="U186" i="1"/>
  <c r="L184" i="1"/>
  <c r="E184" i="1"/>
  <c r="L166" i="1"/>
  <c r="L158" i="1"/>
  <c r="E160" i="1"/>
  <c r="E154" i="1"/>
  <c r="E151" i="1"/>
  <c r="L143" i="1"/>
  <c r="L141" i="1"/>
  <c r="L138" i="1"/>
  <c r="L135" i="1"/>
  <c r="L133" i="1"/>
  <c r="L129" i="1"/>
  <c r="L124" i="1"/>
  <c r="E125" i="1"/>
  <c r="L125" i="1"/>
  <c r="E87" i="1"/>
  <c r="E86" i="1"/>
  <c r="E84" i="1"/>
  <c r="E82" i="1"/>
  <c r="E79" i="1"/>
  <c r="E76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1" i="1"/>
  <c r="L131" i="1"/>
  <c r="L134" i="1"/>
  <c r="L137" i="1"/>
  <c r="L139" i="1"/>
  <c r="L142" i="1"/>
  <c r="L146" i="1"/>
  <c r="E18" i="1"/>
  <c r="L58" i="1"/>
  <c r="E62" i="1"/>
  <c r="E121" i="1"/>
  <c r="E129" i="1"/>
  <c r="E131" i="1"/>
  <c r="E132" i="1"/>
  <c r="E137" i="1"/>
  <c r="E138" i="1"/>
  <c r="E139" i="1"/>
  <c r="E140" i="1"/>
  <c r="E145" i="1"/>
  <c r="E148" i="1"/>
  <c r="E153" i="1"/>
  <c r="E11" i="1"/>
  <c r="E13" i="1"/>
  <c r="E16" i="1"/>
  <c r="E20" i="1"/>
  <c r="L29" i="1"/>
  <c r="L37" i="1"/>
  <c r="L43" i="1"/>
  <c r="K181" i="1"/>
  <c r="L123" i="1"/>
  <c r="E133" i="1"/>
  <c r="E134" i="1"/>
  <c r="E135" i="1"/>
  <c r="E136" i="1"/>
  <c r="E141" i="1"/>
  <c r="E142" i="1"/>
  <c r="E143" i="1"/>
  <c r="E144" i="1"/>
  <c r="E146" i="1"/>
  <c r="E147" i="1"/>
  <c r="E152" i="1"/>
  <c r="L165" i="1"/>
  <c r="L101" i="1"/>
  <c r="L100" i="1"/>
  <c r="L33" i="1"/>
  <c r="L44" i="1"/>
  <c r="L53" i="1"/>
  <c r="E124" i="1"/>
  <c r="L148" i="1"/>
  <c r="L153" i="1"/>
  <c r="L160" i="1"/>
  <c r="E192" i="1"/>
  <c r="E196" i="1"/>
  <c r="E200" i="1"/>
  <c r="D12" i="4"/>
  <c r="E95" i="1"/>
  <c r="L36" i="1"/>
  <c r="L39" i="1"/>
  <c r="L30" i="1"/>
  <c r="L41" i="1"/>
  <c r="L132" i="1"/>
  <c r="L136" i="1"/>
  <c r="L140" i="1"/>
  <c r="E159" i="1"/>
  <c r="E169" i="1"/>
  <c r="E185" i="1"/>
  <c r="L192" i="1"/>
  <c r="L196" i="1"/>
  <c r="L28" i="1"/>
  <c r="E7" i="1"/>
  <c r="E17" i="1"/>
  <c r="E21" i="1"/>
  <c r="L27" i="1"/>
  <c r="L46" i="1"/>
  <c r="E58" i="1"/>
  <c r="E66" i="1"/>
  <c r="E70" i="1"/>
  <c r="E75" i="1"/>
  <c r="E81" i="1"/>
  <c r="E85" i="1"/>
  <c r="E89" i="1"/>
  <c r="E123" i="1"/>
  <c r="L147" i="1"/>
  <c r="L152" i="1"/>
  <c r="L159" i="1"/>
  <c r="L185" i="1"/>
  <c r="R186" i="1"/>
  <c r="E191" i="1"/>
  <c r="E195" i="1"/>
  <c r="E199" i="1"/>
  <c r="E158" i="1"/>
  <c r="E166" i="1"/>
  <c r="E190" i="1"/>
  <c r="E194" i="1"/>
  <c r="E198" i="1"/>
  <c r="L45" i="1"/>
  <c r="L54" i="1"/>
  <c r="L26" i="1"/>
  <c r="L34" i="1"/>
  <c r="E165" i="1"/>
  <c r="E12" i="1"/>
  <c r="E15" i="1"/>
  <c r="L31" i="1"/>
  <c r="L42" i="1"/>
  <c r="E60" i="1"/>
  <c r="E64" i="1"/>
  <c r="E68" i="1"/>
  <c r="E72" i="1"/>
  <c r="E77" i="1"/>
  <c r="E83" i="1"/>
  <c r="L154" i="1"/>
  <c r="E189" i="1"/>
  <c r="E193" i="1"/>
  <c r="L111" i="1" l="1"/>
  <c r="L95" i="1"/>
  <c r="L98" i="1"/>
  <c r="L104" i="1"/>
  <c r="L114" i="1"/>
  <c r="L99" i="1"/>
  <c r="K202" i="1"/>
  <c r="L22" i="1"/>
  <c r="L155" i="1"/>
  <c r="L55" i="1"/>
  <c r="L126" i="1"/>
  <c r="L90" i="1"/>
  <c r="L118" i="1"/>
  <c r="L180" i="1"/>
  <c r="L161" i="1"/>
  <c r="L103" i="1"/>
  <c r="L102" i="1"/>
  <c r="L117" i="1"/>
  <c r="L113" i="1"/>
  <c r="L115" i="1"/>
  <c r="L105" i="1"/>
  <c r="L116" i="1"/>
  <c r="L109" i="1"/>
  <c r="E116" i="1"/>
  <c r="E113" i="1"/>
  <c r="E105" i="1"/>
  <c r="E102" i="1"/>
  <c r="E99" i="1"/>
  <c r="E104" i="1"/>
  <c r="E100" i="1"/>
  <c r="E110" i="1"/>
  <c r="E101" i="1"/>
  <c r="D181" i="1"/>
  <c r="E117" i="1"/>
  <c r="E94" i="1"/>
  <c r="E103" i="1"/>
  <c r="E98" i="1"/>
  <c r="E115" i="1"/>
  <c r="E114" i="1"/>
  <c r="E111" i="1"/>
  <c r="E108" i="1"/>
  <c r="E118" i="1" l="1"/>
  <c r="R181" i="1"/>
  <c r="E55" i="1"/>
  <c r="E155" i="1"/>
  <c r="D202" i="1"/>
  <c r="E90" i="1"/>
  <c r="E22" i="1"/>
  <c r="E180" i="1"/>
  <c r="E126" i="1"/>
  <c r="E161" i="1"/>
</calcChain>
</file>

<file path=xl/sharedStrings.xml><?xml version="1.0" encoding="utf-8"?>
<sst xmlns="http://schemas.openxmlformats.org/spreadsheetml/2006/main" count="417" uniqueCount="269">
  <si>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</si>
  <si>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</si>
  <si>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</si>
  <si>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</si>
  <si>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</si>
  <si>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</si>
  <si>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</si>
  <si>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</si>
  <si>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</si>
  <si>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</si>
  <si>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</si>
  <si>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</si>
  <si>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</si>
  <si>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</si>
  <si>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</si>
  <si>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</si>
  <si>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</si>
  <si>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</si>
  <si>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</si>
  <si>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</si>
  <si>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</si>
  <si>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</si>
  <si>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</si>
  <si>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</si>
  <si>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</si>
  <si>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</si>
  <si>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</si>
  <si>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</si>
  <si>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</si>
  <si>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</si>
  <si>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</si>
  <si>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</si>
  <si>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</si>
  <si>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</si>
  <si>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</si>
  <si>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</si>
  <si>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</si>
  <si>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</si>
  <si>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</si>
  <si>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</si>
  <si>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</si>
  <si>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</si>
  <si>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</si>
  <si>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</si>
  <si>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</si>
  <si>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</si>
  <si>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</si>
  <si>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</si>
  <si>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</si>
  <si>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</si>
  <si>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</si>
  <si>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</si>
  <si>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</si>
  <si>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</si>
  <si>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</si>
  <si>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</si>
  <si>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</si>
  <si>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</si>
  <si>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</si>
  <si>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</si>
  <si>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</si>
  <si>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</si>
  <si>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</si>
  <si>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</si>
  <si>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</si>
  <si>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</si>
  <si>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</si>
  <si>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</si>
  <si>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</si>
  <si>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</si>
  <si>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</si>
  <si>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</si>
  <si>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</si>
  <si>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</si>
  <si>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</si>
  <si>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</si>
  <si>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</si>
  <si>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</si>
  <si>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</si>
  <si>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</si>
  <si>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</si>
  <si>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</si>
  <si>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</si>
  <si>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</si>
  <si>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</si>
  <si>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</si>
  <si>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</si>
  <si>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</si>
  <si>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</si>
  <si>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</si>
  <si>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</si>
  <si>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</si>
  <si>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</si>
  <si>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</si>
  <si>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</si>
  <si>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</si>
  <si>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</si>
  <si>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</si>
  <si>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</si>
  <si>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</si>
  <si>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</si>
  <si>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</si>
  <si>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</si>
  <si>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</si>
  <si>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</si>
  <si>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</si>
  <si>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</si>
  <si>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</si>
  <si>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</si>
  <si>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</si>
  <si>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</si>
  <si>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</si>
  <si>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</si>
  <si>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</si>
  <si>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</si>
  <si>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</si>
  <si>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</si>
  <si>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</si>
  <si>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</si>
  <si>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</si>
  <si>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</si>
  <si>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</si>
  <si>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</si>
  <si>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</si>
  <si>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</si>
  <si>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</si>
  <si>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</si>
  <si>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</si>
  <si>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</si>
  <si>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</si>
  <si>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</si>
  <si>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</si>
  <si>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</si>
  <si>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</si>
  <si>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</si>
  <si>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</si>
  <si>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</si>
  <si>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</si>
  <si>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</si>
  <si>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</si>
  <si>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</si>
  <si>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</si>
  <si>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</si>
  <si>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</si>
  <si>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</si>
  <si>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</si>
  <si>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</si>
  <si>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</si>
  <si>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</si>
  <si>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</si>
  <si>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</si>
  <si>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</si>
  <si>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</si>
  <si>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</si>
  <si>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</si>
  <si>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</si>
  <si>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</si>
  <si>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</si>
  <si>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</si>
  <si>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</si>
  <si>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</si>
  <si>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</si>
  <si>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</si>
  <si>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</si>
  <si>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</si>
  <si>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</si>
  <si>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</si>
  <si>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</si>
  <si>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</si>
  <si>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</si>
  <si>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</si>
  <si>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</si>
  <si>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</si>
  <si>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</si>
  <si>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</si>
  <si>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</si>
  <si>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</si>
  <si>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</si>
  <si>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</si>
  <si>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</si>
  <si>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</si>
  <si>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</si>
  <si>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</si>
  <si>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</si>
  <si>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</si>
  <si>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</si>
  <si>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</si>
  <si>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</si>
  <si>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</si>
  <si>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</si>
  <si>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</si>
  <si>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</si>
  <si>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</si>
  <si>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</si>
  <si>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</si>
  <si>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</si>
  <si>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</si>
  <si>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</si>
  <si>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</si>
  <si>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</si>
  <si>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</si>
  <si>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</si>
  <si>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</si>
  <si>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</si>
  <si>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</si>
  <si>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</si>
  <si>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</si>
  <si>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</si>
  <si>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</si>
  <si>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</si>
  <si>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</si>
  <si>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</si>
  <si>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</si>
  <si>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</si>
  <si>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</si>
  <si>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</si>
  <si>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</si>
  <si>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</si>
  <si>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</si>
  <si>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</si>
  <si>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</si>
  <si>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</si>
  <si>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</si>
  <si>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</si>
  <si>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</si>
  <si>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</si>
  <si>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</si>
  <si>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</si>
  <si>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</si>
  <si>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</si>
  <si>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</si>
  <si>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</si>
  <si>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</si>
  <si>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</si>
  <si>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</si>
  <si>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</si>
  <si>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</si>
  <si>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</si>
  <si>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</si>
  <si>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</si>
  <si>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</si>
  <si>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</si>
  <si>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</si>
  <si>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</si>
  <si>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</si>
  <si>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</si>
  <si>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</si>
  <si>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</si>
  <si>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</si>
  <si>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</si>
  <si>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</si>
  <si>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</si>
  <si>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</si>
  <si>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</si>
  <si>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</si>
  <si>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</si>
  <si>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</si>
  <si>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</si>
  <si>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NAV, Unit Price and Yield as at Week Ended February 2, 2024</t>
  </si>
  <si>
    <t>S</t>
  </si>
  <si>
    <t>16.54% </t>
  </si>
  <si>
    <t>Week Ended February 2, 2024</t>
  </si>
  <si>
    <t>WEEKLY VALUATION REPORT OF COLLECTIVE INVESTMENT SCHEMES AS AT WEEK ENDED FRIDAY, FEBRUARY 9, 2024</t>
  </si>
  <si>
    <t>NAV, Unit Price and Yield as at Week Ended February 9, 2024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</si>
  <si>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9th February, 2024 = </t>
    </r>
    <r>
      <rPr>
        <strike/>
        <sz val="6"/>
        <color theme="0"/>
        <rFont val="Times New Roman"/>
        <family val="1"/>
      </rPr>
      <t>N1,481</t>
    </r>
    <r>
      <rPr>
        <sz val="6"/>
        <color theme="0"/>
        <rFont val="Times New Roman"/>
        <family val="1"/>
      </rPr>
      <t>.982</t>
    </r>
  </si>
  <si>
    <t> 16.53%</t>
  </si>
  <si>
    <t>16.53% </t>
  </si>
  <si>
    <t>Week Ended February 9, 2024</t>
  </si>
  <si>
    <t>The chart above shows that the Dollar Fund category (Eurobonds and Fixed Income) has the highest share of the Aggregate Net Asset Value (NAV) at 45.44%, followed by Money Market Fund with 35.48%, Bond/Fixed Income Fund at 10.44%, Real Estate Investment Trust at 3.66%.  Next is Balanced Fund at 1.86%, Shari'ah Compliant Fund at 1.83%, Equity Fund at 1.09%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</si>
</sst>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  <font>
      <sz val="6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8" fillId="17" borderId="14" applyNumberFormat="0" applyAlignment="0" applyProtection="0"/>
    <xf numFmtId="0" fontId="39" fillId="18" borderId="15" applyNumberFormat="0" applyAlignment="0" applyProtection="0"/>
    <xf numFmtId="0" fontId="40" fillId="18" borderId="14" applyNumberFormat="0" applyAlignment="0" applyProtection="0"/>
    <xf numFmtId="0" fontId="41" fillId="0" borderId="16" applyNumberFormat="0" applyFill="0" applyAlignment="0" applyProtection="0"/>
    <xf numFmtId="0" fontId="42" fillId="19" borderId="17" applyNumberFormat="0" applyAlignment="0" applyProtection="0"/>
    <xf numFmtId="0" fontId="43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</cellStyleXfs>
  <cellXfs count="156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0" fillId="0" borderId="0" xfId="0" applyNumberFormat="1"/>
    <xf numFmtId="0" fontId="28" fillId="0" borderId="0" xfId="0" applyFont="1"/>
    <xf numFmtId="0" fontId="30" fillId="0" borderId="5" xfId="0" applyFont="1" applyBorder="1" applyAlignment="1">
      <alignment horizontal="right"/>
    </xf>
    <xf numFmtId="16" fontId="31" fillId="3" borderId="5" xfId="0" applyNumberFormat="1" applyFont="1" applyFill="1" applyBorder="1" applyAlignment="1">
      <alignment wrapText="1"/>
    </xf>
    <xf numFmtId="0" fontId="31" fillId="0" borderId="5" xfId="0" applyFont="1" applyBorder="1" applyAlignment="1">
      <alignment horizontal="right" wrapText="1"/>
    </xf>
    <xf numFmtId="4" fontId="32" fillId="3" borderId="5" xfId="0" applyNumberFormat="1" applyFont="1" applyFill="1" applyBorder="1"/>
    <xf numFmtId="0" fontId="31" fillId="0" borderId="5" xfId="0" applyFont="1" applyBorder="1" applyAlignment="1">
      <alignment horizontal="right"/>
    </xf>
    <xf numFmtId="4" fontId="32" fillId="3" borderId="5" xfId="0" applyNumberFormat="1" applyFont="1" applyFill="1" applyBorder="1" applyAlignment="1">
      <alignment horizontal="right"/>
    </xf>
    <xf numFmtId="164" fontId="32" fillId="3" borderId="5" xfId="1" applyFont="1" applyFill="1" applyBorder="1" applyAlignment="1">
      <alignment horizontal="right" vertical="top" wrapText="1"/>
    </xf>
    <xf numFmtId="16" fontId="31" fillId="3" borderId="5" xfId="0" applyNumberFormat="1" applyFont="1" applyFill="1" applyBorder="1"/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4" fontId="32" fillId="3" borderId="10" xfId="0" applyNumberFormat="1" applyFont="1" applyFill="1" applyBorder="1"/>
    <xf numFmtId="164" fontId="32" fillId="3" borderId="0" xfId="1" applyFont="1" applyFill="1" applyBorder="1" applyAlignment="1">
      <alignment horizontal="right" vertical="top" wrapText="1"/>
    </xf>
    <xf numFmtId="4" fontId="32" fillId="3" borderId="0" xfId="0" applyNumberFormat="1" applyFont="1" applyFill="1"/>
    <xf numFmtId="4" fontId="0" fillId="0" borderId="0" xfId="0" applyNumberFormat="1"/>
    <xf numFmtId="0" fontId="48" fillId="0" borderId="0" xfId="0" applyFont="1" applyAlignment="1">
      <alignment horizontal="right"/>
    </xf>
    <xf numFmtId="166" fontId="0" fillId="0" borderId="0" xfId="0" applyNumberFormat="1"/>
    <xf numFmtId="4" fontId="49" fillId="0" borderId="0" xfId="0" applyNumberFormat="1" applyFont="1"/>
    <xf numFmtId="0" fontId="42" fillId="0" borderId="0" xfId="0" applyFont="1"/>
    <xf numFmtId="16" fontId="50" fillId="3" borderId="0" xfId="0" applyNumberFormat="1" applyFont="1" applyFill="1"/>
    <xf numFmtId="164" fontId="51" fillId="0" borderId="0" xfId="1" applyFont="1"/>
    <xf numFmtId="0" fontId="6" fillId="3" borderId="5" xfId="0" applyFont="1" applyFill="1" applyBorder="1" applyAlignment="1">
      <alignment horizontal="left" wrapText="1"/>
    </xf>
    <xf numFmtId="49" fontId="6" fillId="0" borderId="5" xfId="0" applyNumberFormat="1" applyFont="1" applyBorder="1" applyAlignment="1">
      <alignment wrapText="1"/>
    </xf>
    <xf numFmtId="4" fontId="6" fillId="0" borderId="5" xfId="0" applyNumberFormat="1" applyFont="1" applyBorder="1" applyAlignment="1">
      <alignment wrapText="1"/>
    </xf>
    <xf numFmtId="4" fontId="11" fillId="3" borderId="0" xfId="0" applyNumberFormat="1" applyFont="1" applyFill="1" applyAlignment="1">
      <alignment horizontal="right"/>
    </xf>
    <xf numFmtId="164" fontId="52" fillId="0" borderId="0" xfId="1" applyFont="1"/>
    <xf numFmtId="4" fontId="32" fillId="3" borderId="20" xfId="0" applyNumberFormat="1" applyFont="1" applyFill="1" applyBorder="1"/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</cellXfs>
  <cellStyles count="55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February 2,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31.133318704695302</c:v>
                </c:pt>
                <c:pt idx="1">
                  <c:v>962.89718129470305</c:v>
                </c:pt>
                <c:pt idx="2">
                  <c:v>285.83747246720799</c:v>
                </c:pt>
                <c:pt idx="3">
                  <c:v>1213.27797178844</c:v>
                </c:pt>
                <c:pt idx="4">
                  <c:v>100.225758223615</c:v>
                </c:pt>
                <c:pt idx="5" formatCode="_-* #,##0.00_-;\-* #,##0.00_-;_-* &quot;-&quot;??_-;_-@_-">
                  <c:v>51.726288214560896</c:v>
                </c:pt>
                <c:pt idx="6">
                  <c:v>5.4921896755600006</c:v>
                </c:pt>
                <c:pt idx="7">
                  <c:v>49.968633652243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February 9,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29.7731546763297</c:v>
                </c:pt>
                <c:pt idx="1">
                  <c:v>965.95423832549</c:v>
                </c:pt>
                <c:pt idx="2">
                  <c:v>284.10965736859697</c:v>
                </c:pt>
                <c:pt idx="3">
                  <c:v>1237.17278682797</c:v>
                </c:pt>
                <c:pt idx="4">
                  <c:v>99.671501901347398</c:v>
                </c:pt>
                <c:pt idx="5" formatCode="_-* #,##0.00_-;\-* #,##0.00_-;_-* &quot;-&quot;??_-;_-@_-">
                  <c:v>50.58021412742</c:v>
                </c:pt>
                <c:pt idx="6">
                  <c:v>5.3716224506999994</c:v>
                </c:pt>
                <c:pt idx="7">
                  <c:v>49.899185767631302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9TH FEBRUARY,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9-Feb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5371622450.6999998</c:v>
                </c:pt>
                <c:pt idx="1">
                  <c:v>29773154676.3297</c:v>
                </c:pt>
                <c:pt idx="2">
                  <c:v>49899185767.631302</c:v>
                </c:pt>
                <c:pt idx="3" formatCode="_-* #,##0.00_-;\-* #,##0.00_-;_-* &quot;-&quot;??_-;_-@_-">
                  <c:v>50580214127.421898</c:v>
                </c:pt>
                <c:pt idx="4">
                  <c:v>99671501901.347397</c:v>
                </c:pt>
                <c:pt idx="5">
                  <c:v>284109657368.59698</c:v>
                </c:pt>
                <c:pt idx="6">
                  <c:v>965954238325.48999</c:v>
                </c:pt>
                <c:pt idx="7">
                  <c:v>1237172786827.97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45282</c:v>
                </c:pt>
                <c:pt idx="1">
                  <c:v>45289</c:v>
                </c:pt>
                <c:pt idx="2">
                  <c:v>45296</c:v>
                </c:pt>
                <c:pt idx="3">
                  <c:v>45303</c:v>
                </c:pt>
                <c:pt idx="4">
                  <c:v>45310</c:v>
                </c:pt>
                <c:pt idx="5">
                  <c:v>45317</c:v>
                </c:pt>
                <c:pt idx="6">
                  <c:v>45324</c:v>
                </c:pt>
                <c:pt idx="7">
                  <c:v>45331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2101.7818089925099</c:v>
                </c:pt>
                <c:pt idx="1">
                  <c:v>2134.0445986879599</c:v>
                </c:pt>
                <c:pt idx="2">
                  <c:v>2137.5250442199799</c:v>
                </c:pt>
                <c:pt idx="3">
                  <c:v>2218.2047771558</c:v>
                </c:pt>
                <c:pt idx="4">
                  <c:v>2215.4714039116297</c:v>
                </c:pt>
                <c:pt idx="5">
                  <c:v>2278.1721966806804</c:v>
                </c:pt>
                <c:pt idx="6">
                  <c:v>2700.5588140210298</c:v>
                </c:pt>
                <c:pt idx="7">
                  <c:v>2722.5323614454901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396240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6"/>
  <sheetViews>
    <sheetView tabSelected="1" zoomScaleNormal="100" workbookViewId="0">
      <pane ySplit="3" topLeftCell="A4" activePane="bottomLeft" state="frozen"/>
      <selection activeCell="P12" sqref="P12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20.57031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3" t="s">
        <v>262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6"/>
    </row>
    <row r="2" spans="1:25" ht="15" customHeight="1">
      <c r="A2" s="1"/>
      <c r="B2" s="1"/>
      <c r="C2" s="1"/>
      <c r="D2" s="150" t="s">
        <v>258</v>
      </c>
      <c r="E2" s="151"/>
      <c r="F2" s="151"/>
      <c r="G2" s="151"/>
      <c r="H2" s="151"/>
      <c r="I2" s="151"/>
      <c r="J2" s="152"/>
      <c r="K2" s="150" t="s">
        <v>263</v>
      </c>
      <c r="L2" s="151"/>
      <c r="M2" s="151"/>
      <c r="N2" s="151"/>
      <c r="O2" s="151"/>
      <c r="P2" s="151"/>
      <c r="Q2" s="152"/>
      <c r="R2" s="150" t="s">
        <v>0</v>
      </c>
      <c r="S2" s="151"/>
      <c r="T2" s="152"/>
      <c r="U2" s="147" t="s">
        <v>1</v>
      </c>
      <c r="V2" s="147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5" ht="15" customHeight="1">
      <c r="A5" s="149" t="s">
        <v>15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1:25">
      <c r="A6" s="75">
        <v>1</v>
      </c>
      <c r="B6" s="112" t="s">
        <v>16</v>
      </c>
      <c r="C6" s="113" t="s">
        <v>17</v>
      </c>
      <c r="D6" s="2">
        <v>1328009246.24</v>
      </c>
      <c r="E6" s="3">
        <f t="shared" ref="E6:E21" si="0">(D6/$D$22)</f>
        <v>4.2655563283708633E-2</v>
      </c>
      <c r="F6" s="8">
        <v>366.5505</v>
      </c>
      <c r="G6" s="8">
        <v>368.66759999999999</v>
      </c>
      <c r="H6" s="60">
        <v>1727</v>
      </c>
      <c r="I6" s="5">
        <v>-9.4999999999999998E-3</v>
      </c>
      <c r="J6" s="5">
        <v>0.18290000000000001</v>
      </c>
      <c r="K6" s="2">
        <v>1288812002.8299999</v>
      </c>
      <c r="L6" s="3">
        <f>(K6/$K$22)</f>
        <v>4.3287720661144231E-2</v>
      </c>
      <c r="M6" s="8">
        <v>354.99099999999999</v>
      </c>
      <c r="N6" s="8">
        <v>357.25549999999998</v>
      </c>
      <c r="O6" s="60">
        <v>1731</v>
      </c>
      <c r="P6" s="5">
        <v>3.15E-2</v>
      </c>
      <c r="Q6" s="5">
        <v>0.14560000000000001</v>
      </c>
      <c r="R6" s="80">
        <f>((K6-D6)/D6)</f>
        <v>-2.9515791039090623E-2</v>
      </c>
      <c r="S6" s="80">
        <f>((N6-G6)/G6)</f>
        <v>-3.0954984924088828E-2</v>
      </c>
      <c r="T6" s="80">
        <f>((O6-H6)/H6)</f>
        <v>2.3161551823972205E-3</v>
      </c>
      <c r="U6" s="81">
        <f>P6-I6</f>
        <v>4.1000000000000002E-2</v>
      </c>
      <c r="V6" s="83">
        <f>Q6-J6</f>
        <v>-3.73E-2</v>
      </c>
    </row>
    <row r="7" spans="1:25">
      <c r="A7" s="75">
        <v>2</v>
      </c>
      <c r="B7" s="112" t="s">
        <v>18</v>
      </c>
      <c r="C7" s="113" t="s">
        <v>19</v>
      </c>
      <c r="D7" s="4">
        <v>695918996.70000005</v>
      </c>
      <c r="E7" s="3">
        <f t="shared" si="0"/>
        <v>2.2352869069337172E-2</v>
      </c>
      <c r="F7" s="4">
        <v>249.11750000000001</v>
      </c>
      <c r="G7" s="4">
        <v>252.11490000000001</v>
      </c>
      <c r="H7" s="60">
        <v>385</v>
      </c>
      <c r="I7" s="5">
        <v>2.0659E-2</v>
      </c>
      <c r="J7" s="5">
        <v>0.28770000000000001</v>
      </c>
      <c r="K7" s="4">
        <v>651877358.07000005</v>
      </c>
      <c r="L7" s="3">
        <f t="shared" ref="L7:L21" si="1">(K7/$K$22)</f>
        <v>2.1894803058550481E-2</v>
      </c>
      <c r="M7" s="4">
        <v>238.30760000000001</v>
      </c>
      <c r="N7" s="4">
        <v>240.84719999999999</v>
      </c>
      <c r="O7" s="60">
        <v>385</v>
      </c>
      <c r="P7" s="5">
        <v>9.5379999999999996E-3</v>
      </c>
      <c r="Q7" s="5">
        <v>0.2319</v>
      </c>
      <c r="R7" s="80">
        <f t="shared" ref="R7:R22" si="2">((K7-D7)/D7)</f>
        <v>-6.3285581854845771E-2</v>
      </c>
      <c r="S7" s="80">
        <f t="shared" ref="S7:S22" si="3">((N7-G7)/G7)</f>
        <v>-4.4692717487145817E-2</v>
      </c>
      <c r="T7" s="80">
        <f t="shared" ref="T7:T22" si="4">((O7-H7)/H7)</f>
        <v>0</v>
      </c>
      <c r="U7" s="81">
        <f t="shared" ref="U7:U22" si="5">P7-I7</f>
        <v>-1.1121000000000001E-2</v>
      </c>
      <c r="V7" s="83">
        <f t="shared" ref="V7:V22" si="6">Q7-J7</f>
        <v>-5.5800000000000016E-2</v>
      </c>
    </row>
    <row r="8" spans="1:25">
      <c r="A8" s="75">
        <v>3</v>
      </c>
      <c r="B8" s="112" t="s">
        <v>20</v>
      </c>
      <c r="C8" s="113" t="s">
        <v>21</v>
      </c>
      <c r="D8" s="4">
        <v>4388306339.4300003</v>
      </c>
      <c r="E8" s="3">
        <f t="shared" si="0"/>
        <v>0.14095208997967146</v>
      </c>
      <c r="F8" s="4">
        <v>40.1145</v>
      </c>
      <c r="G8" s="4">
        <v>41.323999999999998</v>
      </c>
      <c r="H8" s="62">
        <v>6370</v>
      </c>
      <c r="I8" s="6">
        <v>0.80489999999999995</v>
      </c>
      <c r="J8" s="6">
        <v>3.4226999999999999</v>
      </c>
      <c r="K8" s="4">
        <v>4238810626.3000002</v>
      </c>
      <c r="L8" s="3">
        <f t="shared" si="1"/>
        <v>0.14237022150930975</v>
      </c>
      <c r="M8" s="4">
        <v>38.777900000000002</v>
      </c>
      <c r="N8" s="4">
        <v>39.947099999999999</v>
      </c>
      <c r="O8" s="62">
        <v>6373</v>
      </c>
      <c r="P8" s="6">
        <v>-1.7421</v>
      </c>
      <c r="Q8" s="6">
        <v>2.4645999999999999</v>
      </c>
      <c r="R8" s="80">
        <f t="shared" si="2"/>
        <v>-3.4066836170197318E-2</v>
      </c>
      <c r="S8" s="80">
        <f t="shared" si="3"/>
        <v>-3.331962055948115E-2</v>
      </c>
      <c r="T8" s="80">
        <f t="shared" si="4"/>
        <v>4.7095761381475666E-4</v>
      </c>
      <c r="U8" s="81">
        <f t="shared" si="5"/>
        <v>-2.5469999999999997</v>
      </c>
      <c r="V8" s="83">
        <f t="shared" si="6"/>
        <v>-0.95809999999999995</v>
      </c>
      <c r="X8" s="102"/>
      <c r="Y8" s="102"/>
    </row>
    <row r="9" spans="1:25">
      <c r="A9" s="75">
        <v>4</v>
      </c>
      <c r="B9" s="112" t="s">
        <v>22</v>
      </c>
      <c r="C9" s="113" t="s">
        <v>23</v>
      </c>
      <c r="D9" s="4">
        <v>831307744.79999995</v>
      </c>
      <c r="E9" s="3">
        <f t="shared" si="0"/>
        <v>2.6701546105158014E-2</v>
      </c>
      <c r="F9" s="4">
        <v>253.81</v>
      </c>
      <c r="G9" s="4">
        <v>253.81</v>
      </c>
      <c r="H9" s="60">
        <v>1764</v>
      </c>
      <c r="I9" s="5">
        <v>1E-4</v>
      </c>
      <c r="J9" s="5">
        <v>0.2457</v>
      </c>
      <c r="K9" s="4">
        <v>830779687.14999998</v>
      </c>
      <c r="L9" s="3">
        <f t="shared" si="1"/>
        <v>2.7903649988776227E-2</v>
      </c>
      <c r="M9" s="4">
        <v>244.88</v>
      </c>
      <c r="N9" s="4">
        <v>244.88</v>
      </c>
      <c r="O9" s="60">
        <v>1771</v>
      </c>
      <c r="P9" s="5">
        <v>-3.5200000000000002E-2</v>
      </c>
      <c r="Q9" s="5">
        <v>0.2019</v>
      </c>
      <c r="R9" s="80">
        <f t="shared" si="2"/>
        <v>-6.3521319668087398E-4</v>
      </c>
      <c r="S9" s="80">
        <f t="shared" si="3"/>
        <v>-3.5183798904692511E-2</v>
      </c>
      <c r="T9" s="80">
        <f t="shared" si="4"/>
        <v>3.968253968253968E-3</v>
      </c>
      <c r="U9" s="81">
        <f t="shared" si="5"/>
        <v>-3.5300000000000005E-2</v>
      </c>
      <c r="V9" s="83">
        <f t="shared" si="6"/>
        <v>-4.3800000000000006E-2</v>
      </c>
    </row>
    <row r="10" spans="1:25">
      <c r="A10" s="75">
        <v>5</v>
      </c>
      <c r="B10" s="112" t="s">
        <v>24</v>
      </c>
      <c r="C10" s="113" t="s">
        <v>25</v>
      </c>
      <c r="D10" s="7">
        <v>105436930.40000001</v>
      </c>
      <c r="E10" s="3">
        <f t="shared" si="0"/>
        <v>3.3866267647238895E-3</v>
      </c>
      <c r="F10" s="4">
        <v>164.8372</v>
      </c>
      <c r="G10" s="4">
        <v>165.65629999999999</v>
      </c>
      <c r="H10" s="62">
        <v>83</v>
      </c>
      <c r="I10" s="6">
        <v>-4.6099999999999998E-4</v>
      </c>
      <c r="J10" s="6">
        <v>0.3901</v>
      </c>
      <c r="K10" s="7">
        <v>101949941.48</v>
      </c>
      <c r="L10" s="3">
        <f t="shared" si="1"/>
        <v>3.4242236870200529E-3</v>
      </c>
      <c r="M10" s="4">
        <v>159.86259999999999</v>
      </c>
      <c r="N10" s="4">
        <v>160.64240000000001</v>
      </c>
      <c r="O10" s="62">
        <v>84</v>
      </c>
      <c r="P10" s="6">
        <v>-1.5517E-2</v>
      </c>
      <c r="Q10" s="6">
        <v>0.36459999999999998</v>
      </c>
      <c r="R10" s="80">
        <f t="shared" si="2"/>
        <v>-3.3071798531797938E-2</v>
      </c>
      <c r="S10" s="80">
        <f t="shared" si="3"/>
        <v>-3.0266883903600276E-2</v>
      </c>
      <c r="T10" s="80">
        <f t="shared" si="4"/>
        <v>1.2048192771084338E-2</v>
      </c>
      <c r="U10" s="81">
        <f t="shared" si="5"/>
        <v>-1.5056E-2</v>
      </c>
      <c r="V10" s="83">
        <f t="shared" si="6"/>
        <v>-2.5500000000000023E-2</v>
      </c>
    </row>
    <row r="11" spans="1:25">
      <c r="A11" s="75">
        <v>6</v>
      </c>
      <c r="B11" s="112" t="s">
        <v>26</v>
      </c>
      <c r="C11" s="113" t="s">
        <v>27</v>
      </c>
      <c r="D11" s="4">
        <v>1194761369.5</v>
      </c>
      <c r="E11" s="3">
        <f t="shared" si="0"/>
        <v>3.8375650884909185E-2</v>
      </c>
      <c r="F11" s="4">
        <v>295.05</v>
      </c>
      <c r="G11" s="4">
        <v>299.5</v>
      </c>
      <c r="H11" s="62">
        <v>1607</v>
      </c>
      <c r="I11" s="6">
        <v>-1.4500000000000001E-2</v>
      </c>
      <c r="J11" s="6">
        <v>0.1865</v>
      </c>
      <c r="K11" s="4">
        <v>1158755097.2</v>
      </c>
      <c r="L11" s="3">
        <f t="shared" si="1"/>
        <v>3.8919459822013266E-2</v>
      </c>
      <c r="M11" s="4">
        <v>282.64999999999998</v>
      </c>
      <c r="N11" s="4">
        <v>286.82</v>
      </c>
      <c r="O11" s="62">
        <v>1609</v>
      </c>
      <c r="P11" s="6">
        <v>-4.2200000000000001E-2</v>
      </c>
      <c r="Q11" s="6">
        <v>0.1366</v>
      </c>
      <c r="R11" s="80">
        <f t="shared" si="2"/>
        <v>-3.0136789838684144E-2</v>
      </c>
      <c r="S11" s="80">
        <f t="shared" si="3"/>
        <v>-4.2337228714524229E-2</v>
      </c>
      <c r="T11" s="80">
        <f t="shared" si="4"/>
        <v>1.2445550715619166E-3</v>
      </c>
      <c r="U11" s="81">
        <f t="shared" si="5"/>
        <v>-2.7700000000000002E-2</v>
      </c>
      <c r="V11" s="83">
        <f t="shared" si="6"/>
        <v>-4.99E-2</v>
      </c>
    </row>
    <row r="12" spans="1:25">
      <c r="A12" s="75">
        <v>7</v>
      </c>
      <c r="B12" s="112" t="s">
        <v>28</v>
      </c>
      <c r="C12" s="113" t="s">
        <v>29</v>
      </c>
      <c r="D12" s="2">
        <v>346670550.81</v>
      </c>
      <c r="E12" s="3">
        <f t="shared" si="0"/>
        <v>1.1135033630633078E-2</v>
      </c>
      <c r="F12" s="4">
        <v>174.38</v>
      </c>
      <c r="G12" s="4">
        <v>179.23</v>
      </c>
      <c r="H12" s="60">
        <v>2379</v>
      </c>
      <c r="I12" s="5">
        <v>-3.3799999999999997E-2</v>
      </c>
      <c r="J12" s="5">
        <v>3.9280000000000002E-2</v>
      </c>
      <c r="K12" s="2">
        <v>329518240.10000002</v>
      </c>
      <c r="L12" s="3">
        <f t="shared" si="1"/>
        <v>1.106762933529426E-2</v>
      </c>
      <c r="M12" s="4">
        <v>165.75</v>
      </c>
      <c r="N12" s="4">
        <v>168.85</v>
      </c>
      <c r="O12" s="60">
        <v>2379</v>
      </c>
      <c r="P12" s="5">
        <v>-4.9489999999999999E-2</v>
      </c>
      <c r="Q12" s="5">
        <v>-1.2149999999999999E-2</v>
      </c>
      <c r="R12" s="80">
        <f t="shared" si="2"/>
        <v>-4.9477264999647053E-2</v>
      </c>
      <c r="S12" s="80">
        <f t="shared" si="3"/>
        <v>-5.7914411649835386E-2</v>
      </c>
      <c r="T12" s="80">
        <f t="shared" si="4"/>
        <v>0</v>
      </c>
      <c r="U12" s="81">
        <f t="shared" si="5"/>
        <v>-1.5690000000000003E-2</v>
      </c>
      <c r="V12" s="83">
        <f t="shared" si="6"/>
        <v>-5.1430000000000003E-2</v>
      </c>
    </row>
    <row r="13" spans="1:25">
      <c r="A13" s="75">
        <v>8</v>
      </c>
      <c r="B13" s="112" t="s">
        <v>30</v>
      </c>
      <c r="C13" s="113" t="s">
        <v>31</v>
      </c>
      <c r="D13" s="7">
        <v>56323032.869999997</v>
      </c>
      <c r="E13" s="3">
        <f t="shared" si="0"/>
        <v>1.8090918415808259E-3</v>
      </c>
      <c r="F13" s="4">
        <v>220.8</v>
      </c>
      <c r="G13" s="4">
        <v>205.29</v>
      </c>
      <c r="H13" s="60">
        <v>6</v>
      </c>
      <c r="I13" s="5">
        <v>9.1000000000000004E-3</v>
      </c>
      <c r="J13" s="5">
        <v>0.18440000000000001</v>
      </c>
      <c r="K13" s="7">
        <v>55071047.079999998</v>
      </c>
      <c r="L13" s="3">
        <f t="shared" si="1"/>
        <v>1.8496880051405058E-3</v>
      </c>
      <c r="M13" s="4">
        <v>213.6</v>
      </c>
      <c r="N13" s="4">
        <v>210.54</v>
      </c>
      <c r="O13" s="60">
        <v>6</v>
      </c>
      <c r="P13" s="5">
        <v>-5.04E-2</v>
      </c>
      <c r="Q13" s="5">
        <v>0.1246</v>
      </c>
      <c r="R13" s="80">
        <f t="shared" si="2"/>
        <v>-2.2228664299554422E-2</v>
      </c>
      <c r="S13" s="80">
        <f t="shared" si="3"/>
        <v>2.5573578839690195E-2</v>
      </c>
      <c r="T13" s="80">
        <f t="shared" si="4"/>
        <v>0</v>
      </c>
      <c r="U13" s="81">
        <f t="shared" si="5"/>
        <v>-5.9499999999999997E-2</v>
      </c>
      <c r="V13" s="83">
        <f t="shared" si="6"/>
        <v>-5.9800000000000006E-2</v>
      </c>
    </row>
    <row r="14" spans="1:25" ht="14.25" customHeight="1">
      <c r="A14" s="75">
        <v>9</v>
      </c>
      <c r="B14" s="112" t="s">
        <v>238</v>
      </c>
      <c r="C14" s="113" t="s">
        <v>32</v>
      </c>
      <c r="D14" s="2">
        <v>551717333.90530002</v>
      </c>
      <c r="E14" s="3">
        <f t="shared" si="0"/>
        <v>1.7721121835369707E-2</v>
      </c>
      <c r="F14" s="4">
        <v>1.7341</v>
      </c>
      <c r="G14" s="4">
        <v>1.7905</v>
      </c>
      <c r="H14" s="60">
        <v>422</v>
      </c>
      <c r="I14" s="5">
        <v>-2.0559164077944114E-2</v>
      </c>
      <c r="J14" s="5">
        <v>0.39745346119751801</v>
      </c>
      <c r="K14" s="2">
        <v>552915918.38970006</v>
      </c>
      <c r="L14" s="3">
        <f t="shared" si="1"/>
        <v>1.857095509026728E-2</v>
      </c>
      <c r="M14" s="4">
        <v>1.6986000000000001</v>
      </c>
      <c r="N14" s="4">
        <v>1.7521</v>
      </c>
      <c r="O14" s="60">
        <v>426</v>
      </c>
      <c r="P14" s="5">
        <v>-2.047171443400031E-2</v>
      </c>
      <c r="Q14" s="5">
        <v>2.3012922641174605E-3</v>
      </c>
      <c r="R14" s="80">
        <f t="shared" si="2"/>
        <v>2.1724611694106497E-3</v>
      </c>
      <c r="S14" s="80">
        <f t="shared" si="3"/>
        <v>-2.144652331750907E-2</v>
      </c>
      <c r="T14" s="80">
        <f t="shared" si="4"/>
        <v>9.4786729857819912E-3</v>
      </c>
      <c r="U14" s="81">
        <f t="shared" si="5"/>
        <v>8.7449643943804389E-5</v>
      </c>
      <c r="V14" s="83">
        <f t="shared" si="6"/>
        <v>-0.39515216893340055</v>
      </c>
    </row>
    <row r="15" spans="1:25">
      <c r="A15" s="75">
        <v>10</v>
      </c>
      <c r="B15" s="112" t="s">
        <v>33</v>
      </c>
      <c r="C15" s="113" t="s">
        <v>34</v>
      </c>
      <c r="D15" s="2">
        <v>1769962343.3199999</v>
      </c>
      <c r="E15" s="3">
        <f t="shared" si="0"/>
        <v>5.6851065577312419E-2</v>
      </c>
      <c r="F15" s="4">
        <v>3.56</v>
      </c>
      <c r="G15" s="4">
        <v>3.64</v>
      </c>
      <c r="H15" s="60">
        <v>3669</v>
      </c>
      <c r="I15" s="5">
        <v>-2.2499999999999999E-2</v>
      </c>
      <c r="J15" s="5">
        <v>0.28589999999999999</v>
      </c>
      <c r="K15" s="2">
        <v>1707935901.4000001</v>
      </c>
      <c r="L15" s="3">
        <f t="shared" si="1"/>
        <v>5.7364962496159203E-2</v>
      </c>
      <c r="M15" s="4">
        <v>3.44</v>
      </c>
      <c r="N15" s="4">
        <v>3.51</v>
      </c>
      <c r="O15" s="60">
        <v>3668</v>
      </c>
      <c r="P15" s="5">
        <v>-2.4899999999999999E-2</v>
      </c>
      <c r="Q15" s="5">
        <v>0.24149999999999999</v>
      </c>
      <c r="R15" s="80">
        <f t="shared" si="2"/>
        <v>-3.5043933083714077E-2</v>
      </c>
      <c r="S15" s="80">
        <f t="shared" si="3"/>
        <v>-3.5714285714285803E-2</v>
      </c>
      <c r="T15" s="80">
        <f t="shared" si="4"/>
        <v>-2.7255382938130282E-4</v>
      </c>
      <c r="U15" s="81">
        <f t="shared" si="5"/>
        <v>-2.3999999999999994E-3</v>
      </c>
      <c r="V15" s="83">
        <f t="shared" si="6"/>
        <v>-4.4399999999999995E-2</v>
      </c>
    </row>
    <row r="16" spans="1:25">
      <c r="A16" s="75">
        <v>11</v>
      </c>
      <c r="B16" s="112" t="s">
        <v>35</v>
      </c>
      <c r="C16" s="113" t="s">
        <v>36</v>
      </c>
      <c r="D16" s="4">
        <v>706796659.46000004</v>
      </c>
      <c r="E16" s="3">
        <f t="shared" si="0"/>
        <v>2.2702258829650761E-2</v>
      </c>
      <c r="F16" s="4">
        <v>21.342919999999999</v>
      </c>
      <c r="G16" s="4">
        <v>21.512900999999999</v>
      </c>
      <c r="H16" s="60">
        <v>316</v>
      </c>
      <c r="I16" s="5">
        <v>-5.191639178396934E-3</v>
      </c>
      <c r="J16" s="5">
        <v>0.16248848087409784</v>
      </c>
      <c r="K16" s="4">
        <v>695672355.70000005</v>
      </c>
      <c r="L16" s="3">
        <f t="shared" si="1"/>
        <v>2.3365758961816519E-2</v>
      </c>
      <c r="M16" s="4">
        <v>19.956634999999999</v>
      </c>
      <c r="N16" s="4">
        <v>20.124396000000001</v>
      </c>
      <c r="O16" s="60">
        <v>321</v>
      </c>
      <c r="P16" s="5">
        <v>-6.4952921156055554E-2</v>
      </c>
      <c r="Q16" s="5">
        <v>8.6981458231059738E-2</v>
      </c>
      <c r="R16" s="80">
        <f t="shared" si="2"/>
        <v>-1.5739044053347782E-2</v>
      </c>
      <c r="S16" s="80">
        <f t="shared" si="3"/>
        <v>-6.4542899165482073E-2</v>
      </c>
      <c r="T16" s="80">
        <f t="shared" si="4"/>
        <v>1.5822784810126583E-2</v>
      </c>
      <c r="U16" s="81">
        <f t="shared" si="5"/>
        <v>-5.976128197765862E-2</v>
      </c>
      <c r="V16" s="83">
        <f t="shared" si="6"/>
        <v>-7.5507022643038102E-2</v>
      </c>
    </row>
    <row r="17" spans="1:22">
      <c r="A17" s="75">
        <v>12</v>
      </c>
      <c r="B17" s="112" t="s">
        <v>37</v>
      </c>
      <c r="C17" s="113" t="s">
        <v>38</v>
      </c>
      <c r="D17" s="4">
        <v>355703931.11000001</v>
      </c>
      <c r="E17" s="3">
        <f t="shared" si="0"/>
        <v>1.1425185168465683E-2</v>
      </c>
      <c r="F17" s="4">
        <v>2.5627650000000002</v>
      </c>
      <c r="G17" s="4">
        <v>2.5920339999999999</v>
      </c>
      <c r="H17" s="60">
        <v>17</v>
      </c>
      <c r="I17" s="5">
        <v>-7.3800000000000004E-2</v>
      </c>
      <c r="J17" s="5">
        <v>0.18729999999999999</v>
      </c>
      <c r="K17" s="4">
        <v>361126233.19</v>
      </c>
      <c r="L17" s="3">
        <f t="shared" si="1"/>
        <v>1.212925661106054E-2</v>
      </c>
      <c r="M17" s="4">
        <v>2.6017610000000002</v>
      </c>
      <c r="N17" s="4">
        <v>2.6319210000000002</v>
      </c>
      <c r="O17" s="60">
        <v>18</v>
      </c>
      <c r="P17" s="5">
        <v>1.5100000000000001E-2</v>
      </c>
      <c r="Q17" s="5">
        <v>7.7000000000000002E-3</v>
      </c>
      <c r="R17" s="80">
        <f t="shared" si="2"/>
        <v>1.5243863240643123E-2</v>
      </c>
      <c r="S17" s="80">
        <f t="shared" si="3"/>
        <v>1.5388301233703041E-2</v>
      </c>
      <c r="T17" s="80">
        <f t="shared" si="4"/>
        <v>5.8823529411764705E-2</v>
      </c>
      <c r="U17" s="81">
        <f t="shared" si="5"/>
        <v>8.8900000000000007E-2</v>
      </c>
      <c r="V17" s="83">
        <f t="shared" si="6"/>
        <v>-0.17959999999999998</v>
      </c>
    </row>
    <row r="18" spans="1:22">
      <c r="A18" s="75">
        <v>13</v>
      </c>
      <c r="B18" s="112" t="s">
        <v>39</v>
      </c>
      <c r="C18" s="113" t="s">
        <v>40</v>
      </c>
      <c r="D18" s="2">
        <v>1282855044.8299999</v>
      </c>
      <c r="E18" s="3">
        <f t="shared" si="0"/>
        <v>4.1205213520540261E-2</v>
      </c>
      <c r="F18" s="4">
        <v>28.69</v>
      </c>
      <c r="G18" s="4">
        <v>29.34</v>
      </c>
      <c r="H18" s="60">
        <v>8831</v>
      </c>
      <c r="I18" s="5">
        <v>-3.6900000000000002E-2</v>
      </c>
      <c r="J18" s="5">
        <v>0.1414</v>
      </c>
      <c r="K18" s="2">
        <v>1223917709.05</v>
      </c>
      <c r="L18" s="3">
        <f t="shared" si="1"/>
        <v>4.1108096281884471E-2</v>
      </c>
      <c r="M18" s="4">
        <v>27.2</v>
      </c>
      <c r="N18" s="4">
        <v>27.82</v>
      </c>
      <c r="O18" s="60">
        <v>8830</v>
      </c>
      <c r="P18" s="5">
        <v>-5.1799999999999999E-2</v>
      </c>
      <c r="Q18" s="5">
        <v>8.2199999999999995E-2</v>
      </c>
      <c r="R18" s="80">
        <f t="shared" si="2"/>
        <v>-4.5942319062096504E-2</v>
      </c>
      <c r="S18" s="80">
        <f t="shared" si="3"/>
        <v>-5.180640763462848E-2</v>
      </c>
      <c r="T18" s="80">
        <f t="shared" si="4"/>
        <v>-1.1323745895142112E-4</v>
      </c>
      <c r="U18" s="81">
        <f t="shared" si="5"/>
        <v>-1.4899999999999997E-2</v>
      </c>
      <c r="V18" s="83">
        <f t="shared" si="6"/>
        <v>-5.9200000000000003E-2</v>
      </c>
    </row>
    <row r="19" spans="1:22" ht="12.75" customHeight="1">
      <c r="A19" s="75">
        <v>14</v>
      </c>
      <c r="B19" s="112" t="s">
        <v>41</v>
      </c>
      <c r="C19" s="113" t="s">
        <v>42</v>
      </c>
      <c r="D19" s="2">
        <v>728198708.32000005</v>
      </c>
      <c r="E19" s="3">
        <f t="shared" si="0"/>
        <v>2.338969112888625E-2</v>
      </c>
      <c r="F19" s="4">
        <v>6468.06</v>
      </c>
      <c r="G19" s="4">
        <v>6545.83</v>
      </c>
      <c r="H19" s="60">
        <v>1136</v>
      </c>
      <c r="I19" s="5">
        <v>-1.4200000000000001E-2</v>
      </c>
      <c r="J19" s="5">
        <v>0.2016</v>
      </c>
      <c r="K19" s="2">
        <v>672580949.15999997</v>
      </c>
      <c r="L19" s="3">
        <f t="shared" si="1"/>
        <v>2.2590180868361807E-2</v>
      </c>
      <c r="M19" s="4">
        <v>6143.5</v>
      </c>
      <c r="N19" s="4">
        <v>6217.76</v>
      </c>
      <c r="O19" s="60">
        <v>21</v>
      </c>
      <c r="P19" s="5">
        <v>-5.0099999999999999E-2</v>
      </c>
      <c r="Q19" s="5">
        <v>0.1414</v>
      </c>
      <c r="R19" s="80">
        <f t="shared" si="2"/>
        <v>-7.6377173599104203E-2</v>
      </c>
      <c r="S19" s="80">
        <f t="shared" si="3"/>
        <v>-5.0118930678004117E-2</v>
      </c>
      <c r="T19" s="80">
        <f t="shared" si="4"/>
        <v>-0.98151408450704225</v>
      </c>
      <c r="U19" s="81">
        <f t="shared" si="5"/>
        <v>-3.5900000000000001E-2</v>
      </c>
      <c r="V19" s="83">
        <f t="shared" si="6"/>
        <v>-6.0200000000000004E-2</v>
      </c>
    </row>
    <row r="20" spans="1:22">
      <c r="A20" s="75">
        <v>15</v>
      </c>
      <c r="B20" s="112" t="s">
        <v>43</v>
      </c>
      <c r="C20" s="113" t="s">
        <v>42</v>
      </c>
      <c r="D20" s="4">
        <v>13147663236.719999</v>
      </c>
      <c r="E20" s="3">
        <f t="shared" si="0"/>
        <v>0.42230201545256929</v>
      </c>
      <c r="F20" s="4">
        <v>21766.720000000001</v>
      </c>
      <c r="G20" s="4">
        <v>22027.61</v>
      </c>
      <c r="H20" s="60">
        <v>29692</v>
      </c>
      <c r="I20" s="5">
        <v>-1.12E-2</v>
      </c>
      <c r="J20" s="5">
        <v>0.1996</v>
      </c>
      <c r="K20" s="4">
        <v>12447383927.629999</v>
      </c>
      <c r="L20" s="3">
        <f t="shared" si="1"/>
        <v>0.41807406917231849</v>
      </c>
      <c r="M20" s="4">
        <v>20611.21</v>
      </c>
      <c r="N20" s="4">
        <v>20851.95</v>
      </c>
      <c r="O20" s="60">
        <v>17362</v>
      </c>
      <c r="P20" s="5">
        <v>-5.3400000000000003E-2</v>
      </c>
      <c r="Q20" s="5">
        <v>0.13550000000000001</v>
      </c>
      <c r="R20" s="80">
        <f t="shared" si="2"/>
        <v>-5.3262644203891374E-2</v>
      </c>
      <c r="S20" s="80">
        <f t="shared" si="3"/>
        <v>-5.3372108912405833E-2</v>
      </c>
      <c r="T20" s="80">
        <f t="shared" si="4"/>
        <v>-0.41526337060487672</v>
      </c>
      <c r="U20" s="81">
        <f t="shared" si="5"/>
        <v>-4.2200000000000001E-2</v>
      </c>
      <c r="V20" s="83">
        <f t="shared" si="6"/>
        <v>-6.409999999999999E-2</v>
      </c>
    </row>
    <row r="21" spans="1:22">
      <c r="A21" s="75">
        <v>16</v>
      </c>
      <c r="B21" s="113" t="s">
        <v>44</v>
      </c>
      <c r="C21" s="113" t="s">
        <v>45</v>
      </c>
      <c r="D21" s="4">
        <v>3643687236.2800002</v>
      </c>
      <c r="E21" s="3">
        <f t="shared" si="0"/>
        <v>0.11703497692748334</v>
      </c>
      <c r="F21" s="4">
        <v>1.7388999999999999</v>
      </c>
      <c r="G21" s="8">
        <v>1.7585999999999999</v>
      </c>
      <c r="H21" s="60">
        <v>3631</v>
      </c>
      <c r="I21" s="5">
        <v>-1.0699999999999999E-2</v>
      </c>
      <c r="J21" s="5">
        <v>0.27950000000000003</v>
      </c>
      <c r="K21" s="4">
        <v>3456047681.5999999</v>
      </c>
      <c r="L21" s="3">
        <f t="shared" si="1"/>
        <v>0.11607932445088302</v>
      </c>
      <c r="M21" s="4">
        <v>1.6458999999999999</v>
      </c>
      <c r="N21" s="8">
        <v>1.6640999999999999</v>
      </c>
      <c r="O21" s="60">
        <v>3658</v>
      </c>
      <c r="P21" s="5">
        <v>-5.3499999999999999E-2</v>
      </c>
      <c r="Q21" s="5">
        <v>0.21110000000000001</v>
      </c>
      <c r="R21" s="80">
        <f t="shared" si="2"/>
        <v>-5.1497162767342716E-2</v>
      </c>
      <c r="S21" s="80">
        <f t="shared" si="3"/>
        <v>-5.373592630501537E-2</v>
      </c>
      <c r="T21" s="80">
        <f t="shared" si="4"/>
        <v>7.4359680528779948E-3</v>
      </c>
      <c r="U21" s="81">
        <f t="shared" si="5"/>
        <v>-4.2799999999999998E-2</v>
      </c>
      <c r="V21" s="83">
        <f t="shared" si="6"/>
        <v>-6.8400000000000016E-2</v>
      </c>
    </row>
    <row r="22" spans="1:22">
      <c r="A22" s="75"/>
      <c r="B22" s="19"/>
      <c r="C22" s="71" t="s">
        <v>46</v>
      </c>
      <c r="D22" s="58">
        <f>SUM(D6:D21)</f>
        <v>31133318704.695301</v>
      </c>
      <c r="E22" s="100">
        <f>(D22/$D$181)</f>
        <v>1.152847275277038E-2</v>
      </c>
      <c r="F22" s="30"/>
      <c r="G22" s="31"/>
      <c r="H22" s="65">
        <f>SUM(H6:H21)</f>
        <v>62035</v>
      </c>
      <c r="I22" s="28"/>
      <c r="J22" s="60">
        <v>0</v>
      </c>
      <c r="K22" s="58">
        <f>SUM(K6:K21)</f>
        <v>29773154676.329697</v>
      </c>
      <c r="L22" s="100">
        <f>(K22/$K$181)</f>
        <v>1.0935831323056198E-2</v>
      </c>
      <c r="M22" s="30"/>
      <c r="N22" s="31"/>
      <c r="O22" s="65">
        <f>SUM(O6:O21)</f>
        <v>48642</v>
      </c>
      <c r="P22" s="28"/>
      <c r="Q22" s="65"/>
      <c r="R22" s="80">
        <f t="shared" si="2"/>
        <v>-4.3688372616712857E-2</v>
      </c>
      <c r="S22" s="80" t="e">
        <f t="shared" si="3"/>
        <v>#DIV/0!</v>
      </c>
      <c r="T22" s="80">
        <f t="shared" si="4"/>
        <v>-0.21589425324413639</v>
      </c>
      <c r="U22" s="81">
        <f t="shared" si="5"/>
        <v>0</v>
      </c>
      <c r="V22" s="83">
        <f t="shared" si="6"/>
        <v>0</v>
      </c>
    </row>
    <row r="23" spans="1:22" ht="9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ht="15" customHeight="1">
      <c r="A24" s="149" t="s">
        <v>47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1:22">
      <c r="A25" s="75">
        <v>17</v>
      </c>
      <c r="B25" s="112" t="s">
        <v>48</v>
      </c>
      <c r="C25" s="113" t="s">
        <v>17</v>
      </c>
      <c r="D25" s="9">
        <v>938636675.04999995</v>
      </c>
      <c r="E25" s="3">
        <f>(D25/$K$55)</f>
        <v>9.7171960928206513E-4</v>
      </c>
      <c r="F25" s="8">
        <v>100</v>
      </c>
      <c r="G25" s="8">
        <v>100</v>
      </c>
      <c r="H25" s="60">
        <v>747</v>
      </c>
      <c r="I25" s="5">
        <v>0.1016</v>
      </c>
      <c r="J25" s="5">
        <v>0.1016</v>
      </c>
      <c r="K25" s="9">
        <v>943489390.72000003</v>
      </c>
      <c r="L25" s="3">
        <f t="shared" ref="L25:L54" si="7">(K25/$K$55)</f>
        <v>9.7674336245531313E-4</v>
      </c>
      <c r="M25" s="8">
        <v>100</v>
      </c>
      <c r="N25" s="8">
        <v>100</v>
      </c>
      <c r="O25" s="60">
        <v>756</v>
      </c>
      <c r="P25" s="5">
        <v>0.09</v>
      </c>
      <c r="Q25" s="5">
        <v>0.09</v>
      </c>
      <c r="R25" s="80">
        <f>((K25-D25)/D25)</f>
        <v>5.1699617104153514E-3</v>
      </c>
      <c r="S25" s="80">
        <f>((N25-G25)/G25)</f>
        <v>0</v>
      </c>
      <c r="T25" s="80">
        <f>((O25-H25)/H25)</f>
        <v>1.2048192771084338E-2</v>
      </c>
      <c r="U25" s="81">
        <f>P25-I25</f>
        <v>-1.1599999999999999E-2</v>
      </c>
      <c r="V25" s="83">
        <f>Q25-J25</f>
        <v>-1.1599999999999999E-2</v>
      </c>
    </row>
    <row r="26" spans="1:22">
      <c r="A26" s="75">
        <v>18</v>
      </c>
      <c r="B26" s="112" t="s">
        <v>49</v>
      </c>
      <c r="C26" s="113" t="s">
        <v>50</v>
      </c>
      <c r="D26" s="9">
        <v>4834539013.6800003</v>
      </c>
      <c r="E26" s="3">
        <f t="shared" ref="E26:E54" si="8">(D26/$K$55)</f>
        <v>5.0049358674183319E-3</v>
      </c>
      <c r="F26" s="8">
        <v>100</v>
      </c>
      <c r="G26" s="8">
        <v>100</v>
      </c>
      <c r="H26" s="60">
        <v>1197</v>
      </c>
      <c r="I26" s="5">
        <v>0.13403599999999999</v>
      </c>
      <c r="J26" s="5">
        <v>0.13403599999999999</v>
      </c>
      <c r="K26" s="9">
        <v>4974609302.5100002</v>
      </c>
      <c r="L26" s="3">
        <f t="shared" si="7"/>
        <v>5.1499430357421815E-3</v>
      </c>
      <c r="M26" s="8">
        <v>100</v>
      </c>
      <c r="N26" s="8">
        <v>100</v>
      </c>
      <c r="O26" s="60">
        <v>1204</v>
      </c>
      <c r="P26" s="5">
        <v>0.133267</v>
      </c>
      <c r="Q26" s="5">
        <v>0.133267</v>
      </c>
      <c r="R26" s="80">
        <f t="shared" ref="R26:R55" si="9">((K26-D26)/D26)</f>
        <v>2.8972832452825711E-2</v>
      </c>
      <c r="S26" s="80">
        <f t="shared" ref="S26:S55" si="10">((N26-G26)/G26)</f>
        <v>0</v>
      </c>
      <c r="T26" s="80">
        <f t="shared" ref="T26:T55" si="11">((O26-H26)/H26)</f>
        <v>5.8479532163742687E-3</v>
      </c>
      <c r="U26" s="81">
        <f t="shared" ref="U26:U55" si="12">P26-I26</f>
        <v>-7.6899999999999191E-4</v>
      </c>
      <c r="V26" s="83">
        <f t="shared" ref="V26:V55" si="13">Q26-J26</f>
        <v>-7.6899999999999191E-4</v>
      </c>
    </row>
    <row r="27" spans="1:22">
      <c r="A27" s="75">
        <v>19</v>
      </c>
      <c r="B27" s="112" t="s">
        <v>51</v>
      </c>
      <c r="C27" s="113" t="s">
        <v>19</v>
      </c>
      <c r="D27" s="9">
        <v>347066527.94999999</v>
      </c>
      <c r="E27" s="3">
        <f t="shared" si="8"/>
        <v>3.5929914086991327E-4</v>
      </c>
      <c r="F27" s="8">
        <v>100</v>
      </c>
      <c r="G27" s="8">
        <v>100</v>
      </c>
      <c r="H27" s="60">
        <v>1365</v>
      </c>
      <c r="I27" s="5">
        <v>0.104</v>
      </c>
      <c r="J27" s="5">
        <v>0.104</v>
      </c>
      <c r="K27" s="9">
        <v>347636047.26999998</v>
      </c>
      <c r="L27" s="3">
        <f t="shared" si="7"/>
        <v>3.5988873331374089E-4</v>
      </c>
      <c r="M27" s="8">
        <v>100</v>
      </c>
      <c r="N27" s="8">
        <v>100</v>
      </c>
      <c r="O27" s="60">
        <v>1368</v>
      </c>
      <c r="P27" s="5">
        <v>0.1084</v>
      </c>
      <c r="Q27" s="5">
        <v>0.1084</v>
      </c>
      <c r="R27" s="80">
        <f t="shared" si="9"/>
        <v>1.640951443413294E-3</v>
      </c>
      <c r="S27" s="80">
        <f t="shared" si="10"/>
        <v>0</v>
      </c>
      <c r="T27" s="80">
        <f t="shared" si="11"/>
        <v>2.1978021978021978E-3</v>
      </c>
      <c r="U27" s="81">
        <f t="shared" si="12"/>
        <v>4.4000000000000011E-3</v>
      </c>
      <c r="V27" s="83">
        <f t="shared" si="13"/>
        <v>4.4000000000000011E-3</v>
      </c>
    </row>
    <row r="28" spans="1:22">
      <c r="A28" s="75">
        <v>20</v>
      </c>
      <c r="B28" s="112" t="s">
        <v>52</v>
      </c>
      <c r="C28" s="113" t="s">
        <v>21</v>
      </c>
      <c r="D28" s="9">
        <v>86134799662.889999</v>
      </c>
      <c r="E28" s="3">
        <f t="shared" si="8"/>
        <v>8.9170683501743522E-2</v>
      </c>
      <c r="F28" s="8">
        <v>1</v>
      </c>
      <c r="G28" s="8">
        <v>1</v>
      </c>
      <c r="H28" s="60">
        <v>55733</v>
      </c>
      <c r="I28" s="5">
        <v>0.10009999999999999</v>
      </c>
      <c r="J28" s="5">
        <v>0.10009999999999999</v>
      </c>
      <c r="K28" s="9">
        <v>86393202963.460007</v>
      </c>
      <c r="L28" s="3">
        <f t="shared" si="7"/>
        <v>8.9438194415115524E-2</v>
      </c>
      <c r="M28" s="8">
        <v>1</v>
      </c>
      <c r="N28" s="8">
        <v>1</v>
      </c>
      <c r="O28" s="60">
        <v>55871</v>
      </c>
      <c r="P28" s="5">
        <v>0.1036</v>
      </c>
      <c r="Q28" s="5">
        <v>0.1036</v>
      </c>
      <c r="R28" s="80">
        <f t="shared" si="9"/>
        <v>2.9999872476784415E-3</v>
      </c>
      <c r="S28" s="80">
        <f t="shared" si="10"/>
        <v>0</v>
      </c>
      <c r="T28" s="80">
        <f t="shared" si="11"/>
        <v>2.4760913641827999E-3</v>
      </c>
      <c r="U28" s="81">
        <f t="shared" si="12"/>
        <v>3.5000000000000031E-3</v>
      </c>
      <c r="V28" s="83">
        <f t="shared" si="13"/>
        <v>3.5000000000000031E-3</v>
      </c>
    </row>
    <row r="29" spans="1:22">
      <c r="A29" s="75">
        <v>21</v>
      </c>
      <c r="B29" s="112" t="s">
        <v>53</v>
      </c>
      <c r="C29" s="113" t="s">
        <v>23</v>
      </c>
      <c r="D29" s="9">
        <v>49155345713.699997</v>
      </c>
      <c r="E29" s="3">
        <f t="shared" si="8"/>
        <v>5.088786172615406E-2</v>
      </c>
      <c r="F29" s="8">
        <v>1</v>
      </c>
      <c r="G29" s="8">
        <v>1</v>
      </c>
      <c r="H29" s="60">
        <v>26598</v>
      </c>
      <c r="I29" s="5">
        <v>0.1132</v>
      </c>
      <c r="J29" s="5">
        <v>0.1132</v>
      </c>
      <c r="K29" s="9">
        <v>48565354936.669998</v>
      </c>
      <c r="L29" s="3">
        <f t="shared" si="7"/>
        <v>5.027707629386198E-2</v>
      </c>
      <c r="M29" s="8">
        <v>1</v>
      </c>
      <c r="N29" s="8">
        <v>1</v>
      </c>
      <c r="O29" s="60">
        <v>26685</v>
      </c>
      <c r="P29" s="5">
        <v>0.1172</v>
      </c>
      <c r="Q29" s="5">
        <v>0.1172</v>
      </c>
      <c r="R29" s="80">
        <f t="shared" si="9"/>
        <v>-1.2002576087376872E-2</v>
      </c>
      <c r="S29" s="80">
        <f t="shared" si="10"/>
        <v>0</v>
      </c>
      <c r="T29" s="80">
        <f t="shared" si="11"/>
        <v>3.2709226257613354E-3</v>
      </c>
      <c r="U29" s="81">
        <f t="shared" si="12"/>
        <v>4.0000000000000036E-3</v>
      </c>
      <c r="V29" s="83">
        <f t="shared" si="13"/>
        <v>4.0000000000000036E-3</v>
      </c>
    </row>
    <row r="30" spans="1:22" ht="15" customHeight="1">
      <c r="A30" s="75">
        <v>22</v>
      </c>
      <c r="B30" s="112" t="s">
        <v>54</v>
      </c>
      <c r="C30" s="113" t="s">
        <v>40</v>
      </c>
      <c r="D30" s="9">
        <v>7710709245</v>
      </c>
      <c r="E30" s="3">
        <f t="shared" si="8"/>
        <v>7.9824788163533923E-3</v>
      </c>
      <c r="F30" s="8">
        <v>100</v>
      </c>
      <c r="G30" s="8">
        <v>100</v>
      </c>
      <c r="H30" s="60">
        <v>2875</v>
      </c>
      <c r="I30" s="5">
        <v>0.121</v>
      </c>
      <c r="J30" s="5">
        <v>0.121</v>
      </c>
      <c r="K30" s="9">
        <v>7723314624</v>
      </c>
      <c r="L30" s="3">
        <f t="shared" si="7"/>
        <v>7.9955284811303196E-3</v>
      </c>
      <c r="M30" s="8">
        <v>100</v>
      </c>
      <c r="N30" s="8">
        <v>100</v>
      </c>
      <c r="O30" s="60">
        <v>2875</v>
      </c>
      <c r="P30" s="5">
        <v>0.126</v>
      </c>
      <c r="Q30" s="5">
        <v>0.126</v>
      </c>
      <c r="R30" s="80">
        <f t="shared" si="9"/>
        <v>1.6347885258640692E-3</v>
      </c>
      <c r="S30" s="80">
        <f t="shared" si="10"/>
        <v>0</v>
      </c>
      <c r="T30" s="80">
        <f t="shared" si="11"/>
        <v>0</v>
      </c>
      <c r="U30" s="81">
        <f t="shared" si="12"/>
        <v>5.0000000000000044E-3</v>
      </c>
      <c r="V30" s="83">
        <f t="shared" si="13"/>
        <v>5.0000000000000044E-3</v>
      </c>
    </row>
    <row r="31" spans="1:22">
      <c r="A31" s="75">
        <v>23</v>
      </c>
      <c r="B31" s="112" t="s">
        <v>55</v>
      </c>
      <c r="C31" s="113" t="s">
        <v>56</v>
      </c>
      <c r="D31" s="9">
        <v>14681006489.359999</v>
      </c>
      <c r="E31" s="3">
        <f t="shared" si="8"/>
        <v>1.5198449271064802E-2</v>
      </c>
      <c r="F31" s="8">
        <v>100</v>
      </c>
      <c r="G31" s="8">
        <v>100</v>
      </c>
      <c r="H31" s="60">
        <v>1947</v>
      </c>
      <c r="I31" s="5">
        <v>0.11707876327920599</v>
      </c>
      <c r="J31" s="5">
        <v>0.11707876327920599</v>
      </c>
      <c r="K31" s="9">
        <v>14289776688.49</v>
      </c>
      <c r="L31" s="3">
        <f t="shared" si="7"/>
        <v>1.4793430290509151E-2</v>
      </c>
      <c r="M31" s="8">
        <v>100</v>
      </c>
      <c r="N31" s="8">
        <v>100</v>
      </c>
      <c r="O31" s="60">
        <v>1975</v>
      </c>
      <c r="P31" s="5">
        <v>0.120174535284582</v>
      </c>
      <c r="Q31" s="5">
        <v>0.120174535284582</v>
      </c>
      <c r="R31" s="80">
        <f t="shared" si="9"/>
        <v>-2.664870430740162E-2</v>
      </c>
      <c r="S31" s="80">
        <f t="shared" si="10"/>
        <v>0</v>
      </c>
      <c r="T31" s="80">
        <f t="shared" si="11"/>
        <v>1.4381099126861838E-2</v>
      </c>
      <c r="U31" s="81">
        <f t="shared" si="12"/>
        <v>3.0957720053760018E-3</v>
      </c>
      <c r="V31" s="83">
        <f t="shared" si="13"/>
        <v>3.0957720053760018E-3</v>
      </c>
    </row>
    <row r="32" spans="1:22">
      <c r="A32" s="75">
        <v>24</v>
      </c>
      <c r="B32" s="112" t="s">
        <v>57</v>
      </c>
      <c r="C32" s="113" t="s">
        <v>58</v>
      </c>
      <c r="D32" s="9">
        <v>6080328214.5299997</v>
      </c>
      <c r="E32" s="3">
        <f t="shared" si="8"/>
        <v>6.2946338173021808E-3</v>
      </c>
      <c r="F32" s="8">
        <v>100</v>
      </c>
      <c r="G32" s="8">
        <v>100</v>
      </c>
      <c r="H32" s="60">
        <v>5775</v>
      </c>
      <c r="I32" s="5">
        <v>0.1096</v>
      </c>
      <c r="J32" s="5">
        <v>0.1096</v>
      </c>
      <c r="K32" s="9">
        <v>5778629334.5799999</v>
      </c>
      <c r="L32" s="3">
        <f t="shared" si="7"/>
        <v>5.982301340276143E-3</v>
      </c>
      <c r="M32" s="8">
        <v>100</v>
      </c>
      <c r="N32" s="8">
        <v>100</v>
      </c>
      <c r="O32" s="60">
        <v>5783</v>
      </c>
      <c r="P32" s="5">
        <v>0.11840000000000001</v>
      </c>
      <c r="Q32" s="5">
        <v>0.11840000000000001</v>
      </c>
      <c r="R32" s="80">
        <f t="shared" si="9"/>
        <v>-4.9618847750527342E-2</v>
      </c>
      <c r="S32" s="80">
        <f t="shared" si="10"/>
        <v>0</v>
      </c>
      <c r="T32" s="80">
        <f t="shared" si="11"/>
        <v>1.3852813852813853E-3</v>
      </c>
      <c r="U32" s="81">
        <f t="shared" si="12"/>
        <v>8.8000000000000023E-3</v>
      </c>
      <c r="V32" s="83">
        <f t="shared" si="13"/>
        <v>8.8000000000000023E-3</v>
      </c>
    </row>
    <row r="33" spans="1:22">
      <c r="A33" s="75">
        <v>25</v>
      </c>
      <c r="B33" s="112" t="s">
        <v>59</v>
      </c>
      <c r="C33" s="113" t="s">
        <v>60</v>
      </c>
      <c r="D33" s="9">
        <v>44514190.369999997</v>
      </c>
      <c r="E33" s="3">
        <f t="shared" si="8"/>
        <v>4.6083125477213756E-5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4.6083125477213756E-5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75">
        <v>26</v>
      </c>
      <c r="B34" s="112" t="s">
        <v>61</v>
      </c>
      <c r="C34" s="113" t="s">
        <v>62</v>
      </c>
      <c r="D34" s="9">
        <v>5586657363.0699997</v>
      </c>
      <c r="E34" s="3">
        <f t="shared" si="8"/>
        <v>5.7835631766103473E-3</v>
      </c>
      <c r="F34" s="8">
        <v>1</v>
      </c>
      <c r="G34" s="8">
        <v>1</v>
      </c>
      <c r="H34" s="60">
        <v>2117</v>
      </c>
      <c r="I34" s="5">
        <v>0.1017</v>
      </c>
      <c r="J34" s="5">
        <v>0.1017</v>
      </c>
      <c r="K34" s="9">
        <v>5623174793.7700005</v>
      </c>
      <c r="L34" s="3">
        <f t="shared" si="7"/>
        <v>5.8213676907903408E-3</v>
      </c>
      <c r="M34" s="8">
        <v>1</v>
      </c>
      <c r="N34" s="8">
        <v>1</v>
      </c>
      <c r="O34" s="60">
        <v>2132</v>
      </c>
      <c r="P34" s="5">
        <v>0.1033</v>
      </c>
      <c r="Q34" s="5">
        <v>0.1033</v>
      </c>
      <c r="R34" s="80">
        <f t="shared" si="9"/>
        <v>6.5365438269752016E-3</v>
      </c>
      <c r="S34" s="80">
        <f t="shared" si="10"/>
        <v>0</v>
      </c>
      <c r="T34" s="80">
        <f t="shared" si="11"/>
        <v>7.0854983467170526E-3</v>
      </c>
      <c r="U34" s="81">
        <f t="shared" si="12"/>
        <v>1.6000000000000042E-3</v>
      </c>
      <c r="V34" s="83">
        <f t="shared" si="13"/>
        <v>1.6000000000000042E-3</v>
      </c>
    </row>
    <row r="35" spans="1:22">
      <c r="A35" s="75">
        <v>27</v>
      </c>
      <c r="B35" s="112" t="s">
        <v>63</v>
      </c>
      <c r="C35" s="113" t="s">
        <v>64</v>
      </c>
      <c r="D35" s="9">
        <v>14378787137.9</v>
      </c>
      <c r="E35" s="3">
        <f t="shared" si="8"/>
        <v>1.4885577978130775E-2</v>
      </c>
      <c r="F35" s="11">
        <v>100</v>
      </c>
      <c r="G35" s="11">
        <v>100</v>
      </c>
      <c r="H35" s="60">
        <v>2611</v>
      </c>
      <c r="I35" s="5">
        <v>9.8199999999999996E-2</v>
      </c>
      <c r="J35" s="5">
        <v>9.8199999999999996E-2</v>
      </c>
      <c r="K35" s="9">
        <v>14130044062.469999</v>
      </c>
      <c r="L35" s="3">
        <f t="shared" si="7"/>
        <v>1.4628067771579786E-2</v>
      </c>
      <c r="M35" s="11">
        <v>100</v>
      </c>
      <c r="N35" s="11">
        <v>100</v>
      </c>
      <c r="O35" s="60">
        <v>2602</v>
      </c>
      <c r="P35" s="5">
        <v>0.1096</v>
      </c>
      <c r="Q35" s="5">
        <v>0.1096</v>
      </c>
      <c r="R35" s="80">
        <f t="shared" si="9"/>
        <v>-1.7299308560897775E-2</v>
      </c>
      <c r="S35" s="80">
        <f t="shared" si="10"/>
        <v>0</v>
      </c>
      <c r="T35" s="80">
        <f t="shared" si="11"/>
        <v>-3.4469551895825352E-3</v>
      </c>
      <c r="U35" s="81">
        <f t="shared" si="12"/>
        <v>1.1400000000000007E-2</v>
      </c>
      <c r="V35" s="83">
        <f t="shared" si="13"/>
        <v>1.1400000000000007E-2</v>
      </c>
    </row>
    <row r="36" spans="1:22">
      <c r="A36" s="75">
        <v>28</v>
      </c>
      <c r="B36" s="112" t="s">
        <v>65</v>
      </c>
      <c r="C36" s="113" t="s">
        <v>64</v>
      </c>
      <c r="D36" s="9">
        <v>1228999770.6700001</v>
      </c>
      <c r="E36" s="3">
        <f t="shared" si="8"/>
        <v>1.2723167639913328E-3</v>
      </c>
      <c r="F36" s="11">
        <v>1000000</v>
      </c>
      <c r="G36" s="11">
        <v>1000000</v>
      </c>
      <c r="H36" s="60">
        <v>7</v>
      </c>
      <c r="I36" s="5">
        <v>0.1051</v>
      </c>
      <c r="J36" s="5">
        <v>0.1051</v>
      </c>
      <c r="K36" s="9">
        <v>1231443952.8499999</v>
      </c>
      <c r="L36" s="3">
        <f t="shared" si="7"/>
        <v>1.2748470931549967E-3</v>
      </c>
      <c r="M36" s="11">
        <v>1000000</v>
      </c>
      <c r="N36" s="11">
        <v>1000000</v>
      </c>
      <c r="O36" s="60">
        <v>7</v>
      </c>
      <c r="P36" s="5">
        <v>0.1081</v>
      </c>
      <c r="Q36" s="5">
        <v>0.1081</v>
      </c>
      <c r="R36" s="80">
        <f t="shared" si="9"/>
        <v>1.9887572303348444E-3</v>
      </c>
      <c r="S36" s="80">
        <f t="shared" si="10"/>
        <v>0</v>
      </c>
      <c r="T36" s="80">
        <f t="shared" si="11"/>
        <v>0</v>
      </c>
      <c r="U36" s="81">
        <f t="shared" si="12"/>
        <v>3.0000000000000027E-3</v>
      </c>
      <c r="V36" s="83">
        <f t="shared" si="13"/>
        <v>3.0000000000000027E-3</v>
      </c>
    </row>
    <row r="37" spans="1:22">
      <c r="A37" s="75">
        <v>29</v>
      </c>
      <c r="B37" s="112" t="s">
        <v>66</v>
      </c>
      <c r="C37" s="113" t="s">
        <v>67</v>
      </c>
      <c r="D37" s="9">
        <v>3579819780.0100002</v>
      </c>
      <c r="E37" s="3">
        <f t="shared" si="8"/>
        <v>3.7059931391943812E-3</v>
      </c>
      <c r="F37" s="8">
        <v>1</v>
      </c>
      <c r="G37" s="8">
        <v>1</v>
      </c>
      <c r="H37" s="60">
        <v>435</v>
      </c>
      <c r="I37" s="5">
        <v>0.13730000000000001</v>
      </c>
      <c r="J37" s="5">
        <v>0.13730000000000001</v>
      </c>
      <c r="K37" s="9">
        <v>3579162058.6100001</v>
      </c>
      <c r="L37" s="3">
        <f t="shared" si="7"/>
        <v>3.7053122359239116E-3</v>
      </c>
      <c r="M37" s="8">
        <v>1</v>
      </c>
      <c r="N37" s="8">
        <v>1</v>
      </c>
      <c r="O37" s="60">
        <v>451</v>
      </c>
      <c r="P37" s="5">
        <v>0.14280000000000001</v>
      </c>
      <c r="Q37" s="5">
        <v>0.14280000000000001</v>
      </c>
      <c r="R37" s="80">
        <f t="shared" si="9"/>
        <v>-1.8373031057956164E-4</v>
      </c>
      <c r="S37" s="80">
        <f t="shared" si="10"/>
        <v>0</v>
      </c>
      <c r="T37" s="80">
        <f t="shared" si="11"/>
        <v>3.6781609195402298E-2</v>
      </c>
      <c r="U37" s="81">
        <f t="shared" si="12"/>
        <v>5.5000000000000049E-3</v>
      </c>
      <c r="V37" s="83">
        <f t="shared" si="13"/>
        <v>5.5000000000000049E-3</v>
      </c>
    </row>
    <row r="38" spans="1:22">
      <c r="A38" s="75">
        <v>30</v>
      </c>
      <c r="B38" s="112" t="s">
        <v>68</v>
      </c>
      <c r="C38" s="113" t="s">
        <v>27</v>
      </c>
      <c r="D38" s="9">
        <v>212020277133.54001</v>
      </c>
      <c r="E38" s="3">
        <f t="shared" si="8"/>
        <v>0.21949308644380855</v>
      </c>
      <c r="F38" s="8">
        <v>100</v>
      </c>
      <c r="G38" s="8">
        <v>100</v>
      </c>
      <c r="H38" s="60">
        <v>15009</v>
      </c>
      <c r="I38" s="5">
        <v>0.1138</v>
      </c>
      <c r="J38" s="5">
        <v>0.1138</v>
      </c>
      <c r="K38" s="9">
        <v>212106197472.98001</v>
      </c>
      <c r="L38" s="3">
        <f t="shared" si="7"/>
        <v>0.21958203510828042</v>
      </c>
      <c r="M38" s="8">
        <v>100</v>
      </c>
      <c r="N38" s="8">
        <v>100</v>
      </c>
      <c r="O38" s="60">
        <v>15119</v>
      </c>
      <c r="P38" s="5">
        <v>0.11459999999999999</v>
      </c>
      <c r="Q38" s="5">
        <v>0.11459999999999999</v>
      </c>
      <c r="R38" s="80">
        <f t="shared" si="9"/>
        <v>4.0524585950751262E-4</v>
      </c>
      <c r="S38" s="80">
        <f t="shared" si="10"/>
        <v>0</v>
      </c>
      <c r="T38" s="80">
        <f t="shared" si="11"/>
        <v>7.3289359717502835E-3</v>
      </c>
      <c r="U38" s="81">
        <f t="shared" si="12"/>
        <v>7.9999999999999516E-4</v>
      </c>
      <c r="V38" s="83">
        <f t="shared" si="13"/>
        <v>7.9999999999999516E-4</v>
      </c>
    </row>
    <row r="39" spans="1:22">
      <c r="A39" s="75">
        <v>31</v>
      </c>
      <c r="B39" s="112" t="s">
        <v>69</v>
      </c>
      <c r="C39" s="113" t="s">
        <v>70</v>
      </c>
      <c r="D39" s="9">
        <v>282944272.88999999</v>
      </c>
      <c r="E39" s="3">
        <f t="shared" si="8"/>
        <v>2.929168501610306E-4</v>
      </c>
      <c r="F39" s="8">
        <v>1</v>
      </c>
      <c r="G39" s="8">
        <v>1</v>
      </c>
      <c r="H39" s="61">
        <v>440</v>
      </c>
      <c r="I39" s="12">
        <v>1.38E-2</v>
      </c>
      <c r="J39" s="12">
        <v>1.6299999999999999E-2</v>
      </c>
      <c r="K39" s="9">
        <v>262994514.71000001</v>
      </c>
      <c r="L39" s="3">
        <f t="shared" si="7"/>
        <v>2.7226394820308334E-4</v>
      </c>
      <c r="M39" s="8">
        <v>1</v>
      </c>
      <c r="N39" s="8">
        <v>1</v>
      </c>
      <c r="O39" s="61">
        <v>445</v>
      </c>
      <c r="P39" s="12">
        <v>8.7400000000000005E-2</v>
      </c>
      <c r="Q39" s="12">
        <v>8.7400000000000005E-2</v>
      </c>
      <c r="R39" s="80">
        <f t="shared" si="9"/>
        <v>-7.0507729229620522E-2</v>
      </c>
      <c r="S39" s="80">
        <f t="shared" si="10"/>
        <v>0</v>
      </c>
      <c r="T39" s="80">
        <f t="shared" si="11"/>
        <v>1.1363636363636364E-2</v>
      </c>
      <c r="U39" s="81">
        <f t="shared" si="12"/>
        <v>7.3599999999999999E-2</v>
      </c>
      <c r="V39" s="83">
        <f t="shared" si="13"/>
        <v>7.110000000000001E-2</v>
      </c>
    </row>
    <row r="40" spans="1:22">
      <c r="A40" s="75">
        <v>32</v>
      </c>
      <c r="B40" s="112" t="s">
        <v>71</v>
      </c>
      <c r="C40" s="113" t="s">
        <v>72</v>
      </c>
      <c r="D40" s="9">
        <v>688487801.02999997</v>
      </c>
      <c r="E40" s="3">
        <f t="shared" si="8"/>
        <v>7.1275405574441474E-4</v>
      </c>
      <c r="F40" s="8">
        <v>10</v>
      </c>
      <c r="G40" s="8">
        <v>10</v>
      </c>
      <c r="H40" s="60">
        <v>361</v>
      </c>
      <c r="I40" s="5">
        <v>0.1043</v>
      </c>
      <c r="J40" s="5">
        <v>0.1043</v>
      </c>
      <c r="K40" s="9">
        <v>690035730.62</v>
      </c>
      <c r="L40" s="3">
        <f t="shared" si="7"/>
        <v>7.1435654324183842E-4</v>
      </c>
      <c r="M40" s="8">
        <v>10</v>
      </c>
      <c r="N40" s="8">
        <v>10</v>
      </c>
      <c r="O40" s="60">
        <v>359</v>
      </c>
      <c r="P40" s="5">
        <v>9.9199999999999997E-2</v>
      </c>
      <c r="Q40" s="5">
        <v>9.9199999999999997E-2</v>
      </c>
      <c r="R40" s="80">
        <f t="shared" si="9"/>
        <v>2.2483035831343426E-3</v>
      </c>
      <c r="S40" s="80">
        <f t="shared" si="10"/>
        <v>0</v>
      </c>
      <c r="T40" s="80">
        <f t="shared" si="11"/>
        <v>-5.5401662049861496E-3</v>
      </c>
      <c r="U40" s="81">
        <f t="shared" si="12"/>
        <v>-5.1000000000000073E-3</v>
      </c>
      <c r="V40" s="83">
        <f t="shared" si="13"/>
        <v>-5.1000000000000073E-3</v>
      </c>
    </row>
    <row r="41" spans="1:22">
      <c r="A41" s="75">
        <v>33</v>
      </c>
      <c r="B41" s="112" t="s">
        <v>73</v>
      </c>
      <c r="C41" s="113" t="s">
        <v>74</v>
      </c>
      <c r="D41" s="9">
        <v>3136948222.1511269</v>
      </c>
      <c r="E41" s="3">
        <f t="shared" si="8"/>
        <v>3.2475122502584786E-3</v>
      </c>
      <c r="F41" s="8">
        <v>100</v>
      </c>
      <c r="G41" s="8">
        <v>100</v>
      </c>
      <c r="H41" s="60">
        <v>1390</v>
      </c>
      <c r="I41" s="5">
        <v>0.107</v>
      </c>
      <c r="J41" s="5">
        <v>0.107</v>
      </c>
      <c r="K41" s="9">
        <v>3149992849.4640999</v>
      </c>
      <c r="L41" s="3">
        <f t="shared" si="7"/>
        <v>3.2610166449755476E-3</v>
      </c>
      <c r="M41" s="8">
        <v>100</v>
      </c>
      <c r="N41" s="8">
        <v>100</v>
      </c>
      <c r="O41" s="60">
        <v>1417</v>
      </c>
      <c r="P41" s="5">
        <v>0.10634680173880198</v>
      </c>
      <c r="Q41" s="5">
        <v>0.10634680173880198</v>
      </c>
      <c r="R41" s="80">
        <f t="shared" si="9"/>
        <v>4.1583814552182234E-3</v>
      </c>
      <c r="S41" s="80">
        <f t="shared" si="10"/>
        <v>0</v>
      </c>
      <c r="T41" s="80">
        <f t="shared" si="11"/>
        <v>1.9424460431654675E-2</v>
      </c>
      <c r="U41" s="81">
        <f t="shared" si="12"/>
        <v>-6.5319826119801527E-4</v>
      </c>
      <c r="V41" s="83">
        <f t="shared" si="13"/>
        <v>-6.5319826119801527E-4</v>
      </c>
    </row>
    <row r="42" spans="1:22" ht="15.75" customHeight="1">
      <c r="A42" s="75">
        <v>34</v>
      </c>
      <c r="B42" s="112" t="s">
        <v>239</v>
      </c>
      <c r="C42" s="113" t="s">
        <v>32</v>
      </c>
      <c r="D42" s="9">
        <v>22072018908.5718</v>
      </c>
      <c r="E42" s="3">
        <f t="shared" si="8"/>
        <v>2.2849963313825605E-2</v>
      </c>
      <c r="F42" s="8">
        <v>1</v>
      </c>
      <c r="G42" s="8">
        <v>1</v>
      </c>
      <c r="H42" s="60">
        <v>11391</v>
      </c>
      <c r="I42" s="5">
        <v>0.10225523460731044</v>
      </c>
      <c r="J42" s="5">
        <v>0.10225523460731044</v>
      </c>
      <c r="K42" s="9">
        <v>22155216359.065899</v>
      </c>
      <c r="L42" s="3">
        <f t="shared" si="7"/>
        <v>2.2936093119144668E-2</v>
      </c>
      <c r="M42" s="8">
        <v>1</v>
      </c>
      <c r="N42" s="8">
        <v>1</v>
      </c>
      <c r="O42" s="60">
        <v>11422</v>
      </c>
      <c r="P42" s="5">
        <v>0.10111266168881378</v>
      </c>
      <c r="Q42" s="5">
        <v>0.10111266168881378</v>
      </c>
      <c r="R42" s="80">
        <f t="shared" si="9"/>
        <v>3.7693629585369933E-3</v>
      </c>
      <c r="S42" s="80">
        <f t="shared" si="10"/>
        <v>0</v>
      </c>
      <c r="T42" s="80">
        <f t="shared" si="11"/>
        <v>2.7214467562110436E-3</v>
      </c>
      <c r="U42" s="81">
        <f t="shared" si="12"/>
        <v>-1.1425729184966621E-3</v>
      </c>
      <c r="V42" s="83">
        <f t="shared" si="13"/>
        <v>-1.1425729184966621E-3</v>
      </c>
    </row>
    <row r="43" spans="1:22">
      <c r="A43" s="75">
        <v>35</v>
      </c>
      <c r="B43" s="112" t="s">
        <v>75</v>
      </c>
      <c r="C43" s="113" t="s">
        <v>34</v>
      </c>
      <c r="D43" s="9">
        <v>3380041737.54</v>
      </c>
      <c r="E43" s="3">
        <f t="shared" si="8"/>
        <v>3.4991737739040324E-3</v>
      </c>
      <c r="F43" s="8">
        <v>1</v>
      </c>
      <c r="G43" s="8">
        <v>1</v>
      </c>
      <c r="H43" s="60">
        <v>830</v>
      </c>
      <c r="I43" s="5">
        <v>7.9399999999999998E-2</v>
      </c>
      <c r="J43" s="5">
        <v>7.8799999999999995E-2</v>
      </c>
      <c r="K43" s="9">
        <v>3495206495.3499999</v>
      </c>
      <c r="L43" s="3">
        <f t="shared" si="7"/>
        <v>3.6183975976015622E-3</v>
      </c>
      <c r="M43" s="8">
        <v>1</v>
      </c>
      <c r="N43" s="8">
        <v>1</v>
      </c>
      <c r="O43" s="60">
        <v>830</v>
      </c>
      <c r="P43" s="5">
        <v>8.1299999999999997E-2</v>
      </c>
      <c r="Q43" s="5">
        <v>8.1299999999999997E-2</v>
      </c>
      <c r="R43" s="80">
        <f t="shared" si="9"/>
        <v>3.4071992819182474E-2</v>
      </c>
      <c r="S43" s="80">
        <f t="shared" si="10"/>
        <v>0</v>
      </c>
      <c r="T43" s="80">
        <f t="shared" si="11"/>
        <v>0</v>
      </c>
      <c r="U43" s="81">
        <f t="shared" si="12"/>
        <v>1.8999999999999989E-3</v>
      </c>
      <c r="V43" s="83">
        <f t="shared" si="13"/>
        <v>2.5000000000000022E-3</v>
      </c>
    </row>
    <row r="44" spans="1:22">
      <c r="A44" s="75">
        <v>36</v>
      </c>
      <c r="B44" s="112" t="s">
        <v>76</v>
      </c>
      <c r="C44" s="113" t="s">
        <v>36</v>
      </c>
      <c r="D44" s="13">
        <v>4095062252.5799999</v>
      </c>
      <c r="E44" s="3">
        <f t="shared" si="8"/>
        <v>4.2393957085160791E-3</v>
      </c>
      <c r="F44" s="8">
        <v>10</v>
      </c>
      <c r="G44" s="8">
        <v>10</v>
      </c>
      <c r="H44" s="60">
        <v>1966</v>
      </c>
      <c r="I44" s="5">
        <v>0.1134</v>
      </c>
      <c r="J44" s="5">
        <v>0.1134</v>
      </c>
      <c r="K44" s="13">
        <v>4106060321.73</v>
      </c>
      <c r="L44" s="3">
        <f t="shared" si="7"/>
        <v>4.2507814126350081E-3</v>
      </c>
      <c r="M44" s="8">
        <v>10</v>
      </c>
      <c r="N44" s="8">
        <v>10</v>
      </c>
      <c r="O44" s="60">
        <v>1969</v>
      </c>
      <c r="P44" s="5">
        <v>0.1192</v>
      </c>
      <c r="Q44" s="5">
        <v>0.1192</v>
      </c>
      <c r="R44" s="80">
        <f t="shared" si="9"/>
        <v>2.6856903440408055E-3</v>
      </c>
      <c r="S44" s="80">
        <f t="shared" si="10"/>
        <v>0</v>
      </c>
      <c r="T44" s="80">
        <f t="shared" si="11"/>
        <v>1.525940996948118E-3</v>
      </c>
      <c r="U44" s="81">
        <f t="shared" si="12"/>
        <v>5.7999999999999996E-3</v>
      </c>
      <c r="V44" s="83">
        <f t="shared" si="13"/>
        <v>5.7999999999999996E-3</v>
      </c>
    </row>
    <row r="45" spans="1:22">
      <c r="A45" s="75">
        <v>37</v>
      </c>
      <c r="B45" s="112" t="s">
        <v>77</v>
      </c>
      <c r="C45" s="113" t="s">
        <v>78</v>
      </c>
      <c r="D45" s="9">
        <v>4221780632.1100001</v>
      </c>
      <c r="E45" s="3">
        <f t="shared" si="8"/>
        <v>4.3705803697580755E-3</v>
      </c>
      <c r="F45" s="8">
        <v>100</v>
      </c>
      <c r="G45" s="8">
        <v>100</v>
      </c>
      <c r="H45" s="60">
        <v>2027</v>
      </c>
      <c r="I45" s="5">
        <v>0.11650000000000001</v>
      </c>
      <c r="J45" s="5">
        <v>0.11650000000000001</v>
      </c>
      <c r="K45" s="9">
        <v>4305023842.8900003</v>
      </c>
      <c r="L45" s="3">
        <f t="shared" si="7"/>
        <v>4.4567575482176939E-3</v>
      </c>
      <c r="M45" s="8">
        <v>100</v>
      </c>
      <c r="N45" s="8">
        <v>100</v>
      </c>
      <c r="O45" s="60">
        <v>2042</v>
      </c>
      <c r="P45" s="5">
        <v>0.1172</v>
      </c>
      <c r="Q45" s="5">
        <v>0.1172</v>
      </c>
      <c r="R45" s="80">
        <f t="shared" si="9"/>
        <v>1.9717559492994346E-2</v>
      </c>
      <c r="S45" s="80">
        <f t="shared" si="10"/>
        <v>0</v>
      </c>
      <c r="T45" s="80">
        <f t="shared" si="11"/>
        <v>7.4000986679822398E-3</v>
      </c>
      <c r="U45" s="81">
        <f t="shared" si="12"/>
        <v>6.999999999999923E-4</v>
      </c>
      <c r="V45" s="83">
        <f t="shared" si="13"/>
        <v>6.999999999999923E-4</v>
      </c>
    </row>
    <row r="46" spans="1:22">
      <c r="A46" s="75">
        <v>38</v>
      </c>
      <c r="B46" s="112" t="s">
        <v>79</v>
      </c>
      <c r="C46" s="113" t="s">
        <v>80</v>
      </c>
      <c r="D46" s="9">
        <v>152101897.36000001</v>
      </c>
      <c r="E46" s="3">
        <f t="shared" si="8"/>
        <v>1.5746283967206677E-4</v>
      </c>
      <c r="F46" s="8">
        <v>1</v>
      </c>
      <c r="G46" s="8">
        <v>1</v>
      </c>
      <c r="H46" s="60">
        <v>61</v>
      </c>
      <c r="I46" s="5">
        <v>6.8699999999999997E-2</v>
      </c>
      <c r="J46" s="5">
        <v>6.8699999999999997E-2</v>
      </c>
      <c r="K46" s="9">
        <v>151455902.24000001</v>
      </c>
      <c r="L46" s="3">
        <f t="shared" si="7"/>
        <v>1.5679407598288844E-4</v>
      </c>
      <c r="M46" s="8">
        <v>1</v>
      </c>
      <c r="N46" s="8">
        <v>1</v>
      </c>
      <c r="O46" s="60">
        <v>61</v>
      </c>
      <c r="P46" s="5">
        <v>6.9000000000000006E-2</v>
      </c>
      <c r="Q46" s="5">
        <v>6.9000000000000006E-2</v>
      </c>
      <c r="R46" s="80">
        <f t="shared" si="9"/>
        <v>-4.2471207211244788E-3</v>
      </c>
      <c r="S46" s="80">
        <f t="shared" si="10"/>
        <v>0</v>
      </c>
      <c r="T46" s="80">
        <f t="shared" si="11"/>
        <v>0</v>
      </c>
      <c r="U46" s="81">
        <f t="shared" si="12"/>
        <v>3.0000000000000859E-4</v>
      </c>
      <c r="V46" s="83">
        <f t="shared" si="13"/>
        <v>3.0000000000000859E-4</v>
      </c>
    </row>
    <row r="47" spans="1:22">
      <c r="A47" s="75">
        <v>39</v>
      </c>
      <c r="B47" s="112" t="s">
        <v>81</v>
      </c>
      <c r="C47" s="113" t="s">
        <v>38</v>
      </c>
      <c r="D47" s="13">
        <v>733537648.73000002</v>
      </c>
      <c r="E47" s="3">
        <f t="shared" si="8"/>
        <v>7.5939171818492049E-4</v>
      </c>
      <c r="F47" s="8">
        <v>10</v>
      </c>
      <c r="G47" s="8">
        <v>10</v>
      </c>
      <c r="H47" s="60">
        <v>643</v>
      </c>
      <c r="I47" s="5">
        <v>0</v>
      </c>
      <c r="J47" s="5">
        <v>0</v>
      </c>
      <c r="K47" s="13">
        <v>810138973.19000006</v>
      </c>
      <c r="L47" s="3">
        <f t="shared" si="7"/>
        <v>8.3869291219675144E-4</v>
      </c>
      <c r="M47" s="8">
        <v>10</v>
      </c>
      <c r="N47" s="8">
        <v>10</v>
      </c>
      <c r="O47" s="60">
        <v>647</v>
      </c>
      <c r="P47" s="5">
        <v>0</v>
      </c>
      <c r="Q47" s="5">
        <v>0</v>
      </c>
      <c r="R47" s="80">
        <f t="shared" si="9"/>
        <v>0.10442725685944362</v>
      </c>
      <c r="S47" s="80">
        <f t="shared" si="10"/>
        <v>0</v>
      </c>
      <c r="T47" s="80">
        <f t="shared" si="11"/>
        <v>6.2208398133748056E-3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12" t="s">
        <v>247</v>
      </c>
      <c r="C48" s="113" t="s">
        <v>248</v>
      </c>
      <c r="D48" s="13">
        <v>573090832.80999994</v>
      </c>
      <c r="E48" s="3">
        <f t="shared" si="8"/>
        <v>5.9328983721161545E-4</v>
      </c>
      <c r="F48" s="8">
        <v>1</v>
      </c>
      <c r="G48" s="8">
        <v>1</v>
      </c>
      <c r="H48" s="60">
        <v>36</v>
      </c>
      <c r="I48" s="5">
        <v>0.1143</v>
      </c>
      <c r="J48" s="5">
        <v>0.1143</v>
      </c>
      <c r="K48" s="13">
        <v>574102903.95000005</v>
      </c>
      <c r="L48" s="3">
        <f t="shared" si="7"/>
        <v>5.943375795371262E-4</v>
      </c>
      <c r="M48" s="8">
        <v>1</v>
      </c>
      <c r="N48" s="8">
        <v>1</v>
      </c>
      <c r="O48" s="60">
        <v>36</v>
      </c>
      <c r="P48" s="5">
        <v>0.1265</v>
      </c>
      <c r="Q48" s="5">
        <v>0.1265</v>
      </c>
      <c r="R48" s="80">
        <f t="shared" si="9"/>
        <v>1.7659873131065118E-3</v>
      </c>
      <c r="S48" s="80">
        <f t="shared" si="10"/>
        <v>0</v>
      </c>
      <c r="T48" s="80">
        <f t="shared" si="11"/>
        <v>0</v>
      </c>
      <c r="U48" s="81">
        <f t="shared" si="12"/>
        <v>1.2200000000000003E-2</v>
      </c>
      <c r="V48" s="83">
        <f t="shared" si="13"/>
        <v>1.2200000000000003E-2</v>
      </c>
    </row>
    <row r="49" spans="1:22">
      <c r="A49" s="75">
        <v>41</v>
      </c>
      <c r="B49" s="112" t="s">
        <v>82</v>
      </c>
      <c r="C49" s="113" t="s">
        <v>42</v>
      </c>
      <c r="D49" s="9">
        <v>433348323198.03003</v>
      </c>
      <c r="E49" s="3">
        <f t="shared" si="8"/>
        <v>0.44862200092341026</v>
      </c>
      <c r="F49" s="8">
        <v>100</v>
      </c>
      <c r="G49" s="8">
        <v>100</v>
      </c>
      <c r="H49" s="60">
        <v>135914</v>
      </c>
      <c r="I49" s="5">
        <v>0.1108</v>
      </c>
      <c r="J49" s="5">
        <v>0.1108</v>
      </c>
      <c r="K49" s="9">
        <v>435290283790.89001</v>
      </c>
      <c r="L49" s="3">
        <f t="shared" si="7"/>
        <v>0.45063240733378684</v>
      </c>
      <c r="M49" s="8">
        <v>100</v>
      </c>
      <c r="N49" s="8">
        <v>100</v>
      </c>
      <c r="O49" s="60">
        <v>113767</v>
      </c>
      <c r="P49" s="5">
        <v>0.1183</v>
      </c>
      <c r="Q49" s="5">
        <v>0.1183</v>
      </c>
      <c r="R49" s="80">
        <f t="shared" si="9"/>
        <v>4.481292505134616E-3</v>
      </c>
      <c r="S49" s="80">
        <f t="shared" si="10"/>
        <v>0</v>
      </c>
      <c r="T49" s="80">
        <f t="shared" si="11"/>
        <v>-0.16294862928028017</v>
      </c>
      <c r="U49" s="81">
        <f t="shared" si="12"/>
        <v>7.5000000000000067E-3</v>
      </c>
      <c r="V49" s="83">
        <f t="shared" si="13"/>
        <v>7.5000000000000067E-3</v>
      </c>
    </row>
    <row r="50" spans="1:22">
      <c r="A50" s="75">
        <v>42</v>
      </c>
      <c r="B50" s="112" t="s">
        <v>83</v>
      </c>
      <c r="C50" s="113" t="s">
        <v>84</v>
      </c>
      <c r="D50" s="9">
        <v>3054365716.27</v>
      </c>
      <c r="E50" s="3">
        <f t="shared" si="8"/>
        <v>3.1620190637237978E-3</v>
      </c>
      <c r="F50" s="8">
        <v>1</v>
      </c>
      <c r="G50" s="8">
        <v>1</v>
      </c>
      <c r="H50" s="60">
        <v>338</v>
      </c>
      <c r="I50" s="5">
        <v>0.13787412554436906</v>
      </c>
      <c r="J50" s="5">
        <v>0.13787412554436906</v>
      </c>
      <c r="K50" s="9">
        <v>3147640614.3699999</v>
      </c>
      <c r="L50" s="3">
        <f t="shared" si="7"/>
        <v>3.2585815036398902E-3</v>
      </c>
      <c r="M50" s="8">
        <v>1</v>
      </c>
      <c r="N50" s="8">
        <v>1</v>
      </c>
      <c r="O50" s="60">
        <v>342</v>
      </c>
      <c r="P50" s="5">
        <v>0.14254490009999998</v>
      </c>
      <c r="Q50" s="5">
        <v>0.14254490009999998</v>
      </c>
      <c r="R50" s="80">
        <f t="shared" si="9"/>
        <v>3.0538221930380843E-2</v>
      </c>
      <c r="S50" s="80">
        <f t="shared" si="10"/>
        <v>0</v>
      </c>
      <c r="T50" s="80">
        <f t="shared" si="11"/>
        <v>1.1834319526627219E-2</v>
      </c>
      <c r="U50" s="81">
        <f t="shared" si="12"/>
        <v>4.6707745556309188E-3</v>
      </c>
      <c r="V50" s="83">
        <f t="shared" si="13"/>
        <v>4.6707745556309188E-3</v>
      </c>
    </row>
    <row r="51" spans="1:22">
      <c r="A51" s="75">
        <v>43</v>
      </c>
      <c r="B51" s="112" t="s">
        <v>85</v>
      </c>
      <c r="C51" s="113" t="s">
        <v>45</v>
      </c>
      <c r="D51" s="9">
        <v>47341435800.470001</v>
      </c>
      <c r="E51" s="3">
        <f t="shared" si="8"/>
        <v>4.9010019235008244E-2</v>
      </c>
      <c r="F51" s="8">
        <v>1</v>
      </c>
      <c r="G51" s="8">
        <v>1</v>
      </c>
      <c r="H51" s="60">
        <v>19401</v>
      </c>
      <c r="I51" s="5">
        <v>0.106</v>
      </c>
      <c r="J51" s="5">
        <v>0.106</v>
      </c>
      <c r="K51" s="9">
        <v>47929034211.699997</v>
      </c>
      <c r="L51" s="3">
        <f t="shared" si="7"/>
        <v>4.961832798082276E-2</v>
      </c>
      <c r="M51" s="8">
        <v>1</v>
      </c>
      <c r="N51" s="8">
        <v>1</v>
      </c>
      <c r="O51" s="60">
        <v>19522</v>
      </c>
      <c r="P51" s="5">
        <v>0.1072</v>
      </c>
      <c r="Q51" s="5">
        <v>0.1072</v>
      </c>
      <c r="R51" s="80">
        <f t="shared" si="9"/>
        <v>1.2411926281799887E-2</v>
      </c>
      <c r="S51" s="80">
        <f t="shared" si="10"/>
        <v>0</v>
      </c>
      <c r="T51" s="80">
        <f t="shared" si="11"/>
        <v>6.2367919179423742E-3</v>
      </c>
      <c r="U51" s="81">
        <f t="shared" si="12"/>
        <v>1.2000000000000066E-3</v>
      </c>
      <c r="V51" s="83">
        <f t="shared" si="13"/>
        <v>1.2000000000000066E-3</v>
      </c>
    </row>
    <row r="52" spans="1:22">
      <c r="A52" s="75">
        <v>44</v>
      </c>
      <c r="B52" s="112" t="s">
        <v>86</v>
      </c>
      <c r="C52" s="113" t="s">
        <v>87</v>
      </c>
      <c r="D52" s="9">
        <v>1478803233.48</v>
      </c>
      <c r="E52" s="3">
        <f t="shared" si="8"/>
        <v>1.5309247320489518E-3</v>
      </c>
      <c r="F52" s="8">
        <v>1</v>
      </c>
      <c r="G52" s="8">
        <v>1</v>
      </c>
      <c r="H52" s="60">
        <v>73</v>
      </c>
      <c r="I52" s="5">
        <v>8.7800000000000003E-2</v>
      </c>
      <c r="J52" s="5">
        <v>8.7800000000000003E-2</v>
      </c>
      <c r="K52" s="9">
        <v>1471095487.3299999</v>
      </c>
      <c r="L52" s="3">
        <f t="shared" si="7"/>
        <v>1.5229453207640427E-3</v>
      </c>
      <c r="M52" s="8">
        <v>1</v>
      </c>
      <c r="N52" s="8">
        <v>1</v>
      </c>
      <c r="O52" s="60">
        <v>73</v>
      </c>
      <c r="P52" s="5">
        <v>7.0099999999999996E-2</v>
      </c>
      <c r="Q52" s="5">
        <v>7.0099999999999996E-2</v>
      </c>
      <c r="R52" s="80">
        <f t="shared" si="9"/>
        <v>-5.2121512690108266E-3</v>
      </c>
      <c r="S52" s="80">
        <f t="shared" si="10"/>
        <v>0</v>
      </c>
      <c r="T52" s="80">
        <f t="shared" si="11"/>
        <v>0</v>
      </c>
      <c r="U52" s="81">
        <f t="shared" si="12"/>
        <v>-1.7700000000000007E-2</v>
      </c>
      <c r="V52" s="83">
        <f t="shared" si="13"/>
        <v>-1.7700000000000007E-2</v>
      </c>
    </row>
    <row r="53" spans="1:22">
      <c r="A53" s="75">
        <v>45</v>
      </c>
      <c r="B53" s="112" t="s">
        <v>88</v>
      </c>
      <c r="C53" s="113" t="s">
        <v>89</v>
      </c>
      <c r="D53" s="9">
        <v>1103214238.9200001</v>
      </c>
      <c r="E53" s="3">
        <f t="shared" si="8"/>
        <v>1.1420978294297403E-3</v>
      </c>
      <c r="F53" s="8">
        <v>1</v>
      </c>
      <c r="G53" s="8">
        <v>1</v>
      </c>
      <c r="H53" s="60">
        <v>210</v>
      </c>
      <c r="I53" s="5">
        <v>0.1021</v>
      </c>
      <c r="J53" s="5">
        <v>0.1021</v>
      </c>
      <c r="K53" s="9">
        <v>1053298191.22</v>
      </c>
      <c r="L53" s="3">
        <f t="shared" si="7"/>
        <v>1.0904224542209406E-3</v>
      </c>
      <c r="M53" s="8">
        <v>1</v>
      </c>
      <c r="N53" s="8">
        <v>1</v>
      </c>
      <c r="O53" s="60">
        <v>210</v>
      </c>
      <c r="P53" s="5">
        <v>0.10780000000000001</v>
      </c>
      <c r="Q53" s="5">
        <v>0.10780000000000001</v>
      </c>
      <c r="R53" s="80">
        <f t="shared" si="9"/>
        <v>-4.5246014725902867E-2</v>
      </c>
      <c r="S53" s="80">
        <f t="shared" si="10"/>
        <v>0</v>
      </c>
      <c r="T53" s="80">
        <f t="shared" si="11"/>
        <v>0</v>
      </c>
      <c r="U53" s="81">
        <f t="shared" si="12"/>
        <v>5.7000000000000106E-3</v>
      </c>
      <c r="V53" s="83">
        <f t="shared" si="13"/>
        <v>5.7000000000000106E-3</v>
      </c>
    </row>
    <row r="54" spans="1:22">
      <c r="A54" s="75">
        <v>46</v>
      </c>
      <c r="B54" s="112" t="s">
        <v>90</v>
      </c>
      <c r="C54" s="113" t="s">
        <v>91</v>
      </c>
      <c r="D54" s="9">
        <v>30513537984.040001</v>
      </c>
      <c r="E54" s="3">
        <f t="shared" si="8"/>
        <v>3.1589009886157871E-2</v>
      </c>
      <c r="F54" s="8">
        <v>1</v>
      </c>
      <c r="G54" s="8">
        <v>1</v>
      </c>
      <c r="H54" s="60">
        <v>3262</v>
      </c>
      <c r="I54" s="5">
        <v>0.11360000000000001</v>
      </c>
      <c r="J54" s="5">
        <v>0.11360000000000001</v>
      </c>
      <c r="K54" s="9">
        <v>31632108318.02</v>
      </c>
      <c r="L54" s="3">
        <f t="shared" si="7"/>
        <v>3.2747005047418384E-2</v>
      </c>
      <c r="M54" s="8">
        <v>1</v>
      </c>
      <c r="N54" s="8">
        <v>1</v>
      </c>
      <c r="O54" s="60">
        <v>3278</v>
      </c>
      <c r="P54" s="5">
        <v>0.11650000000000001</v>
      </c>
      <c r="Q54" s="5">
        <v>0.11650000000000001</v>
      </c>
      <c r="R54" s="80">
        <f t="shared" si="9"/>
        <v>3.6658165780876141E-2</v>
      </c>
      <c r="S54" s="80">
        <f t="shared" si="10"/>
        <v>0</v>
      </c>
      <c r="T54" s="80">
        <f t="shared" si="11"/>
        <v>4.904966278356836E-3</v>
      </c>
      <c r="U54" s="81">
        <f t="shared" si="12"/>
        <v>2.8999999999999998E-3</v>
      </c>
      <c r="V54" s="83">
        <f t="shared" si="13"/>
        <v>2.8999999999999998E-3</v>
      </c>
    </row>
    <row r="55" spans="1:22">
      <c r="A55" s="75"/>
      <c r="B55" s="19"/>
      <c r="C55" s="71" t="s">
        <v>46</v>
      </c>
      <c r="D55" s="59">
        <f>SUM(D25:D54)</f>
        <v>962897181294.703</v>
      </c>
      <c r="E55" s="100">
        <f>(D55/$D$181)</f>
        <v>0.35655479017729175</v>
      </c>
      <c r="F55" s="30"/>
      <c r="G55" s="11"/>
      <c r="H55" s="65">
        <f>SUM(H25:H54)</f>
        <v>294759</v>
      </c>
      <c r="I55" s="32"/>
      <c r="J55" s="32"/>
      <c r="K55" s="59">
        <f>SUM(K25:K54)</f>
        <v>965954238325.48999</v>
      </c>
      <c r="L55" s="100">
        <f>(K55/$K$181)</f>
        <v>0.35479991055556526</v>
      </c>
      <c r="M55" s="30"/>
      <c r="N55" s="11"/>
      <c r="O55" s="65">
        <f>SUM(O25:O54)</f>
        <v>273248</v>
      </c>
      <c r="P55" s="32"/>
      <c r="Q55" s="32"/>
      <c r="R55" s="80">
        <f t="shared" si="9"/>
        <v>3.1748530270661874E-3</v>
      </c>
      <c r="S55" s="80" t="e">
        <f t="shared" si="10"/>
        <v>#DIV/0!</v>
      </c>
      <c r="T55" s="80">
        <f t="shared" si="11"/>
        <v>-7.2978263598397333E-2</v>
      </c>
      <c r="U55" s="81">
        <f t="shared" si="12"/>
        <v>0</v>
      </c>
      <c r="V55" s="83">
        <f t="shared" si="13"/>
        <v>0</v>
      </c>
    </row>
    <row r="56" spans="1:22" ht="9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</row>
    <row r="57" spans="1:22" ht="15" customHeight="1">
      <c r="A57" s="149" t="s">
        <v>92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</row>
    <row r="58" spans="1:22">
      <c r="A58" s="75">
        <v>47</v>
      </c>
      <c r="B58" s="112" t="s">
        <v>93</v>
      </c>
      <c r="C58" s="113" t="s">
        <v>19</v>
      </c>
      <c r="D58" s="2">
        <v>467297023.11000001</v>
      </c>
      <c r="E58" s="3">
        <f>(D58/$D$90)</f>
        <v>1.6348347159542218E-3</v>
      </c>
      <c r="F58" s="14">
        <v>1.2567999999999999</v>
      </c>
      <c r="G58" s="14">
        <v>1.2567999999999999</v>
      </c>
      <c r="H58" s="60">
        <v>396</v>
      </c>
      <c r="I58" s="5">
        <v>-7.0320000000000001E-3</v>
      </c>
      <c r="J58" s="5">
        <v>-1.8200000000000001E-2</v>
      </c>
      <c r="K58" s="2">
        <v>463568826.69999999</v>
      </c>
      <c r="L58" s="3">
        <f t="shared" ref="L58:L77" si="14">(K58/$K$90)</f>
        <v>1.6316545906729842E-3</v>
      </c>
      <c r="M58" s="14">
        <v>1.2484999999999999</v>
      </c>
      <c r="N58" s="14">
        <v>1.2484999999999999</v>
      </c>
      <c r="O58" s="60">
        <v>396</v>
      </c>
      <c r="P58" s="5">
        <v>3.2000000000000003E-4</v>
      </c>
      <c r="Q58" s="5">
        <v>-2.47E-2</v>
      </c>
      <c r="R58" s="80">
        <f>((K58-D58)/D58)</f>
        <v>-7.9782156222348161E-3</v>
      </c>
      <c r="S58" s="80">
        <f>((N58-G58)/G58)</f>
        <v>-6.6040738383195217E-3</v>
      </c>
      <c r="T58" s="80">
        <f>((O58-H58)/H58)</f>
        <v>0</v>
      </c>
      <c r="U58" s="81">
        <f>P58-I58</f>
        <v>7.352E-3</v>
      </c>
      <c r="V58" s="83">
        <f>Q58-J58</f>
        <v>-6.4999999999999988E-3</v>
      </c>
    </row>
    <row r="59" spans="1:22">
      <c r="A59" s="75">
        <v>48</v>
      </c>
      <c r="B59" s="112" t="s">
        <v>94</v>
      </c>
      <c r="C59" s="113" t="s">
        <v>21</v>
      </c>
      <c r="D59" s="2">
        <v>1361324516.98</v>
      </c>
      <c r="E59" s="3">
        <f>(D59/$D$90)</f>
        <v>4.7625824047131419E-3</v>
      </c>
      <c r="F59" s="14">
        <v>1.0992</v>
      </c>
      <c r="G59" s="14">
        <v>1.0992</v>
      </c>
      <c r="H59" s="60">
        <v>586</v>
      </c>
      <c r="I59" s="5">
        <v>-0.22259999999999999</v>
      </c>
      <c r="J59" s="5">
        <v>-0.58309999999999995</v>
      </c>
      <c r="K59" s="2">
        <v>1351472846.26</v>
      </c>
      <c r="L59" s="3">
        <f t="shared" si="14"/>
        <v>4.7568704942212913E-3</v>
      </c>
      <c r="M59" s="14">
        <v>1.1008</v>
      </c>
      <c r="N59" s="14">
        <v>1.1008</v>
      </c>
      <c r="O59" s="60">
        <v>582</v>
      </c>
      <c r="P59" s="5">
        <v>7.6100000000000001E-2</v>
      </c>
      <c r="Q59" s="5">
        <v>-0.46850000000000003</v>
      </c>
      <c r="R59" s="80">
        <f t="shared" ref="R59:R90" si="15">((K59-D59)/D59)</f>
        <v>-7.2368275140267417E-3</v>
      </c>
      <c r="S59" s="80">
        <f t="shared" ref="S59:S90" si="16">((N59-G59)/G59)</f>
        <v>1.4556040756914536E-3</v>
      </c>
      <c r="T59" s="80">
        <f t="shared" ref="T59:T90" si="17">((O59-H59)/H59)</f>
        <v>-6.8259385665529011E-3</v>
      </c>
      <c r="U59" s="81">
        <f t="shared" ref="U59:U90" si="18">P59-I59</f>
        <v>0.29869999999999997</v>
      </c>
      <c r="V59" s="83">
        <f t="shared" ref="V59:V90" si="19">Q59-J59</f>
        <v>0.11459999999999992</v>
      </c>
    </row>
    <row r="60" spans="1:22">
      <c r="A60" s="75">
        <v>49</v>
      </c>
      <c r="B60" s="112" t="s">
        <v>95</v>
      </c>
      <c r="C60" s="113" t="s">
        <v>21</v>
      </c>
      <c r="D60" s="2">
        <v>979956658.5</v>
      </c>
      <c r="E60" s="3">
        <f>(D60/$D$90)</f>
        <v>3.428370150496711E-3</v>
      </c>
      <c r="F60" s="14">
        <v>1.0107999999999999</v>
      </c>
      <c r="G60" s="14">
        <v>1.0107999999999999</v>
      </c>
      <c r="H60" s="60">
        <v>145</v>
      </c>
      <c r="I60" s="5">
        <v>8.8099999999999998E-2</v>
      </c>
      <c r="J60" s="5">
        <v>-0.61560000000000004</v>
      </c>
      <c r="K60" s="2">
        <v>1016285713.22</v>
      </c>
      <c r="L60" s="3">
        <f t="shared" si="14"/>
        <v>3.5770896443041195E-3</v>
      </c>
      <c r="M60" s="14">
        <v>1.0125</v>
      </c>
      <c r="N60" s="14">
        <v>1.0125</v>
      </c>
      <c r="O60" s="60">
        <v>144</v>
      </c>
      <c r="P60" s="5">
        <v>8.7900000000000006E-2</v>
      </c>
      <c r="Q60" s="5">
        <v>-0.49330000000000002</v>
      </c>
      <c r="R60" s="80">
        <f t="shared" si="15"/>
        <v>3.7072103551608275E-2</v>
      </c>
      <c r="S60" s="80">
        <f t="shared" si="16"/>
        <v>1.68183616937083E-3</v>
      </c>
      <c r="T60" s="80">
        <f t="shared" si="17"/>
        <v>-6.8965517241379309E-3</v>
      </c>
      <c r="U60" s="81">
        <f t="shared" si="18"/>
        <v>-1.9999999999999185E-4</v>
      </c>
      <c r="V60" s="83">
        <f t="shared" si="19"/>
        <v>0.12230000000000002</v>
      </c>
    </row>
    <row r="61" spans="1:22">
      <c r="A61" s="75">
        <v>50</v>
      </c>
      <c r="B61" s="112" t="s">
        <v>96</v>
      </c>
      <c r="C61" s="113" t="s">
        <v>97</v>
      </c>
      <c r="D61" s="2">
        <v>269652244.08999997</v>
      </c>
      <c r="E61" s="3">
        <f>(D61/$D$90)</f>
        <v>9.433761142739448E-4</v>
      </c>
      <c r="F61" s="7">
        <v>1146.24</v>
      </c>
      <c r="G61" s="7">
        <v>1146.24</v>
      </c>
      <c r="H61" s="60">
        <v>116</v>
      </c>
      <c r="I61" s="5">
        <v>-1.01E-2</v>
      </c>
      <c r="J61" s="5">
        <v>2.4799999999999999E-2</v>
      </c>
      <c r="K61" s="2">
        <v>268569354.38</v>
      </c>
      <c r="L61" s="3">
        <f t="shared" si="14"/>
        <v>9.4530174323347472E-4</v>
      </c>
      <c r="M61" s="7">
        <v>1141.01</v>
      </c>
      <c r="N61" s="7">
        <v>1141.01</v>
      </c>
      <c r="O61" s="60">
        <v>116</v>
      </c>
      <c r="P61" s="5">
        <v>-5.1999999999999998E-3</v>
      </c>
      <c r="Q61" s="5">
        <v>2.01E-2</v>
      </c>
      <c r="R61" s="80">
        <f t="shared" si="15"/>
        <v>-4.0158750158168534E-3</v>
      </c>
      <c r="S61" s="80">
        <f t="shared" si="16"/>
        <v>-4.5627442769402725E-3</v>
      </c>
      <c r="T61" s="80">
        <f t="shared" si="17"/>
        <v>0</v>
      </c>
      <c r="U61" s="81">
        <f t="shared" si="18"/>
        <v>4.8999999999999998E-3</v>
      </c>
      <c r="V61" s="83">
        <f t="shared" si="19"/>
        <v>-4.6999999999999993E-3</v>
      </c>
    </row>
    <row r="62" spans="1:22" ht="15" customHeight="1">
      <c r="A62" s="75">
        <v>51</v>
      </c>
      <c r="B62" s="112" t="s">
        <v>98</v>
      </c>
      <c r="C62" s="113" t="s">
        <v>99</v>
      </c>
      <c r="D62" s="2">
        <v>1619926661.73</v>
      </c>
      <c r="E62" s="3">
        <f>(D62/$K$90)</f>
        <v>5.7017655673293286E-3</v>
      </c>
      <c r="F62" s="7">
        <v>1.024</v>
      </c>
      <c r="G62" s="7">
        <v>1.024</v>
      </c>
      <c r="H62" s="60">
        <v>820</v>
      </c>
      <c r="I62" s="5">
        <v>1.4E-3</v>
      </c>
      <c r="J62" s="5">
        <v>7.3000000000000001E-3</v>
      </c>
      <c r="K62" s="2">
        <v>1625482125.8399999</v>
      </c>
      <c r="L62" s="3">
        <f t="shared" si="14"/>
        <v>5.7213195105548223E-3</v>
      </c>
      <c r="M62" s="7">
        <v>1.0254000000000001</v>
      </c>
      <c r="N62" s="7">
        <v>1.0254000000000001</v>
      </c>
      <c r="O62" s="60">
        <v>821</v>
      </c>
      <c r="P62" s="5">
        <v>1.4E-3</v>
      </c>
      <c r="Q62" s="5">
        <v>8.6E-3</v>
      </c>
      <c r="R62" s="80">
        <f t="shared" si="15"/>
        <v>3.4294540865615112E-3</v>
      </c>
      <c r="S62" s="80">
        <f t="shared" si="16"/>
        <v>1.3671875000000663E-3</v>
      </c>
      <c r="T62" s="80">
        <f t="shared" si="17"/>
        <v>1.2195121951219512E-3</v>
      </c>
      <c r="U62" s="81">
        <f t="shared" si="18"/>
        <v>0</v>
      </c>
      <c r="V62" s="83">
        <v>7.87</v>
      </c>
    </row>
    <row r="63" spans="1:22">
      <c r="A63" s="75">
        <v>52</v>
      </c>
      <c r="B63" s="112" t="s">
        <v>100</v>
      </c>
      <c r="C63" s="113" t="s">
        <v>101</v>
      </c>
      <c r="D63" s="2">
        <v>397819757.13999999</v>
      </c>
      <c r="E63" s="3">
        <f t="shared" ref="E63:E77" si="20">(D63/$D$90)</f>
        <v>1.3917690836901711E-3</v>
      </c>
      <c r="F63" s="7">
        <v>2.2568999999999999</v>
      </c>
      <c r="G63" s="7">
        <v>2.2568999999999999</v>
      </c>
      <c r="H63" s="60">
        <v>1398</v>
      </c>
      <c r="I63" s="5">
        <v>6.7299999999999999E-2</v>
      </c>
      <c r="J63" s="5">
        <v>9.8199999999999996E-2</v>
      </c>
      <c r="K63" s="2">
        <v>398673056.20999998</v>
      </c>
      <c r="L63" s="3">
        <f t="shared" si="14"/>
        <v>1.4032365527538936E-3</v>
      </c>
      <c r="M63" s="7">
        <v>2.2614000000000001</v>
      </c>
      <c r="N63" s="7">
        <v>2.2614000000000001</v>
      </c>
      <c r="O63" s="60">
        <v>1398</v>
      </c>
      <c r="P63" s="5">
        <v>0.1043</v>
      </c>
      <c r="Q63" s="5">
        <v>9.9400000000000002E-2</v>
      </c>
      <c r="R63" s="80">
        <f t="shared" si="15"/>
        <v>2.1449388942734221E-3</v>
      </c>
      <c r="S63" s="80">
        <f t="shared" si="16"/>
        <v>1.9938854180513851E-3</v>
      </c>
      <c r="T63" s="80">
        <f t="shared" si="17"/>
        <v>0</v>
      </c>
      <c r="U63" s="81">
        <f t="shared" si="18"/>
        <v>3.7000000000000005E-2</v>
      </c>
      <c r="V63" s="83">
        <f t="shared" si="19"/>
        <v>1.2000000000000066E-3</v>
      </c>
    </row>
    <row r="64" spans="1:22">
      <c r="A64" s="75">
        <v>53</v>
      </c>
      <c r="B64" s="112" t="s">
        <v>102</v>
      </c>
      <c r="C64" s="113" t="s">
        <v>56</v>
      </c>
      <c r="D64" s="2">
        <v>2595513841.6747513</v>
      </c>
      <c r="E64" s="3">
        <f t="shared" si="20"/>
        <v>9.0803834055470777E-3</v>
      </c>
      <c r="F64" s="2">
        <v>4027.721680950242</v>
      </c>
      <c r="G64" s="2">
        <v>4027.721680950242</v>
      </c>
      <c r="H64" s="60">
        <v>1051</v>
      </c>
      <c r="I64" s="5">
        <v>8.0540354716179222E-2</v>
      </c>
      <c r="J64" s="5">
        <v>8.0540354716179222E-2</v>
      </c>
      <c r="K64" s="2">
        <v>2598947790.547451</v>
      </c>
      <c r="L64" s="3">
        <f t="shared" si="14"/>
        <v>9.147692530478254E-3</v>
      </c>
      <c r="M64" s="2">
        <v>4033.7963827336685</v>
      </c>
      <c r="N64" s="2">
        <v>4033.7963827336685</v>
      </c>
      <c r="O64" s="60">
        <v>1055</v>
      </c>
      <c r="P64" s="5">
        <v>7.8858507856039442E-2</v>
      </c>
      <c r="Q64" s="5">
        <v>8.0346246576930125E-2</v>
      </c>
      <c r="R64" s="80">
        <f t="shared" si="15"/>
        <v>1.3230323867138337E-3</v>
      </c>
      <c r="S64" s="80">
        <f t="shared" si="16"/>
        <v>1.5082228278477489E-3</v>
      </c>
      <c r="T64" s="80">
        <f t="shared" si="17"/>
        <v>3.8058991436726928E-3</v>
      </c>
      <c r="U64" s="81">
        <f t="shared" si="18"/>
        <v>-1.6818468601397796E-3</v>
      </c>
      <c r="V64" s="83">
        <f t="shared" si="19"/>
        <v>-1.9410813924909676E-4</v>
      </c>
    </row>
    <row r="65" spans="1:22">
      <c r="A65" s="75">
        <v>54</v>
      </c>
      <c r="B65" s="112" t="s">
        <v>103</v>
      </c>
      <c r="C65" s="113" t="s">
        <v>58</v>
      </c>
      <c r="D65" s="2">
        <v>358695087.88</v>
      </c>
      <c r="E65" s="3">
        <f t="shared" si="20"/>
        <v>1.2548917564373962E-3</v>
      </c>
      <c r="F65" s="14">
        <v>108.47</v>
      </c>
      <c r="G65" s="14">
        <v>108.47</v>
      </c>
      <c r="H65" s="60">
        <v>124</v>
      </c>
      <c r="I65" s="5">
        <v>1.6999999999999999E-3</v>
      </c>
      <c r="J65" s="5">
        <v>7.8700000000000006E-2</v>
      </c>
      <c r="K65" s="2">
        <v>353708482.19</v>
      </c>
      <c r="L65" s="3">
        <f t="shared" si="14"/>
        <v>1.2449716967245048E-3</v>
      </c>
      <c r="M65" s="14">
        <v>108.67</v>
      </c>
      <c r="N65" s="14">
        <v>108.67</v>
      </c>
      <c r="O65" s="60">
        <v>124</v>
      </c>
      <c r="P65" s="5">
        <v>1.8E-3</v>
      </c>
      <c r="Q65" s="5">
        <v>8.1799999999999998E-2</v>
      </c>
      <c r="R65" s="80">
        <f t="shared" si="15"/>
        <v>-1.3902074097173716E-2</v>
      </c>
      <c r="S65" s="80">
        <f t="shared" si="16"/>
        <v>1.8438277864847685E-3</v>
      </c>
      <c r="T65" s="80">
        <f t="shared" si="17"/>
        <v>0</v>
      </c>
      <c r="U65" s="81">
        <f t="shared" si="18"/>
        <v>1.0000000000000005E-4</v>
      </c>
      <c r="V65" s="83">
        <f t="shared" si="19"/>
        <v>3.0999999999999917E-3</v>
      </c>
    </row>
    <row r="66" spans="1:22">
      <c r="A66" s="75">
        <v>55</v>
      </c>
      <c r="B66" s="112" t="s">
        <v>104</v>
      </c>
      <c r="C66" s="113" t="s">
        <v>105</v>
      </c>
      <c r="D66" s="2">
        <v>321955244.74000001</v>
      </c>
      <c r="E66" s="3">
        <f t="shared" si="20"/>
        <v>1.1263577233630066E-3</v>
      </c>
      <c r="F66" s="14">
        <v>1.363</v>
      </c>
      <c r="G66" s="14">
        <v>1.363</v>
      </c>
      <c r="H66" s="60">
        <v>313</v>
      </c>
      <c r="I66" s="5">
        <v>-8.91737494774969E-3</v>
      </c>
      <c r="J66" s="5">
        <v>6.3432151111803781E-2</v>
      </c>
      <c r="K66" s="2">
        <v>321585950.49000001</v>
      </c>
      <c r="L66" s="3">
        <f t="shared" si="14"/>
        <v>1.1319078466691546E-3</v>
      </c>
      <c r="M66" s="14">
        <v>1.3608</v>
      </c>
      <c r="N66" s="14">
        <v>1.3608</v>
      </c>
      <c r="O66" s="60">
        <v>315</v>
      </c>
      <c r="P66" s="5">
        <v>-1.6140865737344079E-3</v>
      </c>
      <c r="Q66" s="5">
        <v>1.9134251319674278E-2</v>
      </c>
      <c r="R66" s="80">
        <f t="shared" si="15"/>
        <v>-1.1470359810359025E-3</v>
      </c>
      <c r="S66" s="80">
        <f t="shared" si="16"/>
        <v>-1.6140865737343944E-3</v>
      </c>
      <c r="T66" s="80">
        <f t="shared" si="17"/>
        <v>6.3897763578274758E-3</v>
      </c>
      <c r="U66" s="81">
        <f t="shared" si="18"/>
        <v>7.3032883740152821E-3</v>
      </c>
      <c r="V66" s="83">
        <f t="shared" si="19"/>
        <v>-4.4297899792129503E-2</v>
      </c>
    </row>
    <row r="67" spans="1:22">
      <c r="A67" s="75">
        <v>56</v>
      </c>
      <c r="B67" s="112" t="s">
        <v>106</v>
      </c>
      <c r="C67" s="113" t="s">
        <v>25</v>
      </c>
      <c r="D67" s="2">
        <v>74620327.290000007</v>
      </c>
      <c r="E67" s="3">
        <f t="shared" si="20"/>
        <v>2.6105858915527859E-4</v>
      </c>
      <c r="F67" s="14">
        <v>113.4768</v>
      </c>
      <c r="G67" s="14">
        <v>113.4768</v>
      </c>
      <c r="H67" s="60">
        <v>91</v>
      </c>
      <c r="I67" s="5">
        <v>3.2600000000000001E-4</v>
      </c>
      <c r="J67" s="5">
        <v>0.1295</v>
      </c>
      <c r="K67" s="2">
        <v>73730135.930000007</v>
      </c>
      <c r="L67" s="3">
        <f t="shared" si="14"/>
        <v>2.595129521920626E-4</v>
      </c>
      <c r="M67" s="14">
        <v>113.7349</v>
      </c>
      <c r="N67" s="14">
        <v>113.7349</v>
      </c>
      <c r="O67" s="60">
        <v>90</v>
      </c>
      <c r="P67" s="5">
        <v>-2.4358000000000001E-2</v>
      </c>
      <c r="Q67" s="5">
        <v>0.34870000000000001</v>
      </c>
      <c r="R67" s="80">
        <f t="shared" si="15"/>
        <v>-1.1929609428546361E-2</v>
      </c>
      <c r="S67" s="80">
        <f t="shared" si="16"/>
        <v>2.2744737250257226E-3</v>
      </c>
      <c r="T67" s="80">
        <f t="shared" si="17"/>
        <v>-1.098901098901099E-2</v>
      </c>
      <c r="U67" s="81">
        <f t="shared" si="18"/>
        <v>-2.4684000000000001E-2</v>
      </c>
      <c r="V67" s="83">
        <f t="shared" si="19"/>
        <v>0.21920000000000001</v>
      </c>
    </row>
    <row r="68" spans="1:22">
      <c r="A68" s="75">
        <v>57</v>
      </c>
      <c r="B68" s="112" t="s">
        <v>107</v>
      </c>
      <c r="C68" s="113" t="s">
        <v>108</v>
      </c>
      <c r="D68" s="2">
        <v>1172564297.55</v>
      </c>
      <c r="E68" s="3">
        <f t="shared" si="20"/>
        <v>4.102206360240333E-3</v>
      </c>
      <c r="F68" s="7">
        <v>1000</v>
      </c>
      <c r="G68" s="7">
        <v>1000</v>
      </c>
      <c r="H68" s="60">
        <v>279</v>
      </c>
      <c r="I68" s="5">
        <v>3.01450705121682E-4</v>
      </c>
      <c r="J68" s="5">
        <v>0.14480000000000001</v>
      </c>
      <c r="K68" s="2">
        <v>1182681650.3600001</v>
      </c>
      <c r="L68" s="3">
        <f t="shared" si="14"/>
        <v>4.1627646920344473E-3</v>
      </c>
      <c r="M68" s="7">
        <v>1000</v>
      </c>
      <c r="N68" s="7">
        <v>1000</v>
      </c>
      <c r="O68" s="60">
        <v>281</v>
      </c>
      <c r="P68" s="5">
        <v>8.6283991685056597E-5</v>
      </c>
      <c r="Q68" s="5">
        <v>0.14430000000000001</v>
      </c>
      <c r="R68" s="80">
        <f t="shared" si="15"/>
        <v>8.6283991685059489E-3</v>
      </c>
      <c r="S68" s="80">
        <f t="shared" si="16"/>
        <v>0</v>
      </c>
      <c r="T68" s="80">
        <f t="shared" si="17"/>
        <v>7.1684587813620072E-3</v>
      </c>
      <c r="U68" s="81">
        <f t="shared" si="18"/>
        <v>-2.151667134366254E-4</v>
      </c>
      <c r="V68" s="83">
        <f t="shared" si="19"/>
        <v>-5.0000000000000044E-4</v>
      </c>
    </row>
    <row r="69" spans="1:22">
      <c r="A69" s="75">
        <v>58</v>
      </c>
      <c r="B69" s="112" t="s">
        <v>109</v>
      </c>
      <c r="C69" s="113" t="s">
        <v>64</v>
      </c>
      <c r="D69" s="2">
        <v>217230806.38</v>
      </c>
      <c r="E69" s="3">
        <f t="shared" si="20"/>
        <v>7.5998015412384948E-4</v>
      </c>
      <c r="F69" s="7">
        <v>1067.07</v>
      </c>
      <c r="G69" s="7">
        <v>1069.99</v>
      </c>
      <c r="H69" s="60">
        <v>78</v>
      </c>
      <c r="I69" s="5">
        <v>-2.9999999999999997E-4</v>
      </c>
      <c r="J69" s="5">
        <v>9.4000000000000004E-3</v>
      </c>
      <c r="K69" s="2">
        <v>215497896.24000001</v>
      </c>
      <c r="L69" s="3">
        <f t="shared" si="14"/>
        <v>7.5850253819572983E-4</v>
      </c>
      <c r="M69" s="7">
        <v>1058.56</v>
      </c>
      <c r="N69" s="7">
        <v>1062.0999999999999</v>
      </c>
      <c r="O69" s="60">
        <v>78</v>
      </c>
      <c r="P69" s="5">
        <v>-7.7000000000000002E-3</v>
      </c>
      <c r="Q69" s="5">
        <v>1.6999999999999999E-3</v>
      </c>
      <c r="R69" s="80">
        <f t="shared" si="15"/>
        <v>-7.9772761924412367E-3</v>
      </c>
      <c r="S69" s="80">
        <f t="shared" si="16"/>
        <v>-7.3739006906607535E-3</v>
      </c>
      <c r="T69" s="80">
        <f t="shared" si="17"/>
        <v>0</v>
      </c>
      <c r="U69" s="81">
        <f t="shared" si="18"/>
        <v>-7.4000000000000003E-3</v>
      </c>
      <c r="V69" s="83">
        <f t="shared" si="19"/>
        <v>-7.7000000000000002E-3</v>
      </c>
    </row>
    <row r="70" spans="1:22">
      <c r="A70" s="75">
        <v>59</v>
      </c>
      <c r="B70" s="112" t="s">
        <v>110</v>
      </c>
      <c r="C70" s="113" t="s">
        <v>67</v>
      </c>
      <c r="D70" s="2">
        <v>755525943.62</v>
      </c>
      <c r="E70" s="3">
        <f t="shared" si="20"/>
        <v>2.6432011768739556E-3</v>
      </c>
      <c r="F70" s="15">
        <v>1.1129</v>
      </c>
      <c r="G70" s="15">
        <v>1.1129</v>
      </c>
      <c r="H70" s="60">
        <v>36</v>
      </c>
      <c r="I70" s="5">
        <v>-8.0804453223190964E-4</v>
      </c>
      <c r="J70" s="5">
        <v>2.5142674332910175E-2</v>
      </c>
      <c r="K70" s="2">
        <v>751117728.40999997</v>
      </c>
      <c r="L70" s="3">
        <f t="shared" si="14"/>
        <v>2.6437599318755922E-3</v>
      </c>
      <c r="M70" s="15">
        <v>1.1061000000000001</v>
      </c>
      <c r="N70" s="15">
        <v>1.1061000000000001</v>
      </c>
      <c r="O70" s="60">
        <v>36</v>
      </c>
      <c r="P70" s="5">
        <v>-6.1101626381525002E-3</v>
      </c>
      <c r="Q70" s="5">
        <v>2.3203936626565724E-3</v>
      </c>
      <c r="R70" s="80">
        <f t="shared" si="15"/>
        <v>-5.8346311562494776E-3</v>
      </c>
      <c r="S70" s="80">
        <f t="shared" si="16"/>
        <v>-6.1101626381525002E-3</v>
      </c>
      <c r="T70" s="80">
        <f t="shared" si="17"/>
        <v>0</v>
      </c>
      <c r="U70" s="81">
        <f t="shared" si="18"/>
        <v>-5.3021181059205906E-3</v>
      </c>
      <c r="V70" s="83">
        <f t="shared" si="19"/>
        <v>-2.2822280670253603E-2</v>
      </c>
    </row>
    <row r="71" spans="1:22">
      <c r="A71" s="75">
        <v>60</v>
      </c>
      <c r="B71" s="112" t="s">
        <v>111</v>
      </c>
      <c r="C71" s="113" t="s">
        <v>27</v>
      </c>
      <c r="D71" s="2">
        <v>65229835809.669998</v>
      </c>
      <c r="E71" s="3">
        <f t="shared" si="20"/>
        <v>0.2282060334729325</v>
      </c>
      <c r="F71" s="15">
        <v>1563.64</v>
      </c>
      <c r="G71" s="2">
        <v>1563.64</v>
      </c>
      <c r="H71" s="60">
        <v>2461</v>
      </c>
      <c r="I71" s="5">
        <v>2.2000000000000001E-3</v>
      </c>
      <c r="J71" s="5">
        <v>0.11940000000000001</v>
      </c>
      <c r="K71" s="2">
        <v>63579845889.629997</v>
      </c>
      <c r="L71" s="3">
        <f t="shared" si="14"/>
        <v>0.22378628899313702</v>
      </c>
      <c r="M71" s="15">
        <v>1567.09</v>
      </c>
      <c r="N71" s="2">
        <v>1567.09</v>
      </c>
      <c r="O71" s="60">
        <v>2461</v>
      </c>
      <c r="P71" s="5">
        <v>2.2000000000000001E-3</v>
      </c>
      <c r="Q71" s="5">
        <v>0.1192</v>
      </c>
      <c r="R71" s="80">
        <f t="shared" si="15"/>
        <v>-2.5295018752682467E-2</v>
      </c>
      <c r="S71" s="80">
        <f t="shared" si="16"/>
        <v>2.2063902176970517E-3</v>
      </c>
      <c r="T71" s="80">
        <f t="shared" si="17"/>
        <v>0</v>
      </c>
      <c r="U71" s="81">
        <f t="shared" si="18"/>
        <v>0</v>
      </c>
      <c r="V71" s="83">
        <f t="shared" si="19"/>
        <v>-2.0000000000000573E-4</v>
      </c>
    </row>
    <row r="72" spans="1:22">
      <c r="A72" s="75">
        <v>61</v>
      </c>
      <c r="B72" s="112" t="s">
        <v>112</v>
      </c>
      <c r="C72" s="113" t="s">
        <v>72</v>
      </c>
      <c r="D72" s="2">
        <v>25314320.23</v>
      </c>
      <c r="E72" s="3">
        <f t="shared" si="20"/>
        <v>8.8561937003918054E-5</v>
      </c>
      <c r="F72" s="2">
        <v>0.77110000000000001</v>
      </c>
      <c r="G72" s="2">
        <v>0.77110000000000001</v>
      </c>
      <c r="H72" s="60">
        <v>747</v>
      </c>
      <c r="I72" s="5">
        <v>1.8E-3</v>
      </c>
      <c r="J72" s="5">
        <v>8.8000000000000005E-3</v>
      </c>
      <c r="K72" s="2">
        <v>25361022.949999999</v>
      </c>
      <c r="L72" s="3">
        <f t="shared" si="14"/>
        <v>8.9264909841122424E-5</v>
      </c>
      <c r="M72" s="2">
        <v>0.77259999999999995</v>
      </c>
      <c r="N72" s="2">
        <v>0.77259999999999995</v>
      </c>
      <c r="O72" s="60">
        <v>747</v>
      </c>
      <c r="P72" s="5">
        <v>1.9E-3</v>
      </c>
      <c r="Q72" s="5">
        <v>1.0699999999999999E-2</v>
      </c>
      <c r="R72" s="80">
        <f t="shared" si="15"/>
        <v>1.8449130601046681E-3</v>
      </c>
      <c r="S72" s="80">
        <f t="shared" si="16"/>
        <v>1.9452729866423885E-3</v>
      </c>
      <c r="T72" s="80">
        <f t="shared" si="17"/>
        <v>0</v>
      </c>
      <c r="U72" s="81">
        <f t="shared" si="18"/>
        <v>1.0000000000000005E-4</v>
      </c>
      <c r="V72" s="83">
        <f t="shared" si="19"/>
        <v>1.8999999999999989E-3</v>
      </c>
    </row>
    <row r="73" spans="1:22">
      <c r="A73" s="75">
        <v>62</v>
      </c>
      <c r="B73" s="112" t="s">
        <v>251</v>
      </c>
      <c r="C73" s="113" t="s">
        <v>32</v>
      </c>
      <c r="D73" s="2">
        <v>8775542823.5627995</v>
      </c>
      <c r="E73" s="3">
        <f t="shared" si="20"/>
        <v>3.0701162964451991E-2</v>
      </c>
      <c r="F73" s="14">
        <v>1</v>
      </c>
      <c r="G73" s="14">
        <v>1</v>
      </c>
      <c r="H73" s="60">
        <v>5532</v>
      </c>
      <c r="I73" s="5">
        <v>0.06</v>
      </c>
      <c r="J73" s="5">
        <v>0.06</v>
      </c>
      <c r="K73" s="2">
        <v>8778652121.0195999</v>
      </c>
      <c r="L73" s="3">
        <f t="shared" si="14"/>
        <v>3.0898816331436377E-2</v>
      </c>
      <c r="M73" s="14">
        <v>1</v>
      </c>
      <c r="N73" s="14">
        <v>1</v>
      </c>
      <c r="O73" s="60">
        <v>5533</v>
      </c>
      <c r="P73" s="5">
        <v>0.06</v>
      </c>
      <c r="Q73" s="5">
        <v>0.06</v>
      </c>
      <c r="R73" s="80">
        <f>((K73-D73)/D73)</f>
        <v>3.543139745671153E-4</v>
      </c>
      <c r="S73" s="80">
        <f>((N73-G73)/G73)</f>
        <v>0</v>
      </c>
      <c r="T73" s="80">
        <f>((O73-H73)/H73)</f>
        <v>1.8076644974692697E-4</v>
      </c>
      <c r="U73" s="81">
        <f>P73-I73</f>
        <v>0</v>
      </c>
      <c r="V73" s="83">
        <f>Q73-J73</f>
        <v>0</v>
      </c>
    </row>
    <row r="74" spans="1:22">
      <c r="A74" s="75">
        <v>63</v>
      </c>
      <c r="B74" s="112" t="s">
        <v>113</v>
      </c>
      <c r="C74" s="113" t="s">
        <v>114</v>
      </c>
      <c r="D74" s="2">
        <v>1048776420.88</v>
      </c>
      <c r="E74" s="3">
        <f t="shared" si="20"/>
        <v>3.6691355119658773E-3</v>
      </c>
      <c r="F74" s="2">
        <v>213.729007</v>
      </c>
      <c r="G74" s="2">
        <v>215.91165000000001</v>
      </c>
      <c r="H74" s="60">
        <v>488</v>
      </c>
      <c r="I74" s="5">
        <v>2.8E-3</v>
      </c>
      <c r="J74" s="5">
        <v>-5.4999999999999997E-3</v>
      </c>
      <c r="K74" s="2">
        <v>1051003929.24</v>
      </c>
      <c r="L74" s="3">
        <f t="shared" si="14"/>
        <v>3.6992897002316705E-3</v>
      </c>
      <c r="M74" s="2">
        <v>214.06288599999999</v>
      </c>
      <c r="N74" s="2">
        <v>216.323094</v>
      </c>
      <c r="O74" s="60">
        <v>488</v>
      </c>
      <c r="P74" s="5">
        <v>8.0000000000000004E-4</v>
      </c>
      <c r="Q74" s="5">
        <v>8.0000000000000004E-4</v>
      </c>
      <c r="R74" s="80">
        <f t="shared" si="15"/>
        <v>2.1239115560311435E-3</v>
      </c>
      <c r="S74" s="80">
        <f t="shared" si="16"/>
        <v>1.9056127818947648E-3</v>
      </c>
      <c r="T74" s="80">
        <f t="shared" si="17"/>
        <v>0</v>
      </c>
      <c r="U74" s="81">
        <f t="shared" si="18"/>
        <v>-2E-3</v>
      </c>
      <c r="V74" s="83">
        <f t="shared" si="19"/>
        <v>6.3E-3</v>
      </c>
    </row>
    <row r="75" spans="1:22">
      <c r="A75" s="75">
        <v>64</v>
      </c>
      <c r="B75" s="112" t="s">
        <v>115</v>
      </c>
      <c r="C75" s="113" t="s">
        <v>34</v>
      </c>
      <c r="D75" s="2">
        <v>1217986545.1800001</v>
      </c>
      <c r="E75" s="3">
        <f t="shared" si="20"/>
        <v>4.2611157126003921E-3</v>
      </c>
      <c r="F75" s="14">
        <v>3.59</v>
      </c>
      <c r="G75" s="14">
        <v>3.59</v>
      </c>
      <c r="H75" s="61">
        <v>778</v>
      </c>
      <c r="I75" s="12">
        <v>1.1000000000000001E-3</v>
      </c>
      <c r="J75" s="12">
        <v>4.02E-2</v>
      </c>
      <c r="K75" s="2">
        <v>1217941538.8199999</v>
      </c>
      <c r="L75" s="3">
        <f t="shared" si="14"/>
        <v>4.2868713091293188E-3</v>
      </c>
      <c r="M75" s="14">
        <v>0.02</v>
      </c>
      <c r="N75" s="14">
        <v>0.02</v>
      </c>
      <c r="O75" s="61">
        <v>776</v>
      </c>
      <c r="P75" s="12">
        <v>-0.99319999999999997</v>
      </c>
      <c r="Q75" s="12">
        <v>-9.0870999999999995</v>
      </c>
      <c r="R75" s="80">
        <f t="shared" si="15"/>
        <v>-3.6951442672531537E-5</v>
      </c>
      <c r="S75" s="80">
        <f t="shared" si="16"/>
        <v>-0.99442896935933145</v>
      </c>
      <c r="T75" s="80">
        <f t="shared" si="17"/>
        <v>-2.5706940874035988E-3</v>
      </c>
      <c r="U75" s="81">
        <f t="shared" si="18"/>
        <v>-0.99429999999999996</v>
      </c>
      <c r="V75" s="83">
        <f t="shared" si="19"/>
        <v>-9.1273</v>
      </c>
    </row>
    <row r="76" spans="1:22">
      <c r="A76" s="75" t="s">
        <v>259</v>
      </c>
      <c r="B76" s="113" t="s">
        <v>116</v>
      </c>
      <c r="C76" s="136" t="s">
        <v>40</v>
      </c>
      <c r="D76" s="2">
        <v>1700047347.3199999</v>
      </c>
      <c r="E76" s="3">
        <f t="shared" si="20"/>
        <v>5.947601385661693E-3</v>
      </c>
      <c r="F76" s="14">
        <v>99.43</v>
      </c>
      <c r="G76" s="14">
        <v>99.43</v>
      </c>
      <c r="H76" s="60">
        <v>180</v>
      </c>
      <c r="I76" s="5">
        <v>2E-3</v>
      </c>
      <c r="J76" s="5">
        <v>9.4000000000000004E-3</v>
      </c>
      <c r="K76" s="2">
        <v>1764059849.55</v>
      </c>
      <c r="L76" s="3">
        <f t="shared" si="14"/>
        <v>6.209080908718816E-3</v>
      </c>
      <c r="M76" s="14">
        <v>99.61</v>
      </c>
      <c r="N76" s="14">
        <v>99.61</v>
      </c>
      <c r="O76" s="60">
        <v>180</v>
      </c>
      <c r="P76" s="5">
        <v>1.9E-3</v>
      </c>
      <c r="Q76" s="5">
        <v>1.04E-2</v>
      </c>
      <c r="R76" s="80">
        <f t="shared" si="15"/>
        <v>3.7653364378886882E-2</v>
      </c>
      <c r="S76" s="80">
        <f t="shared" si="16"/>
        <v>1.8103188172582984E-3</v>
      </c>
      <c r="T76" s="80">
        <f t="shared" si="17"/>
        <v>0</v>
      </c>
      <c r="U76" s="81">
        <f t="shared" si="18"/>
        <v>-1.0000000000000005E-4</v>
      </c>
      <c r="V76" s="83">
        <f t="shared" si="19"/>
        <v>9.9999999999999915E-4</v>
      </c>
    </row>
    <row r="77" spans="1:22">
      <c r="A77" s="75">
        <v>66</v>
      </c>
      <c r="B77" s="112" t="s">
        <v>117</v>
      </c>
      <c r="C77" s="113" t="s">
        <v>17</v>
      </c>
      <c r="D77" s="2">
        <v>1219442645.79</v>
      </c>
      <c r="E77" s="3">
        <f t="shared" si="20"/>
        <v>4.2662098683716124E-3</v>
      </c>
      <c r="F77" s="14">
        <v>330.07760000000002</v>
      </c>
      <c r="G77" s="14">
        <v>330.07760000000002</v>
      </c>
      <c r="H77" s="60">
        <v>103</v>
      </c>
      <c r="I77" s="5">
        <v>-4.7999999999999996E-3</v>
      </c>
      <c r="J77" s="5">
        <v>1.0200000000000001E-2</v>
      </c>
      <c r="K77" s="2">
        <v>1219272078.6400001</v>
      </c>
      <c r="L77" s="3">
        <f t="shared" si="14"/>
        <v>4.2915545002334991E-3</v>
      </c>
      <c r="M77" s="14">
        <v>330.7602</v>
      </c>
      <c r="N77" s="14">
        <v>330.7602</v>
      </c>
      <c r="O77" s="60">
        <v>104</v>
      </c>
      <c r="P77" s="5">
        <v>2.0999999999999999E-3</v>
      </c>
      <c r="Q77" s="5">
        <v>1.2200000000000001E-2</v>
      </c>
      <c r="R77" s="80">
        <f t="shared" si="15"/>
        <v>-1.3987304002260577E-4</v>
      </c>
      <c r="S77" s="80">
        <f t="shared" si="16"/>
        <v>2.0679985554911311E-3</v>
      </c>
      <c r="T77" s="80">
        <f t="shared" si="17"/>
        <v>9.7087378640776691E-3</v>
      </c>
      <c r="U77" s="81">
        <f t="shared" si="18"/>
        <v>6.8999999999999999E-3</v>
      </c>
      <c r="V77" s="83">
        <f t="shared" si="19"/>
        <v>2E-3</v>
      </c>
    </row>
    <row r="78" spans="1:22">
      <c r="A78" s="75">
        <v>67</v>
      </c>
      <c r="B78" s="112" t="s">
        <v>252</v>
      </c>
      <c r="C78" s="113" t="s">
        <v>78</v>
      </c>
      <c r="D78" s="9">
        <v>1415199439.74</v>
      </c>
      <c r="E78" s="3">
        <f>(D78/$K$55)</f>
        <v>1.4650791762074462E-3</v>
      </c>
      <c r="F78" s="14">
        <v>101.37</v>
      </c>
      <c r="G78" s="14">
        <v>101.37</v>
      </c>
      <c r="H78" s="60">
        <v>277</v>
      </c>
      <c r="I78" s="5">
        <v>2.5000000000000001E-3</v>
      </c>
      <c r="J78" s="5">
        <v>1.1299999999999999E-2</v>
      </c>
      <c r="K78" s="9">
        <v>1445610680.5599999</v>
      </c>
      <c r="L78" s="3">
        <f>(K78/$K$55)</f>
        <v>1.4965622833914042E-3</v>
      </c>
      <c r="M78" s="14">
        <v>101.63</v>
      </c>
      <c r="N78" s="14">
        <v>101.63</v>
      </c>
      <c r="O78" s="60">
        <v>285</v>
      </c>
      <c r="P78" s="5">
        <v>2.5000000000000001E-3</v>
      </c>
      <c r="Q78" s="5">
        <v>1.1999999999999999E-3</v>
      </c>
      <c r="R78" s="80">
        <f t="shared" si="15"/>
        <v>2.148901417427573E-2</v>
      </c>
      <c r="S78" s="80">
        <f t="shared" si="16"/>
        <v>2.5648613988358579E-3</v>
      </c>
      <c r="T78" s="80">
        <f t="shared" si="17"/>
        <v>2.8880866425992781E-2</v>
      </c>
      <c r="U78" s="81">
        <f t="shared" si="18"/>
        <v>0</v>
      </c>
      <c r="V78" s="83">
        <f t="shared" si="19"/>
        <v>-1.01E-2</v>
      </c>
    </row>
    <row r="79" spans="1:22">
      <c r="A79" s="75">
        <v>68</v>
      </c>
      <c r="B79" s="112" t="s">
        <v>118</v>
      </c>
      <c r="C79" s="113" t="s">
        <v>38</v>
      </c>
      <c r="D79" s="2">
        <v>56094120.899999999</v>
      </c>
      <c r="E79" s="3">
        <f t="shared" ref="E79:E89" si="21">(D79/$D$90)</f>
        <v>1.962448114861334E-4</v>
      </c>
      <c r="F79" s="14">
        <v>12.235571</v>
      </c>
      <c r="G79" s="2">
        <v>12.496561</v>
      </c>
      <c r="H79" s="60">
        <v>55</v>
      </c>
      <c r="I79" s="5">
        <v>1.8E-3</v>
      </c>
      <c r="J79" s="5">
        <v>2.53E-2</v>
      </c>
      <c r="K79" s="2">
        <v>56066107.600000001</v>
      </c>
      <c r="L79" s="3">
        <f t="shared" ref="L79:L89" si="22">(K79/$K$90)</f>
        <v>1.9733967552979439E-4</v>
      </c>
      <c r="M79" s="14">
        <v>12.229996999999999</v>
      </c>
      <c r="N79" s="2">
        <v>12.499774</v>
      </c>
      <c r="O79" s="60">
        <v>56</v>
      </c>
      <c r="P79" s="5">
        <v>-1E-4</v>
      </c>
      <c r="Q79" s="5">
        <v>2.4420000000000002</v>
      </c>
      <c r="R79" s="80">
        <f t="shared" si="15"/>
        <v>-4.9939814637503337E-4</v>
      </c>
      <c r="S79" s="80">
        <f t="shared" si="16"/>
        <v>2.5711073630581857E-4</v>
      </c>
      <c r="T79" s="80">
        <f t="shared" si="17"/>
        <v>1.8181818181818181E-2</v>
      </c>
      <c r="U79" s="81">
        <f t="shared" si="18"/>
        <v>-1.9E-3</v>
      </c>
      <c r="V79" s="83">
        <f t="shared" si="19"/>
        <v>2.4167000000000001</v>
      </c>
    </row>
    <row r="80" spans="1:22">
      <c r="A80" s="75">
        <v>69</v>
      </c>
      <c r="B80" s="112" t="s">
        <v>236</v>
      </c>
      <c r="C80" s="113" t="s">
        <v>237</v>
      </c>
      <c r="D80" s="2">
        <v>259698407.33000001</v>
      </c>
      <c r="E80" s="3">
        <f t="shared" si="21"/>
        <v>9.0855269985566243E-4</v>
      </c>
      <c r="F80" s="2">
        <v>115.05</v>
      </c>
      <c r="G80" s="2">
        <v>115.05</v>
      </c>
      <c r="H80" s="60">
        <v>77</v>
      </c>
      <c r="I80" s="5">
        <v>7.5899999999999995E-2</v>
      </c>
      <c r="J80" s="5">
        <v>0.36959999999999998</v>
      </c>
      <c r="K80" s="2">
        <v>264210529.18000001</v>
      </c>
      <c r="L80" s="3">
        <f t="shared" si="22"/>
        <v>9.2995969101190954E-4</v>
      </c>
      <c r="M80" s="2">
        <v>115.3</v>
      </c>
      <c r="N80" s="2">
        <v>115.3</v>
      </c>
      <c r="O80" s="60">
        <v>77</v>
      </c>
      <c r="P80" s="5">
        <v>0.1211</v>
      </c>
      <c r="Q80" s="5">
        <v>0.32250000000000001</v>
      </c>
      <c r="R80" s="80">
        <f>((K80-D80)/D80)</f>
        <v>1.7374468701559724E-2</v>
      </c>
      <c r="S80" s="80">
        <f>((N80-G80)/G80)</f>
        <v>2.1729682746631901E-3</v>
      </c>
      <c r="T80" s="80">
        <f>((O80-H80)/H80)</f>
        <v>0</v>
      </c>
      <c r="U80" s="81">
        <f t="shared" si="18"/>
        <v>4.5200000000000004E-2</v>
      </c>
      <c r="V80" s="83">
        <f t="shared" si="19"/>
        <v>-4.7099999999999975E-2</v>
      </c>
    </row>
    <row r="81" spans="1:28">
      <c r="A81" s="75">
        <v>70</v>
      </c>
      <c r="B81" s="112" t="s">
        <v>119</v>
      </c>
      <c r="C81" s="113" t="s">
        <v>120</v>
      </c>
      <c r="D81" s="2">
        <v>7013249242.0799999</v>
      </c>
      <c r="E81" s="3">
        <f t="shared" si="21"/>
        <v>2.4535793650654353E-2</v>
      </c>
      <c r="F81" s="14">
        <v>1.01</v>
      </c>
      <c r="G81" s="14">
        <v>1.01</v>
      </c>
      <c r="H81" s="60">
        <v>3868</v>
      </c>
      <c r="I81" s="5">
        <v>0</v>
      </c>
      <c r="J81" s="5">
        <v>0.1103</v>
      </c>
      <c r="K81" s="2">
        <v>7141759597.5100002</v>
      </c>
      <c r="L81" s="3">
        <f t="shared" si="22"/>
        <v>2.5137334871529738E-2</v>
      </c>
      <c r="M81" s="14">
        <v>1.01</v>
      </c>
      <c r="N81" s="14">
        <v>1.01</v>
      </c>
      <c r="O81" s="60">
        <v>3902</v>
      </c>
      <c r="P81" s="5">
        <v>0</v>
      </c>
      <c r="Q81" s="5">
        <v>0.11020000000000001</v>
      </c>
      <c r="R81" s="80">
        <f t="shared" si="15"/>
        <v>1.8323939588362113E-2</v>
      </c>
      <c r="S81" s="80">
        <f t="shared" si="16"/>
        <v>0</v>
      </c>
      <c r="T81" s="80">
        <f t="shared" si="17"/>
        <v>8.790072388831437E-3</v>
      </c>
      <c r="U81" s="81">
        <f t="shared" si="18"/>
        <v>0</v>
      </c>
      <c r="V81" s="83">
        <f t="shared" si="19"/>
        <v>-9.9999999999988987E-5</v>
      </c>
    </row>
    <row r="82" spans="1:28" ht="14.25" customHeight="1">
      <c r="A82" s="75">
        <v>71</v>
      </c>
      <c r="B82" s="112" t="s">
        <v>121</v>
      </c>
      <c r="C82" s="113" t="s">
        <v>42</v>
      </c>
      <c r="D82" s="2">
        <v>22690313382.689999</v>
      </c>
      <c r="E82" s="3">
        <f t="shared" si="21"/>
        <v>7.9381871057137621E-2</v>
      </c>
      <c r="F82" s="2">
        <v>5056.13</v>
      </c>
      <c r="G82" s="2">
        <v>5056.13</v>
      </c>
      <c r="H82" s="60">
        <v>1137</v>
      </c>
      <c r="I82" s="5">
        <v>2.0999999999999999E-3</v>
      </c>
      <c r="J82" s="5">
        <v>8.8999999999999999E-3</v>
      </c>
      <c r="K82" s="2">
        <v>22709261682.48</v>
      </c>
      <c r="L82" s="3">
        <f t="shared" si="22"/>
        <v>7.9931326139391135E-2</v>
      </c>
      <c r="M82" s="2">
        <v>5065.76</v>
      </c>
      <c r="N82" s="2">
        <v>5065.76</v>
      </c>
      <c r="O82" s="60">
        <v>426</v>
      </c>
      <c r="P82" s="5">
        <v>1.9E-3</v>
      </c>
      <c r="Q82" s="5">
        <v>1.0800000000000001E-2</v>
      </c>
      <c r="R82" s="80">
        <f t="shared" si="15"/>
        <v>8.3508321240094495E-4</v>
      </c>
      <c r="S82" s="80">
        <f t="shared" si="16"/>
        <v>1.9046187499134929E-3</v>
      </c>
      <c r="T82" s="80">
        <f t="shared" si="17"/>
        <v>-0.62532981530343013</v>
      </c>
      <c r="U82" s="81">
        <f t="shared" si="18"/>
        <v>-1.9999999999999987E-4</v>
      </c>
      <c r="V82" s="83">
        <f t="shared" si="19"/>
        <v>1.9000000000000006E-3</v>
      </c>
    </row>
    <row r="83" spans="1:28">
      <c r="A83" s="75">
        <v>72</v>
      </c>
      <c r="B83" s="112" t="s">
        <v>122</v>
      </c>
      <c r="C83" s="113" t="s">
        <v>42</v>
      </c>
      <c r="D83" s="2">
        <v>35764860184.800003</v>
      </c>
      <c r="E83" s="3">
        <f t="shared" si="21"/>
        <v>0.12512306338317167</v>
      </c>
      <c r="F83" s="14">
        <v>256.89999999999998</v>
      </c>
      <c r="G83" s="14">
        <v>256.89999999999998</v>
      </c>
      <c r="H83" s="60">
        <v>11793</v>
      </c>
      <c r="I83" s="5">
        <v>8.9999999999999998E-4</v>
      </c>
      <c r="J83" s="5">
        <v>4.3E-3</v>
      </c>
      <c r="K83" s="2">
        <v>35812043972.169998</v>
      </c>
      <c r="L83" s="3">
        <f t="shared" si="22"/>
        <v>0.12605007624118991</v>
      </c>
      <c r="M83" s="14">
        <v>257.20999999999998</v>
      </c>
      <c r="N83" s="14">
        <v>257.20999999999998</v>
      </c>
      <c r="O83" s="60">
        <v>6665</v>
      </c>
      <c r="P83" s="5">
        <v>1.1999999999999999E-3</v>
      </c>
      <c r="Q83" s="5">
        <v>5.4999999999999997E-3</v>
      </c>
      <c r="R83" s="80">
        <f t="shared" si="15"/>
        <v>1.3192778365745754E-3</v>
      </c>
      <c r="S83" s="80">
        <f t="shared" si="16"/>
        <v>1.2066952121448124E-3</v>
      </c>
      <c r="T83" s="80">
        <f t="shared" si="17"/>
        <v>-0.43483422369202068</v>
      </c>
      <c r="U83" s="81">
        <f t="shared" si="18"/>
        <v>2.9999999999999992E-4</v>
      </c>
      <c r="V83" s="83">
        <f t="shared" si="19"/>
        <v>1.1999999999999997E-3</v>
      </c>
    </row>
    <row r="84" spans="1:28" ht="12.75" customHeight="1">
      <c r="A84" s="75">
        <v>73</v>
      </c>
      <c r="B84" s="112" t="s">
        <v>123</v>
      </c>
      <c r="C84" s="113" t="s">
        <v>42</v>
      </c>
      <c r="D84" s="2">
        <v>326306674.02999997</v>
      </c>
      <c r="E84" s="3">
        <f t="shared" si="21"/>
        <v>1.1415811622369953E-3</v>
      </c>
      <c r="F84" s="2">
        <v>5769.75</v>
      </c>
      <c r="G84" s="7">
        <v>5800.47</v>
      </c>
      <c r="H84" s="60">
        <v>1132</v>
      </c>
      <c r="I84" s="5">
        <v>-1E-3</v>
      </c>
      <c r="J84" s="5">
        <v>9.2600000000000002E-2</v>
      </c>
      <c r="K84" s="2">
        <v>319501380.17000002</v>
      </c>
      <c r="L84" s="3">
        <f t="shared" si="22"/>
        <v>1.1245706433536914E-3</v>
      </c>
      <c r="M84" s="2">
        <v>5650.36</v>
      </c>
      <c r="N84" s="7">
        <v>5678.85</v>
      </c>
      <c r="O84" s="60">
        <v>16</v>
      </c>
      <c r="P84" s="5">
        <v>-2.1000000000000001E-2</v>
      </c>
      <c r="Q84" s="5">
        <v>6.9699999999999998E-2</v>
      </c>
      <c r="R84" s="80">
        <f t="shared" si="15"/>
        <v>-2.0855515383587556E-2</v>
      </c>
      <c r="S84" s="80">
        <f t="shared" si="16"/>
        <v>-2.0967266445650074E-2</v>
      </c>
      <c r="T84" s="80">
        <f t="shared" si="17"/>
        <v>-0.98586572438162545</v>
      </c>
      <c r="U84" s="81">
        <f t="shared" si="18"/>
        <v>-0.02</v>
      </c>
      <c r="V84" s="83">
        <f t="shared" si="19"/>
        <v>-2.2900000000000004E-2</v>
      </c>
    </row>
    <row r="85" spans="1:28" ht="12.75" customHeight="1">
      <c r="A85" s="75">
        <v>74</v>
      </c>
      <c r="B85" s="112" t="s">
        <v>124</v>
      </c>
      <c r="C85" s="113" t="s">
        <v>42</v>
      </c>
      <c r="D85" s="2">
        <v>17298177701.07</v>
      </c>
      <c r="E85" s="3">
        <f t="shared" si="21"/>
        <v>6.0517529600862659E-2</v>
      </c>
      <c r="F85" s="14">
        <v>127.05</v>
      </c>
      <c r="G85" s="14">
        <v>127.05</v>
      </c>
      <c r="H85" s="60">
        <v>5823</v>
      </c>
      <c r="I85" s="5">
        <v>1.9E-3</v>
      </c>
      <c r="J85" s="5">
        <v>8.9999999999999993E-3</v>
      </c>
      <c r="K85" s="2">
        <v>17111366217.83</v>
      </c>
      <c r="L85" s="3">
        <f t="shared" si="22"/>
        <v>6.0228034401625864E-2</v>
      </c>
      <c r="M85" s="14">
        <v>127.31</v>
      </c>
      <c r="N85" s="14">
        <v>127.31</v>
      </c>
      <c r="O85" s="60">
        <v>4283</v>
      </c>
      <c r="P85" s="5">
        <v>2E-3</v>
      </c>
      <c r="Q85" s="5">
        <v>1.0999999999999999E-2</v>
      </c>
      <c r="R85" s="80">
        <f t="shared" si="15"/>
        <v>-1.0799489198705846E-2</v>
      </c>
      <c r="S85" s="80">
        <f t="shared" si="16"/>
        <v>2.0464384100748142E-3</v>
      </c>
      <c r="T85" s="80">
        <f t="shared" si="17"/>
        <v>-0.2644684870341748</v>
      </c>
      <c r="U85" s="81">
        <f t="shared" si="18"/>
        <v>1.0000000000000005E-4</v>
      </c>
      <c r="V85" s="83">
        <f t="shared" si="19"/>
        <v>2E-3</v>
      </c>
    </row>
    <row r="86" spans="1:28" ht="12.75" customHeight="1">
      <c r="A86" s="75">
        <v>75</v>
      </c>
      <c r="B86" s="112" t="s">
        <v>125</v>
      </c>
      <c r="C86" s="113" t="s">
        <v>42</v>
      </c>
      <c r="D86" s="2">
        <v>13933064407</v>
      </c>
      <c r="E86" s="3">
        <f t="shared" si="21"/>
        <v>4.8744708966031239E-2</v>
      </c>
      <c r="F86" s="14">
        <v>355.78</v>
      </c>
      <c r="G86" s="14">
        <v>356.05</v>
      </c>
      <c r="H86" s="60">
        <v>17617</v>
      </c>
      <c r="I86" s="5">
        <v>-5.9999999999999995E-4</v>
      </c>
      <c r="J86" s="5">
        <v>7.6E-3</v>
      </c>
      <c r="K86" s="2">
        <v>13629841273.610001</v>
      </c>
      <c r="L86" s="3">
        <f t="shared" si="22"/>
        <v>4.7973875298180986E-2</v>
      </c>
      <c r="M86" s="14">
        <v>354.58</v>
      </c>
      <c r="N86" s="14">
        <v>354.82</v>
      </c>
      <c r="O86" s="60">
        <v>10254</v>
      </c>
      <c r="P86" s="5">
        <v>-3.5000000000000001E-3</v>
      </c>
      <c r="Q86" s="5">
        <v>4.1999999999999997E-3</v>
      </c>
      <c r="R86" s="80">
        <f t="shared" si="15"/>
        <v>-2.1762845884618135E-2</v>
      </c>
      <c r="S86" s="80">
        <f t="shared" si="16"/>
        <v>-3.454570987220947E-3</v>
      </c>
      <c r="T86" s="80">
        <f t="shared" si="17"/>
        <v>-0.4179485724016575</v>
      </c>
      <c r="U86" s="81">
        <f t="shared" si="18"/>
        <v>-2.9000000000000002E-3</v>
      </c>
      <c r="V86" s="83">
        <f t="shared" si="19"/>
        <v>-3.4000000000000002E-3</v>
      </c>
    </row>
    <row r="87" spans="1:28">
      <c r="A87" s="75">
        <v>76</v>
      </c>
      <c r="B87" s="112" t="s">
        <v>126</v>
      </c>
      <c r="C87" s="113" t="s">
        <v>45</v>
      </c>
      <c r="D87" s="2">
        <v>94624456967.919998</v>
      </c>
      <c r="E87" s="3">
        <f t="shared" si="21"/>
        <v>0.33104286905131269</v>
      </c>
      <c r="F87" s="2">
        <v>1.9633</v>
      </c>
      <c r="G87" s="2">
        <v>1.9633</v>
      </c>
      <c r="H87" s="60">
        <v>6121</v>
      </c>
      <c r="I87" s="5">
        <v>7.7200000000000005E-2</v>
      </c>
      <c r="J87" s="5">
        <v>7.46E-2</v>
      </c>
      <c r="K87" s="2">
        <v>94713796336.850006</v>
      </c>
      <c r="L87" s="3">
        <f t="shared" si="22"/>
        <v>0.33337056266964765</v>
      </c>
      <c r="M87" s="2">
        <v>1.9659</v>
      </c>
      <c r="N87" s="2">
        <v>1.9659</v>
      </c>
      <c r="O87" s="60">
        <v>6122</v>
      </c>
      <c r="P87" s="5">
        <v>7.1400000000000005E-2</v>
      </c>
      <c r="Q87" s="5">
        <v>7.7100000000000002E-2</v>
      </c>
      <c r="R87" s="80">
        <f t="shared" si="15"/>
        <v>9.4414670152660599E-4</v>
      </c>
      <c r="S87" s="80">
        <f t="shared" si="16"/>
        <v>1.3243009219171475E-3</v>
      </c>
      <c r="T87" s="80">
        <f t="shared" si="17"/>
        <v>1.6337199803953602E-4</v>
      </c>
      <c r="U87" s="81">
        <f t="shared" si="18"/>
        <v>-5.7999999999999996E-3</v>
      </c>
      <c r="V87" s="83">
        <f t="shared" si="19"/>
        <v>2.5000000000000022E-3</v>
      </c>
    </row>
    <row r="88" spans="1:28">
      <c r="A88" s="75">
        <v>77</v>
      </c>
      <c r="B88" s="112" t="s">
        <v>241</v>
      </c>
      <c r="C88" s="112" t="s">
        <v>242</v>
      </c>
      <c r="D88" s="2">
        <v>83149486.799999997</v>
      </c>
      <c r="E88" s="3">
        <f t="shared" si="21"/>
        <v>2.9089778216374076E-4</v>
      </c>
      <c r="F88" s="2">
        <v>102.2521</v>
      </c>
      <c r="G88" s="2">
        <v>102.2521</v>
      </c>
      <c r="H88" s="60">
        <v>58</v>
      </c>
      <c r="I88" s="5">
        <v>1.4867589896830149E-3</v>
      </c>
      <c r="J88" s="5">
        <v>6.4284775859846377E-3</v>
      </c>
      <c r="K88" s="2">
        <v>82869749.519999996</v>
      </c>
      <c r="L88" s="3">
        <f t="shared" si="22"/>
        <v>2.9168226904897773E-4</v>
      </c>
      <c r="M88" s="2">
        <v>102.40307707904269</v>
      </c>
      <c r="N88" s="2">
        <v>102.40307707904269</v>
      </c>
      <c r="O88" s="60">
        <v>57</v>
      </c>
      <c r="P88" s="5">
        <v>1.4762547183035425E-3</v>
      </c>
      <c r="Q88" s="5">
        <v>7.9142223746559992E-3</v>
      </c>
      <c r="R88" s="80">
        <f>((K88-D88)/D88)</f>
        <v>-3.3642694713541059E-3</v>
      </c>
      <c r="S88" s="80">
        <f>((N88-G88)/G88)</f>
        <v>1.4765181257176123E-3</v>
      </c>
      <c r="T88" s="80">
        <f>((O88-H88)/H88)</f>
        <v>-1.7241379310344827E-2</v>
      </c>
      <c r="U88" s="81">
        <f>P88-I88</f>
        <v>-1.0504271379472435E-5</v>
      </c>
      <c r="V88" s="83">
        <f>Q88-J88</f>
        <v>1.4857447886713615E-3</v>
      </c>
    </row>
    <row r="89" spans="1:28">
      <c r="A89" s="75">
        <v>78</v>
      </c>
      <c r="B89" s="112" t="s">
        <v>127</v>
      </c>
      <c r="C89" s="113" t="s">
        <v>91</v>
      </c>
      <c r="D89" s="2">
        <v>2563874129.5300002</v>
      </c>
      <c r="E89" s="3">
        <f t="shared" si="21"/>
        <v>8.969692137982847E-3</v>
      </c>
      <c r="F89" s="14">
        <v>25.523</v>
      </c>
      <c r="G89" s="14">
        <v>25.523</v>
      </c>
      <c r="H89" s="60">
        <v>1321</v>
      </c>
      <c r="I89" s="5">
        <v>0</v>
      </c>
      <c r="J89" s="5">
        <v>0.106</v>
      </c>
      <c r="K89" s="2">
        <v>2565871854.4899998</v>
      </c>
      <c r="L89" s="3">
        <f t="shared" si="22"/>
        <v>9.0312729185446135E-3</v>
      </c>
      <c r="M89" s="14">
        <v>25.602900000000002</v>
      </c>
      <c r="N89" s="14">
        <v>25.602900000000002</v>
      </c>
      <c r="O89" s="60">
        <v>1320</v>
      </c>
      <c r="P89" s="5">
        <v>0</v>
      </c>
      <c r="Q89" s="5">
        <v>0.10589999999999999</v>
      </c>
      <c r="R89" s="80">
        <f t="shared" si="15"/>
        <v>7.7918215133508792E-4</v>
      </c>
      <c r="S89" s="80">
        <f t="shared" si="16"/>
        <v>3.1305097363163452E-3</v>
      </c>
      <c r="T89" s="80">
        <f t="shared" si="17"/>
        <v>-7.5700227100681302E-4</v>
      </c>
      <c r="U89" s="81">
        <f t="shared" si="18"/>
        <v>0</v>
      </c>
      <c r="V89" s="83">
        <f t="shared" si="19"/>
        <v>-1.0000000000000286E-4</v>
      </c>
    </row>
    <row r="90" spans="1:28">
      <c r="A90" s="75"/>
      <c r="B90" s="19"/>
      <c r="C90" s="71" t="s">
        <v>46</v>
      </c>
      <c r="D90" s="59">
        <f>SUM(D58:D89)</f>
        <v>285837472467.20758</v>
      </c>
      <c r="E90" s="100">
        <f>(D90/$D$181)</f>
        <v>0.10584382424228959</v>
      </c>
      <c r="F90" s="30"/>
      <c r="G90" s="11"/>
      <c r="H90" s="65">
        <f>SUM(H58:H89)</f>
        <v>65001</v>
      </c>
      <c r="I90" s="12"/>
      <c r="J90" s="12"/>
      <c r="K90" s="59">
        <f>SUM(K58:K89)</f>
        <v>284109657368.59705</v>
      </c>
      <c r="L90" s="100">
        <f>(K90/$K$181)</f>
        <v>0.10435492389069474</v>
      </c>
      <c r="M90" s="30"/>
      <c r="N90" s="11"/>
      <c r="O90" s="65">
        <f>SUM(O58:O89)</f>
        <v>49188</v>
      </c>
      <c r="P90" s="12"/>
      <c r="Q90" s="12"/>
      <c r="R90" s="80">
        <f t="shared" si="15"/>
        <v>-6.0447466306530421E-3</v>
      </c>
      <c r="S90" s="80" t="e">
        <f t="shared" si="16"/>
        <v>#DIV/0!</v>
      </c>
      <c r="T90" s="80">
        <f t="shared" si="17"/>
        <v>-0.24327318041260904</v>
      </c>
      <c r="U90" s="81">
        <f t="shared" si="18"/>
        <v>0</v>
      </c>
      <c r="V90" s="83">
        <f t="shared" si="19"/>
        <v>0</v>
      </c>
    </row>
    <row r="91" spans="1:28" ht="8.25" customHeight="1">
      <c r="A91" s="142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</row>
    <row r="92" spans="1:28" ht="15" customHeight="1">
      <c r="A92" s="149" t="s">
        <v>128</v>
      </c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</row>
    <row r="93" spans="1:28">
      <c r="A93" s="153" t="s">
        <v>230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Z93" s="129"/>
      <c r="AB93" s="103"/>
    </row>
    <row r="94" spans="1:28" ht="16.5" customHeight="1">
      <c r="A94" s="75">
        <v>79</v>
      </c>
      <c r="B94" s="112" t="s">
        <v>129</v>
      </c>
      <c r="C94" s="113" t="s">
        <v>17</v>
      </c>
      <c r="D94" s="2">
        <v>2392915614.8899999</v>
      </c>
      <c r="E94" s="3">
        <f>(D94/$D$118)</f>
        <v>1.9722731892698126E-3</v>
      </c>
      <c r="F94" s="2">
        <f>108.3506*1368.245</f>
        <v>148250.16669699998</v>
      </c>
      <c r="G94" s="2">
        <f>108.3506*1368.245</f>
        <v>148250.16669699998</v>
      </c>
      <c r="H94" s="60">
        <v>229</v>
      </c>
      <c r="I94" s="5">
        <v>8.0000000000000004E-4</v>
      </c>
      <c r="J94" s="5">
        <v>5.7000000000000002E-3</v>
      </c>
      <c r="K94" s="2">
        <v>2554690034.8800001</v>
      </c>
      <c r="L94" s="3">
        <f t="shared" ref="L94:L105" si="23">(K94/$K$118)</f>
        <v>2.0649419887662276E-3</v>
      </c>
      <c r="M94" s="2">
        <f>108.4733*1481.982</f>
        <v>160755.47808059998</v>
      </c>
      <c r="N94" s="2">
        <f>108.4733*1481.982</f>
        <v>160755.47808059998</v>
      </c>
      <c r="O94" s="60">
        <v>235</v>
      </c>
      <c r="P94" s="5">
        <v>1.1000000000000001E-3</v>
      </c>
      <c r="Q94" s="5">
        <v>6.7999999999999996E-3</v>
      </c>
      <c r="R94" s="81">
        <f>((K94-D94)/D94)</f>
        <v>6.760556827969752E-2</v>
      </c>
      <c r="S94" s="81">
        <f>((N94-G94)/G94)</f>
        <v>8.4352764399644065E-2</v>
      </c>
      <c r="T94" s="81">
        <f>((O94-H94)/H94)</f>
        <v>2.6200873362445413E-2</v>
      </c>
      <c r="U94" s="81">
        <f>P94-I94</f>
        <v>3.0000000000000003E-4</v>
      </c>
      <c r="V94" s="83">
        <f>Q94-J94</f>
        <v>1.0999999999999994E-3</v>
      </c>
      <c r="X94" s="129"/>
      <c r="Y94" s="131"/>
      <c r="Z94" s="129"/>
      <c r="AA94" s="104"/>
    </row>
    <row r="95" spans="1:28">
      <c r="A95" s="75">
        <v>80</v>
      </c>
      <c r="B95" s="112" t="s">
        <v>130</v>
      </c>
      <c r="C95" s="113" t="s">
        <v>21</v>
      </c>
      <c r="D95" s="2">
        <f>10896493.44*1367.745</f>
        <v>14903624420.092798</v>
      </c>
      <c r="E95" s="3">
        <f>(D95/$D$118)</f>
        <v>1.2283767419039179E-2</v>
      </c>
      <c r="F95" s="2">
        <f>1.1111*1367.745</f>
        <v>1519.7014694999998</v>
      </c>
      <c r="G95" s="2">
        <f>1.1111*1367.745</f>
        <v>1519.7014694999998</v>
      </c>
      <c r="H95" s="60">
        <v>299</v>
      </c>
      <c r="I95" s="5">
        <v>1.41E-2</v>
      </c>
      <c r="J95" s="5">
        <v>-0.61119999999999997</v>
      </c>
      <c r="K95" s="2">
        <f>10891210.1*1481.482</f>
        <v>16135131721.368198</v>
      </c>
      <c r="L95" s="3">
        <f t="shared" si="23"/>
        <v>1.3041938760015607E-2</v>
      </c>
      <c r="M95" s="2">
        <f>1.1117*1481.482</f>
        <v>1646.9635393999999</v>
      </c>
      <c r="N95" s="2">
        <f>1.1117*1481.482</f>
        <v>1646.9635393999999</v>
      </c>
      <c r="O95" s="60">
        <v>298</v>
      </c>
      <c r="P95" s="5">
        <v>2.8199999999999999E-2</v>
      </c>
      <c r="Q95" s="5">
        <v>-0.49959999999999999</v>
      </c>
      <c r="R95" s="81">
        <f t="shared" ref="R95:R105" si="24">((K95-D95)/D95)</f>
        <v>8.26313966698667E-2</v>
      </c>
      <c r="S95" s="81">
        <f t="shared" ref="S95:S105" si="25">((N95-G95)/G95)</f>
        <v>8.3741492953791047E-2</v>
      </c>
      <c r="T95" s="81">
        <f t="shared" ref="T95:T105" si="26">((O95-H95)/H95)</f>
        <v>-3.3444816053511705E-3</v>
      </c>
      <c r="U95" s="81">
        <f t="shared" ref="U95:U105" si="27">P95-I95</f>
        <v>1.41E-2</v>
      </c>
      <c r="V95" s="83">
        <f t="shared" ref="V95:V105" si="28">Q95-J95</f>
        <v>0.11159999999999998</v>
      </c>
    </row>
    <row r="96" spans="1:28">
      <c r="A96" s="75">
        <v>81</v>
      </c>
      <c r="B96" s="112" t="s">
        <v>243</v>
      </c>
      <c r="C96" s="113" t="s">
        <v>25</v>
      </c>
      <c r="D96" s="2">
        <f>501845.57*1368.245</f>
        <v>686647691.92464995</v>
      </c>
      <c r="E96" s="3">
        <v>0</v>
      </c>
      <c r="F96" s="2">
        <f>1.1061*1368.245</f>
        <v>1513.4157944999999</v>
      </c>
      <c r="G96" s="2">
        <f>1.1061*1368.245</f>
        <v>1513.4157944999999</v>
      </c>
      <c r="H96" s="60">
        <v>25</v>
      </c>
      <c r="I96" s="5">
        <v>9.1000000000000003E-5</v>
      </c>
      <c r="J96" s="5">
        <v>0.1091</v>
      </c>
      <c r="K96" s="2">
        <f>502472.8*1481.982</f>
        <v>744655645.08959997</v>
      </c>
      <c r="L96" s="3">
        <f t="shared" si="23"/>
        <v>6.0190108691191761E-4</v>
      </c>
      <c r="M96" s="2">
        <f>1.1075*1481.982</f>
        <v>1641.2950649999998</v>
      </c>
      <c r="N96" s="2">
        <f>1.1075*1481.982</f>
        <v>1641.2950649999998</v>
      </c>
      <c r="O96" s="60">
        <v>25</v>
      </c>
      <c r="P96" s="5">
        <v>2.7099999999999997E-4</v>
      </c>
      <c r="Q96" s="5">
        <v>0.1096</v>
      </c>
      <c r="R96" s="81">
        <f>((K96-D96)/D96)</f>
        <v>8.4479936140694961E-2</v>
      </c>
      <c r="S96" s="81">
        <f>((N96-G96)/G96)</f>
        <v>8.4497116367315578E-2</v>
      </c>
      <c r="T96" s="81">
        <f>((O96-H96)/H96)</f>
        <v>0</v>
      </c>
      <c r="U96" s="81">
        <f>P96-I96</f>
        <v>1.7999999999999998E-4</v>
      </c>
      <c r="V96" s="83">
        <f t="shared" si="28"/>
        <v>5.0000000000000044E-4</v>
      </c>
    </row>
    <row r="97" spans="1:24">
      <c r="A97" s="75">
        <v>82</v>
      </c>
      <c r="B97" s="112" t="s">
        <v>139</v>
      </c>
      <c r="C97" s="113" t="s">
        <v>64</v>
      </c>
      <c r="D97" s="2">
        <f>372994.37*1368.245</f>
        <v>510347681.78064996</v>
      </c>
      <c r="E97" s="3">
        <f t="shared" ref="E97:E105" si="29">(D97/$D$118)</f>
        <v>4.2063541385192049E-4</v>
      </c>
      <c r="F97" s="2">
        <f>103.86*1368.245</f>
        <v>142105.92569999999</v>
      </c>
      <c r="G97" s="2">
        <f>104.79*1368.245</f>
        <v>143378.39355000001</v>
      </c>
      <c r="H97" s="60">
        <v>38</v>
      </c>
      <c r="I97" s="5">
        <v>1E-3</v>
      </c>
      <c r="J97" s="5">
        <v>1.2999999999999999E-2</v>
      </c>
      <c r="K97" s="2">
        <f>386316.54*1481.982</f>
        <v>572514158.58227992</v>
      </c>
      <c r="L97" s="3">
        <f t="shared" si="23"/>
        <v>4.6276006446130272E-4</v>
      </c>
      <c r="M97" s="2">
        <f>103.98*1481.982</f>
        <v>154096.48835999999</v>
      </c>
      <c r="N97" s="2">
        <f>104.93*1481.982</f>
        <v>155504.37126000001</v>
      </c>
      <c r="O97" s="60">
        <v>40</v>
      </c>
      <c r="P97" s="5">
        <v>1.2999999999999999E-3</v>
      </c>
      <c r="Q97" s="5">
        <v>1.43E-2</v>
      </c>
      <c r="R97" s="81">
        <f>((K97-D97)/D97)</f>
        <v>0.12181200977483705</v>
      </c>
      <c r="S97" s="81">
        <f>((N97-G97)/G97)</f>
        <v>8.4573256888746923E-2</v>
      </c>
      <c r="T97" s="81">
        <f>((O97-H97)/H97)</f>
        <v>5.2631578947368418E-2</v>
      </c>
      <c r="U97" s="81">
        <f>P97-I97</f>
        <v>2.9999999999999992E-4</v>
      </c>
      <c r="V97" s="83">
        <f>Q97-J97</f>
        <v>1.3000000000000008E-3</v>
      </c>
    </row>
    <row r="98" spans="1:24">
      <c r="A98" s="75">
        <v>83</v>
      </c>
      <c r="B98" s="112" t="s">
        <v>131</v>
      </c>
      <c r="C98" s="113" t="s">
        <v>67</v>
      </c>
      <c r="D98" s="2">
        <v>3710732761.6887999</v>
      </c>
      <c r="E98" s="3">
        <f t="shared" si="29"/>
        <v>3.0584357813889635E-3</v>
      </c>
      <c r="F98" s="2">
        <v>147777.43804949999</v>
      </c>
      <c r="G98" s="2">
        <v>147777.43804949999</v>
      </c>
      <c r="H98" s="60">
        <v>46</v>
      </c>
      <c r="I98" s="5">
        <v>1.0287865601548575E-3</v>
      </c>
      <c r="J98" s="5">
        <v>1.9663340153517117E-2</v>
      </c>
      <c r="K98" s="2">
        <v>4082107429.7656202</v>
      </c>
      <c r="L98" s="3">
        <f t="shared" si="23"/>
        <v>3.29954511869913E-3</v>
      </c>
      <c r="M98" s="2">
        <v>160257.2357322</v>
      </c>
      <c r="N98" s="2">
        <v>160257.2357322</v>
      </c>
      <c r="O98" s="60">
        <v>46</v>
      </c>
      <c r="P98" s="5">
        <v>1.2221645088982373E-3</v>
      </c>
      <c r="Q98" s="5">
        <v>2.4258738097681976E-2</v>
      </c>
      <c r="R98" s="81">
        <f t="shared" si="24"/>
        <v>0.10008122166895231</v>
      </c>
      <c r="S98" s="81">
        <f t="shared" si="25"/>
        <v>8.4449952898220756E-2</v>
      </c>
      <c r="T98" s="81">
        <f t="shared" si="26"/>
        <v>0</v>
      </c>
      <c r="U98" s="81">
        <f t="shared" si="27"/>
        <v>1.9337794874337987E-4</v>
      </c>
      <c r="V98" s="83">
        <f t="shared" si="28"/>
        <v>4.5953979441648585E-3</v>
      </c>
      <c r="X98" s="108"/>
    </row>
    <row r="99" spans="1:24">
      <c r="A99" s="75">
        <v>84</v>
      </c>
      <c r="B99" s="112" t="s">
        <v>132</v>
      </c>
      <c r="C99" s="113" t="s">
        <v>27</v>
      </c>
      <c r="D99" s="2">
        <v>40946525883.620003</v>
      </c>
      <c r="E99" s="3">
        <f t="shared" si="29"/>
        <v>3.3748676589967636E-2</v>
      </c>
      <c r="F99" s="2">
        <v>179068.01</v>
      </c>
      <c r="G99" s="2">
        <v>179068.01</v>
      </c>
      <c r="H99" s="60">
        <v>2034</v>
      </c>
      <c r="I99" s="5">
        <v>1.2999999999999999E-3</v>
      </c>
      <c r="J99" s="5">
        <v>7.51E-2</v>
      </c>
      <c r="K99" s="2">
        <v>41928879684.260002</v>
      </c>
      <c r="L99" s="3">
        <f t="shared" si="23"/>
        <v>3.3890884224638484E-2</v>
      </c>
      <c r="M99" s="2">
        <v>183613.95</v>
      </c>
      <c r="N99" s="2">
        <v>183613.95</v>
      </c>
      <c r="O99" s="60">
        <v>2049</v>
      </c>
      <c r="P99" s="5">
        <v>1.4E-3</v>
      </c>
      <c r="Q99" s="5">
        <v>7.4800000000000005E-2</v>
      </c>
      <c r="R99" s="81">
        <f t="shared" si="24"/>
        <v>2.3991139161160781E-2</v>
      </c>
      <c r="S99" s="81">
        <f t="shared" si="25"/>
        <v>2.538666733382474E-2</v>
      </c>
      <c r="T99" s="81">
        <f t="shared" si="26"/>
        <v>7.3746312684365781E-3</v>
      </c>
      <c r="U99" s="81">
        <f t="shared" si="27"/>
        <v>1.0000000000000005E-4</v>
      </c>
      <c r="V99" s="83">
        <f t="shared" si="28"/>
        <v>-2.9999999999999472E-4</v>
      </c>
    </row>
    <row r="100" spans="1:24">
      <c r="A100" s="75">
        <v>85</v>
      </c>
      <c r="B100" s="137" t="s">
        <v>133</v>
      </c>
      <c r="C100" s="137" t="s">
        <v>27</v>
      </c>
      <c r="D100" s="2">
        <v>52754095604.620003</v>
      </c>
      <c r="E100" s="3">
        <f t="shared" si="29"/>
        <v>4.3480634142609061E-2</v>
      </c>
      <c r="F100" s="2">
        <v>161913.43</v>
      </c>
      <c r="G100" s="2">
        <v>161913.43</v>
      </c>
      <c r="H100" s="60">
        <v>278</v>
      </c>
      <c r="I100" s="5">
        <v>1.6999999999999999E-3</v>
      </c>
      <c r="J100" s="5">
        <v>9.2200000000000004E-2</v>
      </c>
      <c r="K100" s="2">
        <v>56142177485.639999</v>
      </c>
      <c r="L100" s="3">
        <f t="shared" si="23"/>
        <v>4.5379415133746166E-2</v>
      </c>
      <c r="M100" s="2">
        <v>166047.81</v>
      </c>
      <c r="N100" s="2">
        <v>166047.81</v>
      </c>
      <c r="O100" s="60">
        <v>284</v>
      </c>
      <c r="P100" s="5">
        <v>1.5E-3</v>
      </c>
      <c r="Q100" s="5">
        <v>9.1600000000000001E-2</v>
      </c>
      <c r="R100" s="81">
        <f t="shared" si="24"/>
        <v>6.4224053927734878E-2</v>
      </c>
      <c r="S100" s="81">
        <f t="shared" si="25"/>
        <v>2.5534509398015996E-2</v>
      </c>
      <c r="T100" s="81">
        <f t="shared" si="26"/>
        <v>2.1582733812949641E-2</v>
      </c>
      <c r="U100" s="81">
        <f t="shared" si="27"/>
        <v>-1.9999999999999987E-4</v>
      </c>
      <c r="V100" s="83">
        <f t="shared" si="28"/>
        <v>-6.0000000000000331E-4</v>
      </c>
    </row>
    <row r="101" spans="1:24">
      <c r="A101" s="75">
        <v>86</v>
      </c>
      <c r="B101" s="112" t="s">
        <v>134</v>
      </c>
      <c r="C101" s="113" t="s">
        <v>31</v>
      </c>
      <c r="D101" s="2">
        <f>108779.6*1368.245</f>
        <v>148837143.80199999</v>
      </c>
      <c r="E101" s="3">
        <f t="shared" si="29"/>
        <v>1.2267357296745892E-4</v>
      </c>
      <c r="F101" s="2">
        <f>115.74*1368.245</f>
        <v>158360.67629999999</v>
      </c>
      <c r="G101" s="2">
        <f>115.74*1368.245</f>
        <v>158360.67629999999</v>
      </c>
      <c r="H101" s="60">
        <v>4</v>
      </c>
      <c r="I101" s="5">
        <v>5.0000000000000001E-3</v>
      </c>
      <c r="J101" s="5">
        <v>8.2000000000000007E-3</v>
      </c>
      <c r="K101" s="2">
        <f>115812.39*1481.982</f>
        <v>171631877.35698</v>
      </c>
      <c r="L101" s="3">
        <f t="shared" si="23"/>
        <v>1.3872910816041566E-4</v>
      </c>
      <c r="M101" s="2">
        <f>115.74*1481.982</f>
        <v>171524.59667999999</v>
      </c>
      <c r="N101" s="2">
        <f>115.74*1481.982</f>
        <v>171524.59667999999</v>
      </c>
      <c r="O101" s="60">
        <v>4</v>
      </c>
      <c r="P101" s="5">
        <v>1.8E-3</v>
      </c>
      <c r="Q101" s="5">
        <v>1.03E-2</v>
      </c>
      <c r="R101" s="81">
        <f t="shared" si="24"/>
        <v>0.15315218347178272</v>
      </c>
      <c r="S101" s="81">
        <f t="shared" si="25"/>
        <v>8.3126194504639137E-2</v>
      </c>
      <c r="T101" s="81">
        <f t="shared" si="26"/>
        <v>0</v>
      </c>
      <c r="U101" s="81">
        <f t="shared" si="27"/>
        <v>-3.2000000000000002E-3</v>
      </c>
      <c r="V101" s="83">
        <f t="shared" si="28"/>
        <v>2.0999999999999994E-3</v>
      </c>
    </row>
    <row r="102" spans="1:24">
      <c r="A102" s="75">
        <v>87</v>
      </c>
      <c r="B102" s="112" t="s">
        <v>135</v>
      </c>
      <c r="C102" s="113" t="s">
        <v>34</v>
      </c>
      <c r="D102" s="2">
        <f>11065924.86*1368.245</f>
        <v>15140896360.070698</v>
      </c>
      <c r="E102" s="3">
        <f t="shared" si="29"/>
        <v>1.2479330138790982E-2</v>
      </c>
      <c r="F102" s="2">
        <f>1.33*1368.245</f>
        <v>1819.76585</v>
      </c>
      <c r="G102" s="2">
        <f>1.33*1368.245</f>
        <v>1819.76585</v>
      </c>
      <c r="H102" s="61">
        <v>116</v>
      </c>
      <c r="I102" s="12">
        <v>5.9999999999999995E-4</v>
      </c>
      <c r="J102" s="12">
        <v>4.2799999999999998E-2</v>
      </c>
      <c r="K102" s="2">
        <f>11075162.05*1481.982</f>
        <v>16413190805.183102</v>
      </c>
      <c r="L102" s="3">
        <f t="shared" si="23"/>
        <v>1.3266692397321055E-2</v>
      </c>
      <c r="M102" s="2">
        <f>1.33*1481.982</f>
        <v>1971.0360600000001</v>
      </c>
      <c r="N102" s="2">
        <f>1.33*1481.982</f>
        <v>1971.0360600000001</v>
      </c>
      <c r="O102" s="61">
        <v>115</v>
      </c>
      <c r="P102" s="12">
        <v>8.0000000000000004E-4</v>
      </c>
      <c r="Q102" s="12">
        <v>4.2999999999999997E-2</v>
      </c>
      <c r="R102" s="81">
        <f t="shared" si="24"/>
        <v>8.4030325210314241E-2</v>
      </c>
      <c r="S102" s="81">
        <f t="shared" si="25"/>
        <v>8.3126194504639234E-2</v>
      </c>
      <c r="T102" s="81">
        <f t="shared" si="26"/>
        <v>-8.6206896551724137E-3</v>
      </c>
      <c r="U102" s="81">
        <f t="shared" si="27"/>
        <v>2.0000000000000009E-4</v>
      </c>
      <c r="V102" s="83">
        <f t="shared" si="28"/>
        <v>1.9999999999999879E-4</v>
      </c>
    </row>
    <row r="103" spans="1:24">
      <c r="A103" s="75">
        <v>88</v>
      </c>
      <c r="B103" s="112" t="s">
        <v>136</v>
      </c>
      <c r="C103" s="113" t="s">
        <v>78</v>
      </c>
      <c r="D103" s="2">
        <f>9488413.57*1368.245</f>
        <v>12982474425.08465</v>
      </c>
      <c r="E103" s="3">
        <f t="shared" si="29"/>
        <v>1.070032979000495E-2</v>
      </c>
      <c r="F103" s="2">
        <f>103.21*1368.245</f>
        <v>141216.56644999998</v>
      </c>
      <c r="G103" s="2">
        <f>103.21*1368.245</f>
        <v>141216.56644999998</v>
      </c>
      <c r="H103" s="60">
        <v>251</v>
      </c>
      <c r="I103" s="5">
        <v>2E-3</v>
      </c>
      <c r="J103" s="5">
        <v>8.5000000000000006E-3</v>
      </c>
      <c r="K103" s="2">
        <f>10350724.23*1481.982</f>
        <v>15339586995.82386</v>
      </c>
      <c r="L103" s="3">
        <f t="shared" si="23"/>
        <v>1.2398904307581469E-2</v>
      </c>
      <c r="M103" s="2">
        <f>103.59*1481.982</f>
        <v>153518.51538</v>
      </c>
      <c r="N103" s="2">
        <f>103.59*1481.982</f>
        <v>153518.51538</v>
      </c>
      <c r="O103" s="60">
        <v>260</v>
      </c>
      <c r="P103" s="5">
        <v>2.2000000000000001E-3</v>
      </c>
      <c r="Q103" s="5">
        <v>3.7000000000000002E-3</v>
      </c>
      <c r="R103" s="81">
        <f t="shared" si="24"/>
        <v>0.18156111797800373</v>
      </c>
      <c r="S103" s="81">
        <f t="shared" si="25"/>
        <v>8.7114063450591805E-2</v>
      </c>
      <c r="T103" s="81">
        <f t="shared" si="26"/>
        <v>3.5856573705179286E-2</v>
      </c>
      <c r="U103" s="81">
        <f t="shared" si="27"/>
        <v>2.0000000000000009E-4</v>
      </c>
      <c r="V103" s="83">
        <f t="shared" si="28"/>
        <v>-4.8000000000000004E-3</v>
      </c>
    </row>
    <row r="104" spans="1:24">
      <c r="A104" s="75">
        <v>89</v>
      </c>
      <c r="B104" s="112" t="s">
        <v>137</v>
      </c>
      <c r="C104" s="113" t="s">
        <v>38</v>
      </c>
      <c r="D104" s="2">
        <f>1884283.36*1368.245</f>
        <v>2578161285.9032001</v>
      </c>
      <c r="E104" s="3">
        <f t="shared" si="29"/>
        <v>2.1249551593711382E-3</v>
      </c>
      <c r="F104" s="2">
        <f>132.83*1368.245</f>
        <v>181743.98334999999</v>
      </c>
      <c r="G104" s="2">
        <f>136.14*1368.245</f>
        <v>186272.87429999997</v>
      </c>
      <c r="H104" s="60">
        <v>46</v>
      </c>
      <c r="I104" s="5">
        <v>1.1999999999999999E-3</v>
      </c>
      <c r="J104" s="5">
        <v>7.1999999999999998E-3</v>
      </c>
      <c r="K104" s="2">
        <f>1903162.3*1481.982</f>
        <v>2820452271.6785998</v>
      </c>
      <c r="L104" s="3">
        <f t="shared" si="23"/>
        <v>2.2797561518549561E-3</v>
      </c>
      <c r="M104" s="2">
        <f>134.3*1481.982</f>
        <v>199030.1826</v>
      </c>
      <c r="N104" s="2">
        <f>137.45*1481.982</f>
        <v>203698.42589999997</v>
      </c>
      <c r="O104" s="60">
        <v>47</v>
      </c>
      <c r="P104" s="5">
        <v>1.0200000000000001E-2</v>
      </c>
      <c r="Q104" s="5">
        <v>1.7600000000000001E-2</v>
      </c>
      <c r="R104" s="81">
        <f t="shared" si="24"/>
        <v>9.3978211177164026E-2</v>
      </c>
      <c r="S104" s="81">
        <f t="shared" si="25"/>
        <v>9.3548519426051552E-2</v>
      </c>
      <c r="T104" s="81">
        <f t="shared" si="26"/>
        <v>2.1739130434782608E-2</v>
      </c>
      <c r="U104" s="81">
        <f t="shared" si="27"/>
        <v>9.0000000000000011E-3</v>
      </c>
      <c r="V104" s="83">
        <f t="shared" si="28"/>
        <v>1.0400000000000001E-2</v>
      </c>
    </row>
    <row r="105" spans="1:24" ht="16.5" customHeight="1">
      <c r="A105" s="75">
        <v>90</v>
      </c>
      <c r="B105" s="112" t="s">
        <v>138</v>
      </c>
      <c r="C105" s="113" t="s">
        <v>45</v>
      </c>
      <c r="D105" s="4">
        <v>207709989406.84</v>
      </c>
      <c r="E105" s="3">
        <f t="shared" si="29"/>
        <v>0.1711973630417632</v>
      </c>
      <c r="F105" s="2">
        <v>179326.84</v>
      </c>
      <c r="G105" s="2">
        <v>179326.84</v>
      </c>
      <c r="H105" s="60">
        <v>3031</v>
      </c>
      <c r="I105" s="5">
        <v>5.3999999999999999E-2</v>
      </c>
      <c r="J105" s="5">
        <v>5.4100000000000002E-2</v>
      </c>
      <c r="K105" s="4">
        <v>213502714709.22</v>
      </c>
      <c r="L105" s="3">
        <f t="shared" si="23"/>
        <v>0.17257307708539837</v>
      </c>
      <c r="M105" s="2">
        <v>183814.31</v>
      </c>
      <c r="N105" s="2">
        <v>183814.31</v>
      </c>
      <c r="O105" s="60">
        <v>3050</v>
      </c>
      <c r="P105" s="5">
        <v>5.4100000000000002E-2</v>
      </c>
      <c r="Q105" s="5">
        <v>5.3900000000000003E-2</v>
      </c>
      <c r="R105" s="81">
        <f t="shared" si="24"/>
        <v>2.7888525337285718E-2</v>
      </c>
      <c r="S105" s="81">
        <f t="shared" si="25"/>
        <v>2.5023972986977304E-2</v>
      </c>
      <c r="T105" s="81">
        <f t="shared" si="26"/>
        <v>6.2685582316067308E-3</v>
      </c>
      <c r="U105" s="81">
        <f t="shared" si="27"/>
        <v>1.0000000000000286E-4</v>
      </c>
      <c r="V105" s="83">
        <f t="shared" si="28"/>
        <v>-1.9999999999999879E-4</v>
      </c>
    </row>
    <row r="106" spans="1:24" ht="6" customHeight="1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</row>
    <row r="107" spans="1:24">
      <c r="A107" s="153" t="s">
        <v>231</v>
      </c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</row>
    <row r="108" spans="1:24">
      <c r="A108" s="75">
        <v>91</v>
      </c>
      <c r="B108" s="112" t="s">
        <v>140</v>
      </c>
      <c r="C108" s="113" t="s">
        <v>97</v>
      </c>
      <c r="D108" s="4">
        <v>1413356755.4100001</v>
      </c>
      <c r="E108" s="3">
        <f>(D108/$D$118)</f>
        <v>1.1649076207380824E-3</v>
      </c>
      <c r="F108" s="2">
        <v>145919.20000000001</v>
      </c>
      <c r="G108" s="2">
        <v>145919.20000000001</v>
      </c>
      <c r="H108" s="60">
        <v>27</v>
      </c>
      <c r="I108" s="5">
        <v>4.5999999999999999E-3</v>
      </c>
      <c r="J108" s="5">
        <v>3.7999999999999999E-2</v>
      </c>
      <c r="K108" s="4">
        <v>1424850504.23</v>
      </c>
      <c r="L108" s="3">
        <f t="shared" ref="L108:L117" si="30">(K108/$K$118)</f>
        <v>1.1516988729466204E-3</v>
      </c>
      <c r="M108" s="2">
        <v>147099.69</v>
      </c>
      <c r="N108" s="2">
        <v>147099.69</v>
      </c>
      <c r="O108" s="60">
        <v>27</v>
      </c>
      <c r="P108" s="5">
        <v>6.7000000000000002E-3</v>
      </c>
      <c r="Q108" s="5">
        <v>4.6399999999999997E-2</v>
      </c>
      <c r="R108" s="81">
        <f>((K108-D108)/D108)</f>
        <v>8.1322346788979798E-3</v>
      </c>
      <c r="S108" s="81">
        <f>((N108-G108)/G108)</f>
        <v>8.0900251646115837E-3</v>
      </c>
      <c r="T108" s="81">
        <f>((O108-H108)/H108)</f>
        <v>0</v>
      </c>
      <c r="U108" s="81">
        <f>P108-I108</f>
        <v>2.1000000000000003E-3</v>
      </c>
      <c r="V108" s="83">
        <f>Q108-J108</f>
        <v>8.3999999999999977E-3</v>
      </c>
    </row>
    <row r="109" spans="1:24">
      <c r="A109" s="75">
        <v>92</v>
      </c>
      <c r="B109" s="113" t="s">
        <v>141</v>
      </c>
      <c r="C109" s="113" t="s">
        <v>23</v>
      </c>
      <c r="D109" s="2">
        <f>7176156.78*1368.245</f>
        <v>9818740633.4510994</v>
      </c>
      <c r="E109" s="3">
        <f>(D109/$D$118)</f>
        <v>8.0927379065307749E-3</v>
      </c>
      <c r="F109" s="4">
        <f>132.37*1368.245</f>
        <v>181114.59065</v>
      </c>
      <c r="G109" s="4">
        <f>132.37*1368.245</f>
        <v>181114.59065</v>
      </c>
      <c r="H109" s="60">
        <v>339</v>
      </c>
      <c r="I109" s="5">
        <v>5.0000000000000001E-4</v>
      </c>
      <c r="J109" s="5">
        <v>5.3E-3</v>
      </c>
      <c r="K109" s="2">
        <f>7145716.32*1481.982</f>
        <v>10589822963.346241</v>
      </c>
      <c r="L109" s="3">
        <f t="shared" si="30"/>
        <v>8.5596960069723744E-3</v>
      </c>
      <c r="M109" s="4">
        <f>132.53*1481.982</f>
        <v>196407.07446</v>
      </c>
      <c r="N109" s="4">
        <f>132.53*1481.982</f>
        <v>196407.07446</v>
      </c>
      <c r="O109" s="60">
        <v>341</v>
      </c>
      <c r="P109" s="5">
        <v>5.0000000000000001E-4</v>
      </c>
      <c r="Q109" s="5">
        <v>6.4999999999999997E-3</v>
      </c>
      <c r="R109" s="81">
        <f t="shared" ref="R109:R118" si="31">((K109-D109)/D109)</f>
        <v>7.8531693491135729E-2</v>
      </c>
      <c r="S109" s="81">
        <f t="shared" ref="S109:S118" si="32">((N109-G109)/G109)</f>
        <v>8.4435404983756374E-2</v>
      </c>
      <c r="T109" s="81">
        <f t="shared" ref="T109:T118" si="33">((O109-H109)/H109)</f>
        <v>5.8997050147492625E-3</v>
      </c>
      <c r="U109" s="81">
        <f t="shared" ref="U109:U118" si="34">P109-I109</f>
        <v>0</v>
      </c>
      <c r="V109" s="83">
        <f t="shared" ref="V109:V118" si="35">Q109-J109</f>
        <v>1.1999999999999997E-3</v>
      </c>
    </row>
    <row r="110" spans="1:24">
      <c r="A110" s="75">
        <v>93</v>
      </c>
      <c r="B110" s="112" t="s">
        <v>142</v>
      </c>
      <c r="C110" s="113" t="s">
        <v>58</v>
      </c>
      <c r="D110" s="4">
        <v>16850974290.84</v>
      </c>
      <c r="E110" s="3">
        <f t="shared" ref="E110:E117" si="36">(D110/$D$118)</f>
        <v>1.3888799337550561E-2</v>
      </c>
      <c r="F110" s="4">
        <v>170042.92</v>
      </c>
      <c r="G110" s="4">
        <v>170042.92</v>
      </c>
      <c r="H110" s="60">
        <v>584</v>
      </c>
      <c r="I110" s="5">
        <v>1.1000000000000001E-3</v>
      </c>
      <c r="J110" s="5">
        <v>6.13E-2</v>
      </c>
      <c r="K110" s="4">
        <v>16755778544.17</v>
      </c>
      <c r="L110" s="3">
        <f t="shared" si="30"/>
        <v>1.3543604193825463E-2</v>
      </c>
      <c r="M110" s="4">
        <v>170249.86</v>
      </c>
      <c r="N110" s="4">
        <v>170249.86</v>
      </c>
      <c r="O110" s="60">
        <v>586</v>
      </c>
      <c r="P110" s="5">
        <v>1.1999999999999999E-3</v>
      </c>
      <c r="Q110" s="5">
        <v>6.1699999999999998E-2</v>
      </c>
      <c r="R110" s="81">
        <f t="shared" si="31"/>
        <v>-5.6492725599698651E-3</v>
      </c>
      <c r="S110" s="81">
        <f t="shared" si="32"/>
        <v>1.2169868642574076E-3</v>
      </c>
      <c r="T110" s="81">
        <f t="shared" si="33"/>
        <v>3.4246575342465752E-3</v>
      </c>
      <c r="U110" s="81">
        <f t="shared" si="34"/>
        <v>9.9999999999999829E-5</v>
      </c>
      <c r="V110" s="83">
        <f t="shared" si="35"/>
        <v>3.9999999999999758E-4</v>
      </c>
    </row>
    <row r="111" spans="1:24">
      <c r="A111" s="75">
        <v>94</v>
      </c>
      <c r="B111" s="112" t="s">
        <v>143</v>
      </c>
      <c r="C111" s="113" t="s">
        <v>56</v>
      </c>
      <c r="D111" s="4">
        <v>5822248394.1192884</v>
      </c>
      <c r="E111" s="3">
        <f t="shared" si="36"/>
        <v>4.7987753256056873E-3</v>
      </c>
      <c r="F111" s="4">
        <v>1735.6068500894714</v>
      </c>
      <c r="G111" s="4">
        <v>1735.6068500894714</v>
      </c>
      <c r="H111" s="60">
        <v>162</v>
      </c>
      <c r="I111" s="5">
        <v>4.4207628525844048E-2</v>
      </c>
      <c r="J111" s="5">
        <v>4.8981821606095141E-2</v>
      </c>
      <c r="K111" s="4">
        <v>6217153405.0594397</v>
      </c>
      <c r="L111" s="3">
        <f t="shared" si="30"/>
        <v>5.0252911082855492E-3</v>
      </c>
      <c r="M111" s="4">
        <v>1775.5948239136542</v>
      </c>
      <c r="N111" s="4">
        <v>1775.5948239136542</v>
      </c>
      <c r="O111" s="60">
        <v>166</v>
      </c>
      <c r="P111" s="5">
        <v>4.9056048453439E-2</v>
      </c>
      <c r="Q111" s="5">
        <v>4.903272519890392E-2</v>
      </c>
      <c r="R111" s="81">
        <f t="shared" si="31"/>
        <v>6.7826891641899298E-2</v>
      </c>
      <c r="S111" s="81">
        <f t="shared" si="32"/>
        <v>2.303976492263864E-2</v>
      </c>
      <c r="T111" s="81">
        <f t="shared" si="33"/>
        <v>2.4691358024691357E-2</v>
      </c>
      <c r="U111" s="81">
        <f t="shared" si="34"/>
        <v>4.8484199275949519E-3</v>
      </c>
      <c r="V111" s="83">
        <f t="shared" si="35"/>
        <v>5.0903592808779208E-5</v>
      </c>
    </row>
    <row r="112" spans="1:24" ht="15.75">
      <c r="A112" s="75">
        <v>95</v>
      </c>
      <c r="B112" s="112" t="s">
        <v>253</v>
      </c>
      <c r="C112" s="113" t="s">
        <v>114</v>
      </c>
      <c r="D112" s="4">
        <v>1217146471</v>
      </c>
      <c r="E112" s="3">
        <f t="shared" si="36"/>
        <v>1.0031884690083475E-3</v>
      </c>
      <c r="F112" s="4">
        <f>1.02974*1368.245</f>
        <v>1408.9366063</v>
      </c>
      <c r="G112" s="4">
        <f>1.036698*1368.245</f>
        <v>1418.4568550099998</v>
      </c>
      <c r="H112" s="60">
        <v>35</v>
      </c>
      <c r="I112" s="5">
        <v>1.1000000000000001E-3</v>
      </c>
      <c r="J112" s="5">
        <v>4.4999999999999998E-2</v>
      </c>
      <c r="K112" s="4">
        <v>1331746909.3599999</v>
      </c>
      <c r="L112" s="3">
        <f t="shared" si="30"/>
        <v>1.0764437462082513E-3</v>
      </c>
      <c r="M112" s="4">
        <f>1.032665*1481.982</f>
        <v>1530.3909420299999</v>
      </c>
      <c r="N112" s="4">
        <f>1.040163*1481.982</f>
        <v>1541.502843066</v>
      </c>
      <c r="O112" s="60">
        <v>35</v>
      </c>
      <c r="P112" s="5">
        <v>3.3999999999999998E-3</v>
      </c>
      <c r="Q112" s="5">
        <v>2.8E-3</v>
      </c>
      <c r="R112" s="81">
        <f t="shared" si="31"/>
        <v>9.4155010173791895E-2</v>
      </c>
      <c r="S112" s="81">
        <f t="shared" si="32"/>
        <v>8.6746373441956209E-2</v>
      </c>
      <c r="T112" s="81">
        <f t="shared" si="33"/>
        <v>0</v>
      </c>
      <c r="U112" s="81">
        <f t="shared" si="34"/>
        <v>2.3E-3</v>
      </c>
      <c r="V112" s="83">
        <f t="shared" si="35"/>
        <v>-4.2200000000000001E-2</v>
      </c>
      <c r="X112" s="132"/>
    </row>
    <row r="113" spans="1:24" ht="15.75">
      <c r="A113" s="75">
        <v>96</v>
      </c>
      <c r="B113" s="113" t="s">
        <v>144</v>
      </c>
      <c r="C113" s="136" t="s">
        <v>40</v>
      </c>
      <c r="D113" s="2">
        <v>17027591715</v>
      </c>
      <c r="E113" s="3">
        <f t="shared" si="36"/>
        <v>1.4034369790708674E-2</v>
      </c>
      <c r="F113" s="4">
        <f>1.0241*1368.245</f>
        <v>1401.2197044999998</v>
      </c>
      <c r="G113" s="4">
        <f>1.0241*1368.245</f>
        <v>1401.2197044999998</v>
      </c>
      <c r="H113" s="60">
        <v>401</v>
      </c>
      <c r="I113" s="5">
        <v>1.6000000000000001E-3</v>
      </c>
      <c r="J113" s="5">
        <v>7.4999999999999997E-3</v>
      </c>
      <c r="K113" s="2">
        <v>16973539410</v>
      </c>
      <c r="L113" s="3">
        <f t="shared" si="30"/>
        <v>1.3719619111182581E-2</v>
      </c>
      <c r="M113" s="4">
        <f>1.0241*1481.982</f>
        <v>1517.6977661999999</v>
      </c>
      <c r="N113" s="4">
        <f>1.0241*1481.982</f>
        <v>1517.6977661999999</v>
      </c>
      <c r="O113" s="60">
        <v>401</v>
      </c>
      <c r="P113" s="5">
        <v>1.6999999999999999E-3</v>
      </c>
      <c r="Q113" s="5">
        <v>9.4999999999999998E-3</v>
      </c>
      <c r="R113" s="81">
        <f t="shared" si="31"/>
        <v>-3.1743951760591061E-3</v>
      </c>
      <c r="S113" s="81">
        <f t="shared" si="32"/>
        <v>8.3126194504639261E-2</v>
      </c>
      <c r="T113" s="81">
        <f t="shared" si="33"/>
        <v>0</v>
      </c>
      <c r="U113" s="81">
        <f t="shared" si="34"/>
        <v>9.9999999999999829E-5</v>
      </c>
      <c r="V113" s="83">
        <f t="shared" si="35"/>
        <v>2E-3</v>
      </c>
      <c r="X113" s="132"/>
    </row>
    <row r="114" spans="1:24">
      <c r="A114" s="75">
        <v>97</v>
      </c>
      <c r="B114" s="112" t="s">
        <v>145</v>
      </c>
      <c r="C114" s="113" t="s">
        <v>80</v>
      </c>
      <c r="D114" s="4">
        <v>254919519.06999999</v>
      </c>
      <c r="E114" s="3">
        <f t="shared" si="36"/>
        <v>2.1010809146582781E-4</v>
      </c>
      <c r="F114" s="4">
        <f>1.02*1444.24</f>
        <v>1473.1248000000001</v>
      </c>
      <c r="G114" s="4">
        <f>1.02*1444.24</f>
        <v>1473.1248000000001</v>
      </c>
      <c r="H114" s="60">
        <v>3</v>
      </c>
      <c r="I114" s="5">
        <v>-1.7700000000000001E-3</v>
      </c>
      <c r="J114" s="5">
        <v>-1.1147000000000001E-2</v>
      </c>
      <c r="K114" s="4">
        <v>390405209.13440001</v>
      </c>
      <c r="L114" s="3">
        <f t="shared" si="30"/>
        <v>3.1556239620770686E-4</v>
      </c>
      <c r="M114" s="4">
        <f>1.04*1476.13</f>
        <v>1535.1752000000001</v>
      </c>
      <c r="N114" s="4">
        <f>1.04*1476.13</f>
        <v>1535.1752000000001</v>
      </c>
      <c r="O114" s="60">
        <v>3</v>
      </c>
      <c r="P114" s="5">
        <v>5.1700000000000001E-3</v>
      </c>
      <c r="Q114" s="5">
        <v>-4.2900000000000002E-4</v>
      </c>
      <c r="R114" s="81">
        <f t="shared" si="31"/>
        <v>0.53148417413731319</v>
      </c>
      <c r="S114" s="81">
        <f t="shared" si="32"/>
        <v>4.2121617937597736E-2</v>
      </c>
      <c r="T114" s="81">
        <f t="shared" si="33"/>
        <v>0</v>
      </c>
      <c r="U114" s="81">
        <f t="shared" si="34"/>
        <v>6.94E-3</v>
      </c>
      <c r="V114" s="83">
        <f t="shared" si="35"/>
        <v>1.0718E-2</v>
      </c>
    </row>
    <row r="115" spans="1:24">
      <c r="A115" s="75">
        <v>98</v>
      </c>
      <c r="B115" s="112" t="s">
        <v>146</v>
      </c>
      <c r="C115" s="113" t="s">
        <v>42</v>
      </c>
      <c r="D115" s="2">
        <v>741727754053.56995</v>
      </c>
      <c r="E115" s="3">
        <f t="shared" si="36"/>
        <v>0.61134197710704363</v>
      </c>
      <c r="F115" s="4">
        <v>2129.5300000000002</v>
      </c>
      <c r="G115" s="4">
        <v>2129.5300000000002</v>
      </c>
      <c r="H115" s="60">
        <v>10518</v>
      </c>
      <c r="I115" s="5">
        <v>1.4E-3</v>
      </c>
      <c r="J115" s="5">
        <v>6.7000000000000002E-3</v>
      </c>
      <c r="K115" s="2">
        <v>752308281893.52002</v>
      </c>
      <c r="L115" s="3">
        <f t="shared" si="30"/>
        <v>0.60808667140374995</v>
      </c>
      <c r="M115" s="4">
        <v>2143.2399999999998</v>
      </c>
      <c r="N115" s="4">
        <v>2143.2399999999998</v>
      </c>
      <c r="O115" s="60">
        <v>6526</v>
      </c>
      <c r="P115" s="5">
        <v>1.5E-3</v>
      </c>
      <c r="Q115" s="5">
        <v>8.2000000000000007E-3</v>
      </c>
      <c r="R115" s="81">
        <f t="shared" si="31"/>
        <v>1.4264705320957848E-2</v>
      </c>
      <c r="S115" s="81">
        <f t="shared" si="32"/>
        <v>6.4380403187555843E-3</v>
      </c>
      <c r="T115" s="81">
        <f t="shared" si="33"/>
        <v>-0.37953983647081196</v>
      </c>
      <c r="U115" s="81">
        <f t="shared" si="34"/>
        <v>1.0000000000000005E-4</v>
      </c>
      <c r="V115" s="83">
        <f t="shared" si="35"/>
        <v>1.5000000000000005E-3</v>
      </c>
    </row>
    <row r="116" spans="1:24" ht="16.5" customHeight="1">
      <c r="A116" s="75">
        <v>99</v>
      </c>
      <c r="B116" s="112" t="s">
        <v>147</v>
      </c>
      <c r="C116" s="113" t="s">
        <v>45</v>
      </c>
      <c r="D116" s="2">
        <v>36553089506.720001</v>
      </c>
      <c r="E116" s="3">
        <f t="shared" si="36"/>
        <v>3.0127547319464338E-2</v>
      </c>
      <c r="F116" s="4">
        <v>1571.04</v>
      </c>
      <c r="G116" s="4">
        <v>1571.04</v>
      </c>
      <c r="H116" s="60">
        <v>185</v>
      </c>
      <c r="I116" s="5">
        <v>6.9000000000000006E-2</v>
      </c>
      <c r="J116" s="5">
        <v>9.5200000000000007E-2</v>
      </c>
      <c r="K116" s="2">
        <v>32281550858.619999</v>
      </c>
      <c r="L116" s="3">
        <f t="shared" si="30"/>
        <v>2.6093001076581905E-2</v>
      </c>
      <c r="M116" s="4">
        <v>1610.79</v>
      </c>
      <c r="N116" s="4">
        <v>1610.79</v>
      </c>
      <c r="O116" s="60">
        <v>199</v>
      </c>
      <c r="P116" s="5">
        <v>6.8900000000000003E-2</v>
      </c>
      <c r="Q116" s="5">
        <v>6.8900000000000003E-2</v>
      </c>
      <c r="R116" s="81">
        <f t="shared" si="31"/>
        <v>-0.11685848462452711</v>
      </c>
      <c r="S116" s="81">
        <f t="shared" si="32"/>
        <v>2.53017109685304E-2</v>
      </c>
      <c r="T116" s="81">
        <f t="shared" si="33"/>
        <v>7.567567567567568E-2</v>
      </c>
      <c r="U116" s="81">
        <f t="shared" si="34"/>
        <v>-1.0000000000000286E-4</v>
      </c>
      <c r="V116" s="83">
        <f t="shared" si="35"/>
        <v>-2.6300000000000004E-2</v>
      </c>
    </row>
    <row r="117" spans="1:24">
      <c r="A117" s="75">
        <v>100</v>
      </c>
      <c r="B117" s="112" t="s">
        <v>148</v>
      </c>
      <c r="C117" s="113" t="s">
        <v>32</v>
      </c>
      <c r="D117" s="4">
        <v>28126902168.944199</v>
      </c>
      <c r="E117" s="3">
        <f t="shared" si="36"/>
        <v>2.3182570542745053E-2</v>
      </c>
      <c r="F117" s="4">
        <f>1.0959*1368.245</f>
        <v>1499.4596955</v>
      </c>
      <c r="G117" s="4">
        <f>1.0959*1368.245</f>
        <v>1499.4596955</v>
      </c>
      <c r="H117" s="60">
        <v>1139</v>
      </c>
      <c r="I117" s="5">
        <v>1.0047497259775273E-3</v>
      </c>
      <c r="J117" s="5">
        <v>-2.3871025207089946E-2</v>
      </c>
      <c r="K117" s="4">
        <v>28491924311.679413</v>
      </c>
      <c r="L117" s="3">
        <f t="shared" si="30"/>
        <v>2.3029866656484495E-2</v>
      </c>
      <c r="M117" s="4">
        <f>1.0971*1481.982</f>
        <v>1625.8824522</v>
      </c>
      <c r="N117" s="4">
        <f>1.0971*1481.982</f>
        <v>1625.8824522</v>
      </c>
      <c r="O117" s="60">
        <v>1153</v>
      </c>
      <c r="P117" s="5">
        <v>1.0949904188337634E-3</v>
      </c>
      <c r="Q117" s="5">
        <v>5.7755775577557067E-3</v>
      </c>
      <c r="R117" s="81">
        <f t="shared" si="31"/>
        <v>1.2977687359336952E-2</v>
      </c>
      <c r="S117" s="81">
        <f t="shared" si="32"/>
        <v>8.4312207310009712E-2</v>
      </c>
      <c r="T117" s="81">
        <f t="shared" si="33"/>
        <v>1.2291483757682178E-2</v>
      </c>
      <c r="U117" s="81">
        <f t="shared" si="34"/>
        <v>9.0240692856236038E-5</v>
      </c>
      <c r="V117" s="83">
        <f t="shared" si="35"/>
        <v>2.9646602764845653E-2</v>
      </c>
    </row>
    <row r="118" spans="1:24">
      <c r="A118" s="75"/>
      <c r="B118" s="19"/>
      <c r="C118" s="66" t="s">
        <v>46</v>
      </c>
      <c r="D118" s="59">
        <f>SUM(D94:D117)</f>
        <v>1213277971788.4419</v>
      </c>
      <c r="E118" s="100">
        <f>(D118/$D$181)</f>
        <v>0.44926922734999364</v>
      </c>
      <c r="F118" s="30"/>
      <c r="G118" s="11"/>
      <c r="H118" s="65">
        <f>SUM(H94:H117)</f>
        <v>19790</v>
      </c>
      <c r="I118" s="33"/>
      <c r="J118" s="33"/>
      <c r="K118" s="59">
        <f>SUM(K94:K117)</f>
        <v>1237172786827.9678</v>
      </c>
      <c r="L118" s="100">
        <f>(K118/$K$181)</f>
        <v>0.45441986451581073</v>
      </c>
      <c r="M118" s="30"/>
      <c r="N118" s="11"/>
      <c r="O118" s="65">
        <f>SUM(O94:O117)</f>
        <v>15890</v>
      </c>
      <c r="P118" s="33"/>
      <c r="Q118" s="33"/>
      <c r="R118" s="81">
        <f t="shared" si="31"/>
        <v>1.9694427489113264E-2</v>
      </c>
      <c r="S118" s="81" t="e">
        <f t="shared" si="32"/>
        <v>#DIV/0!</v>
      </c>
      <c r="T118" s="81">
        <f t="shared" si="33"/>
        <v>-0.19706922688226378</v>
      </c>
      <c r="U118" s="81">
        <f t="shared" si="34"/>
        <v>0</v>
      </c>
      <c r="V118" s="83">
        <f t="shared" si="35"/>
        <v>0</v>
      </c>
    </row>
    <row r="119" spans="1:24" ht="8.25" customHeight="1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</row>
    <row r="120" spans="1:24" ht="15.75">
      <c r="A120" s="149" t="s">
        <v>149</v>
      </c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</row>
    <row r="121" spans="1:24">
      <c r="A121" s="75">
        <v>101</v>
      </c>
      <c r="B121" s="112" t="s">
        <v>245</v>
      </c>
      <c r="C121" s="113" t="s">
        <v>246</v>
      </c>
      <c r="D121" s="2">
        <v>2195989266.3749137</v>
      </c>
      <c r="E121" s="3">
        <f>(D121/$D$126)</f>
        <v>2.1910428070550637E-2</v>
      </c>
      <c r="F121" s="14">
        <v>103.49</v>
      </c>
      <c r="G121" s="14">
        <v>103.49</v>
      </c>
      <c r="H121" s="60">
        <v>7</v>
      </c>
      <c r="I121" s="5">
        <v>2.3303305719806211E-3</v>
      </c>
      <c r="J121" s="5">
        <v>1.2200000000000001E-2</v>
      </c>
      <c r="K121" s="2">
        <v>2198370655.8173518</v>
      </c>
      <c r="L121" s="3">
        <f>(K121/$K$126)</f>
        <v>2.2056160626467237E-2</v>
      </c>
      <c r="M121" s="14">
        <v>103.6</v>
      </c>
      <c r="N121" s="14">
        <v>103.6</v>
      </c>
      <c r="O121" s="60">
        <v>7</v>
      </c>
      <c r="P121" s="5">
        <v>1.0629046284664767E-3</v>
      </c>
      <c r="Q121" s="5">
        <v>1.3260421472572448E-2</v>
      </c>
      <c r="R121" s="81">
        <f t="shared" ref="R121:R126" si="37">((K121-D121)/D121)</f>
        <v>1.0844267223442609E-3</v>
      </c>
      <c r="S121" s="81">
        <f t="shared" ref="S121:T126" si="38">((N121-G121)/G121)</f>
        <v>1.0629046284665131E-3</v>
      </c>
      <c r="T121" s="81">
        <f t="shared" si="38"/>
        <v>0</v>
      </c>
      <c r="U121" s="81">
        <f t="shared" ref="U121:V126" si="39">P121-I121</f>
        <v>-1.2674259435141444E-3</v>
      </c>
      <c r="V121" s="83">
        <f t="shared" si="39"/>
        <v>1.0604214725724471E-3</v>
      </c>
    </row>
    <row r="122" spans="1:24">
      <c r="A122" s="75">
        <v>102</v>
      </c>
      <c r="B122" s="112" t="s">
        <v>150</v>
      </c>
      <c r="C122" s="113" t="s">
        <v>40</v>
      </c>
      <c r="D122" s="2">
        <v>54330953714</v>
      </c>
      <c r="E122" s="3">
        <f>(D122/$D$126)</f>
        <v>0.54208573401641469</v>
      </c>
      <c r="F122" s="14">
        <v>102.5</v>
      </c>
      <c r="G122" s="14">
        <v>102.5</v>
      </c>
      <c r="H122" s="60">
        <v>675</v>
      </c>
      <c r="I122" s="5">
        <v>0</v>
      </c>
      <c r="J122" s="5">
        <v>7.6999999999999999E-2</v>
      </c>
      <c r="K122" s="2">
        <v>53749983529</v>
      </c>
      <c r="L122" s="3">
        <f>(K122/$K$126)</f>
        <v>0.53927133136009675</v>
      </c>
      <c r="M122" s="14">
        <v>102.5</v>
      </c>
      <c r="N122" s="14">
        <v>102.5</v>
      </c>
      <c r="O122" s="60">
        <v>666</v>
      </c>
      <c r="P122" s="5">
        <v>0</v>
      </c>
      <c r="Q122" s="5">
        <v>7.6999999999999999E-2</v>
      </c>
      <c r="R122" s="81">
        <f t="shared" si="37"/>
        <v>-1.0693171116749523E-2</v>
      </c>
      <c r="S122" s="81">
        <f t="shared" si="38"/>
        <v>0</v>
      </c>
      <c r="T122" s="81">
        <f t="shared" si="38"/>
        <v>-1.3333333333333334E-2</v>
      </c>
      <c r="U122" s="81">
        <f t="shared" si="39"/>
        <v>0</v>
      </c>
      <c r="V122" s="83">
        <f t="shared" si="39"/>
        <v>0</v>
      </c>
    </row>
    <row r="123" spans="1:24" ht="17.25" customHeight="1">
      <c r="A123" s="75">
        <v>103</v>
      </c>
      <c r="B123" s="112" t="s">
        <v>151</v>
      </c>
      <c r="C123" s="113" t="s">
        <v>120</v>
      </c>
      <c r="D123" s="2">
        <v>2620278046.27</v>
      </c>
      <c r="E123" s="3">
        <f>(D123/$D$126)</f>
        <v>2.6143758777298205E-2</v>
      </c>
      <c r="F123" s="14">
        <v>101.35</v>
      </c>
      <c r="G123" s="14">
        <v>101.35</v>
      </c>
      <c r="H123" s="60">
        <v>2771</v>
      </c>
      <c r="I123" s="5">
        <v>0.42370000000000002</v>
      </c>
      <c r="J123" s="5">
        <v>9.69E-2</v>
      </c>
      <c r="K123" s="2">
        <v>2625879311.1199999</v>
      </c>
      <c r="L123" s="3">
        <f>(K123/$K$126)</f>
        <v>2.634533704246814E-2</v>
      </c>
      <c r="M123" s="14">
        <v>101.35</v>
      </c>
      <c r="N123" s="14">
        <v>101.35</v>
      </c>
      <c r="O123" s="60">
        <v>2771</v>
      </c>
      <c r="P123" s="5">
        <v>0.1565</v>
      </c>
      <c r="Q123" s="5">
        <v>9.9400000000000002E-2</v>
      </c>
      <c r="R123" s="81">
        <f t="shared" si="37"/>
        <v>2.1376604891123591E-3</v>
      </c>
      <c r="S123" s="81">
        <f t="shared" si="38"/>
        <v>0</v>
      </c>
      <c r="T123" s="81">
        <f t="shared" si="38"/>
        <v>0</v>
      </c>
      <c r="U123" s="81">
        <f t="shared" si="39"/>
        <v>-0.26719999999999999</v>
      </c>
      <c r="V123" s="83">
        <f t="shared" si="39"/>
        <v>2.5000000000000022E-3</v>
      </c>
    </row>
    <row r="124" spans="1:24">
      <c r="A124" s="75">
        <v>104</v>
      </c>
      <c r="B124" s="112" t="s">
        <v>152</v>
      </c>
      <c r="C124" s="113" t="s">
        <v>120</v>
      </c>
      <c r="D124" s="2">
        <v>10900049527.92</v>
      </c>
      <c r="E124" s="3">
        <f>(D124/$D$126)</f>
        <v>0.10875497198635072</v>
      </c>
      <c r="F124" s="14">
        <v>36.6</v>
      </c>
      <c r="G124" s="14">
        <v>36.6</v>
      </c>
      <c r="H124" s="60">
        <v>5274</v>
      </c>
      <c r="I124" s="5">
        <v>1.2999999999999999E-2</v>
      </c>
      <c r="J124" s="5">
        <v>0.10639999999999999</v>
      </c>
      <c r="K124" s="2">
        <v>10923791294.299999</v>
      </c>
      <c r="L124" s="3">
        <f>(K124/$K$126)</f>
        <v>0.10959794009236588</v>
      </c>
      <c r="M124" s="14">
        <v>36.6</v>
      </c>
      <c r="N124" s="14">
        <v>36.6</v>
      </c>
      <c r="O124" s="60">
        <v>5274</v>
      </c>
      <c r="P124" s="5">
        <v>0.1132</v>
      </c>
      <c r="Q124" s="5">
        <v>0.1421</v>
      </c>
      <c r="R124" s="81">
        <f t="shared" si="37"/>
        <v>2.17813380748277E-3</v>
      </c>
      <c r="S124" s="81">
        <f t="shared" si="38"/>
        <v>0</v>
      </c>
      <c r="T124" s="81">
        <f t="shared" si="38"/>
        <v>0</v>
      </c>
      <c r="U124" s="81">
        <f t="shared" si="39"/>
        <v>0.1002</v>
      </c>
      <c r="V124" s="83">
        <f t="shared" si="39"/>
        <v>3.570000000000001E-2</v>
      </c>
    </row>
    <row r="125" spans="1:24">
      <c r="A125" s="75">
        <v>105</v>
      </c>
      <c r="B125" s="112" t="s">
        <v>153</v>
      </c>
      <c r="C125" s="113" t="s">
        <v>42</v>
      </c>
      <c r="D125" s="2">
        <v>30178487669.049999</v>
      </c>
      <c r="E125" s="3">
        <f>(D125/$D$126)</f>
        <v>0.30110510714938576</v>
      </c>
      <c r="F125" s="14">
        <v>6.6</v>
      </c>
      <c r="G125" s="14">
        <v>6.6</v>
      </c>
      <c r="H125" s="60">
        <v>208853</v>
      </c>
      <c r="I125" s="5">
        <v>5.6500000000000002E-2</v>
      </c>
      <c r="J125" s="5">
        <v>2.3400000000000001E-2</v>
      </c>
      <c r="K125" s="2">
        <v>30173477111.110001</v>
      </c>
      <c r="L125" s="3">
        <f>(K125/$K$126)</f>
        <v>0.30272923087860198</v>
      </c>
      <c r="M125" s="14">
        <v>5.85</v>
      </c>
      <c r="N125" s="14">
        <v>5.85</v>
      </c>
      <c r="O125" s="60">
        <v>208853</v>
      </c>
      <c r="P125" s="5">
        <v>-0.1069</v>
      </c>
      <c r="Q125" s="5">
        <v>-8.5900000000000004E-2</v>
      </c>
      <c r="R125" s="81">
        <f t="shared" si="37"/>
        <v>-1.6603078308451087E-4</v>
      </c>
      <c r="S125" s="81">
        <f t="shared" si="38"/>
        <v>-0.11363636363636365</v>
      </c>
      <c r="T125" s="81">
        <f t="shared" si="38"/>
        <v>0</v>
      </c>
      <c r="U125" s="81">
        <f t="shared" si="39"/>
        <v>-0.16339999999999999</v>
      </c>
      <c r="V125" s="83">
        <f t="shared" si="39"/>
        <v>-0.10930000000000001</v>
      </c>
    </row>
    <row r="126" spans="1:24">
      <c r="A126" s="75"/>
      <c r="B126" s="19"/>
      <c r="C126" s="71" t="s">
        <v>46</v>
      </c>
      <c r="D126" s="58">
        <f>SUM(D121:D125)</f>
        <v>100225758223.61491</v>
      </c>
      <c r="E126" s="100">
        <f>(D126/$D$181)</f>
        <v>3.7112969990971113E-2</v>
      </c>
      <c r="F126" s="30"/>
      <c r="G126" s="34"/>
      <c r="H126" s="65">
        <f>SUM(H121:H125)</f>
        <v>217580</v>
      </c>
      <c r="I126" s="35"/>
      <c r="J126" s="35"/>
      <c r="K126" s="58">
        <f>SUM(K121:K125)</f>
        <v>99671501901.347351</v>
      </c>
      <c r="L126" s="100">
        <f>(K126/$K$181)</f>
        <v>3.6609850194187721E-2</v>
      </c>
      <c r="M126" s="30"/>
      <c r="N126" s="34"/>
      <c r="O126" s="65">
        <f>SUM(O121:O125)</f>
        <v>217571</v>
      </c>
      <c r="P126" s="35"/>
      <c r="Q126" s="35"/>
      <c r="R126" s="81">
        <f t="shared" si="37"/>
        <v>-5.5300786154289282E-3</v>
      </c>
      <c r="S126" s="81" t="e">
        <f t="shared" si="38"/>
        <v>#DIV/0!</v>
      </c>
      <c r="T126" s="81">
        <f t="shared" si="38"/>
        <v>-4.1364095964702641E-5</v>
      </c>
      <c r="U126" s="81">
        <f t="shared" si="39"/>
        <v>0</v>
      </c>
      <c r="V126" s="83">
        <f t="shared" si="39"/>
        <v>0</v>
      </c>
    </row>
    <row r="127" spans="1:24" ht="7.5" customHeight="1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</row>
    <row r="128" spans="1:24" ht="15" customHeight="1">
      <c r="A128" s="149" t="s">
        <v>154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</row>
    <row r="129" spans="1:24">
      <c r="A129" s="75">
        <v>106</v>
      </c>
      <c r="B129" s="112" t="s">
        <v>155</v>
      </c>
      <c r="C129" s="113" t="s">
        <v>50</v>
      </c>
      <c r="D129" s="4">
        <v>257382067.61000001</v>
      </c>
      <c r="E129" s="3">
        <f t="shared" ref="E129:E154" si="40">(D129/$D$155)</f>
        <v>4.97584645050072E-3</v>
      </c>
      <c r="F129" s="4">
        <v>5.75</v>
      </c>
      <c r="G129" s="4">
        <v>5.87</v>
      </c>
      <c r="H129" s="62">
        <v>11815</v>
      </c>
      <c r="I129" s="6">
        <v>1.183E-2</v>
      </c>
      <c r="J129" s="6">
        <v>0.142989</v>
      </c>
      <c r="K129" s="4">
        <v>252970786.22</v>
      </c>
      <c r="L129" s="16">
        <f t="shared" ref="L129:L145" si="41">(K129/$K$155)</f>
        <v>5.0013783172747099E-3</v>
      </c>
      <c r="M129" s="4">
        <v>5.65</v>
      </c>
      <c r="N129" s="4">
        <v>5.77</v>
      </c>
      <c r="O129" s="62">
        <v>11815</v>
      </c>
      <c r="P129" s="6">
        <v>-1.9167E-2</v>
      </c>
      <c r="Q129" s="6">
        <v>0.123822</v>
      </c>
      <c r="R129" s="81">
        <f>((K129-D129)/D129)</f>
        <v>-1.7139039370389395E-2</v>
      </c>
      <c r="S129" s="81">
        <f>((N129-G129)/G129)</f>
        <v>-1.7035775127768403E-2</v>
      </c>
      <c r="T129" s="81">
        <f>((O129-H129)/H129)</f>
        <v>0</v>
      </c>
      <c r="U129" s="81">
        <f>P129-I129</f>
        <v>-3.0997E-2</v>
      </c>
      <c r="V129" s="83">
        <f>Q129-J129</f>
        <v>-1.9167000000000003E-2</v>
      </c>
    </row>
    <row r="130" spans="1:24">
      <c r="A130" s="75">
        <v>107</v>
      </c>
      <c r="B130" s="112" t="s">
        <v>255</v>
      </c>
      <c r="C130" s="112" t="s">
        <v>254</v>
      </c>
      <c r="D130" s="4">
        <v>646546867.75572765</v>
      </c>
      <c r="E130" s="3">
        <f t="shared" si="40"/>
        <v>1.2499386483597047E-2</v>
      </c>
      <c r="F130" s="4">
        <v>1232.3400281296708</v>
      </c>
      <c r="G130" s="4">
        <v>1245.1362892097043</v>
      </c>
      <c r="H130" s="62">
        <v>190</v>
      </c>
      <c r="I130" s="6">
        <v>0</v>
      </c>
      <c r="J130" s="6">
        <v>-2.6030542494060345E-2</v>
      </c>
      <c r="K130" s="4">
        <v>621377770.45706177</v>
      </c>
      <c r="L130" s="16">
        <f t="shared" si="41"/>
        <v>1.228499683476396E-2</v>
      </c>
      <c r="M130" s="4">
        <v>1184.5754188482745</v>
      </c>
      <c r="N130" s="4">
        <v>1196.5666507454252</v>
      </c>
      <c r="O130" s="62">
        <v>190</v>
      </c>
      <c r="P130" s="6">
        <v>0</v>
      </c>
      <c r="Q130" s="6">
        <v>-3.8910094808667597E-2</v>
      </c>
      <c r="R130" s="81">
        <f>((K130-D130)/D130)</f>
        <v>-3.8928496221831574E-2</v>
      </c>
      <c r="S130" s="81">
        <f>((N130-G130)/G130)</f>
        <v>-3.9007487682417859E-2</v>
      </c>
      <c r="T130" s="81">
        <f>((O130-H130)/H130)</f>
        <v>0</v>
      </c>
      <c r="U130" s="81">
        <f>P130-I130</f>
        <v>0</v>
      </c>
      <c r="V130" s="83">
        <f>Q130-J130</f>
        <v>-1.2879552314607252E-2</v>
      </c>
    </row>
    <row r="131" spans="1:24">
      <c r="A131" s="75">
        <v>108</v>
      </c>
      <c r="B131" s="112" t="s">
        <v>156</v>
      </c>
      <c r="C131" s="113" t="s">
        <v>21</v>
      </c>
      <c r="D131" s="4">
        <v>7536817652.9899998</v>
      </c>
      <c r="E131" s="3">
        <f t="shared" si="40"/>
        <v>0.14570575065675009</v>
      </c>
      <c r="F131" s="4">
        <v>798.18290000000002</v>
      </c>
      <c r="G131" s="4">
        <v>822.24869999999999</v>
      </c>
      <c r="H131" s="62">
        <v>21200</v>
      </c>
      <c r="I131" s="6">
        <v>0.56989999999999996</v>
      </c>
      <c r="J131" s="6">
        <v>2.2721</v>
      </c>
      <c r="K131" s="4">
        <v>7403207206.8400002</v>
      </c>
      <c r="L131" s="16">
        <f t="shared" si="41"/>
        <v>0.14636567548310103</v>
      </c>
      <c r="M131" s="4">
        <v>783.25049999999999</v>
      </c>
      <c r="N131" s="4">
        <v>806.86609999999996</v>
      </c>
      <c r="O131" s="62">
        <v>21204</v>
      </c>
      <c r="P131" s="6">
        <v>-0.97819999999999996</v>
      </c>
      <c r="Q131" s="6">
        <v>1.6682999999999999</v>
      </c>
      <c r="R131" s="81">
        <f t="shared" ref="R131:R155" si="42">((K131-D131)/D131)</f>
        <v>-1.7727700509908687E-2</v>
      </c>
      <c r="S131" s="81">
        <f t="shared" ref="S131:S155" si="43">((N131-G131)/G131)</f>
        <v>-1.870796512052865E-2</v>
      </c>
      <c r="T131" s="81">
        <f t="shared" ref="T131:T155" si="44">((O131-H131)/H131)</f>
        <v>1.8867924528301886E-4</v>
      </c>
      <c r="U131" s="81">
        <f t="shared" ref="U131:U155" si="45">P131-I131</f>
        <v>-1.5480999999999998</v>
      </c>
      <c r="V131" s="83">
        <f t="shared" ref="V131:V155" si="46">Q131-J131</f>
        <v>-0.60380000000000011</v>
      </c>
    </row>
    <row r="132" spans="1:24">
      <c r="A132" s="75">
        <v>109</v>
      </c>
      <c r="B132" s="112" t="s">
        <v>157</v>
      </c>
      <c r="C132" s="113" t="s">
        <v>91</v>
      </c>
      <c r="D132" s="4">
        <v>3871683529.21</v>
      </c>
      <c r="E132" s="3">
        <f t="shared" si="40"/>
        <v>7.4849436579524864E-2</v>
      </c>
      <c r="F132" s="4">
        <v>20.713999999999999</v>
      </c>
      <c r="G132" s="4">
        <v>20.973299999999998</v>
      </c>
      <c r="H132" s="60">
        <v>6271</v>
      </c>
      <c r="I132" s="5">
        <v>2.7000000000000001E-3</v>
      </c>
      <c r="J132" s="5">
        <v>0.1235</v>
      </c>
      <c r="K132" s="4">
        <v>3761236239.5700002</v>
      </c>
      <c r="L132" s="16">
        <f t="shared" si="41"/>
        <v>7.4361809344948113E-2</v>
      </c>
      <c r="M132" s="4">
        <v>21.1111</v>
      </c>
      <c r="N132" s="4">
        <v>21.378799999999998</v>
      </c>
      <c r="O132" s="60">
        <v>6271</v>
      </c>
      <c r="P132" s="5">
        <v>-2.23E-2</v>
      </c>
      <c r="Q132" s="5">
        <v>0.14510000000000001</v>
      </c>
      <c r="R132" s="81">
        <f t="shared" si="42"/>
        <v>-2.8526941524721197E-2</v>
      </c>
      <c r="S132" s="81">
        <f t="shared" si="43"/>
        <v>1.9334105743969713E-2</v>
      </c>
      <c r="T132" s="81">
        <f t="shared" si="44"/>
        <v>0</v>
      </c>
      <c r="U132" s="81">
        <f t="shared" si="45"/>
        <v>-2.5000000000000001E-2</v>
      </c>
      <c r="V132" s="83">
        <f t="shared" si="46"/>
        <v>2.1600000000000008E-2</v>
      </c>
    </row>
    <row r="133" spans="1:24">
      <c r="A133" s="75">
        <v>110</v>
      </c>
      <c r="B133" s="112" t="s">
        <v>158</v>
      </c>
      <c r="C133" s="113" t="s">
        <v>101</v>
      </c>
      <c r="D133" s="2">
        <v>1589873613.6700001</v>
      </c>
      <c r="E133" s="3">
        <f t="shared" si="40"/>
        <v>3.0736278757818397E-2</v>
      </c>
      <c r="F133" s="4">
        <v>3.7155999999999998</v>
      </c>
      <c r="G133" s="4">
        <v>3.8149000000000002</v>
      </c>
      <c r="H133" s="60">
        <v>2753</v>
      </c>
      <c r="I133" s="5">
        <v>-0.19389999999999999</v>
      </c>
      <c r="J133" s="5">
        <v>2.2067999999999999</v>
      </c>
      <c r="K133" s="2">
        <v>1554555317.22</v>
      </c>
      <c r="L133" s="16">
        <f t="shared" si="41"/>
        <v>3.0734455044096026E-2</v>
      </c>
      <c r="M133" s="4">
        <v>3.6337000000000002</v>
      </c>
      <c r="N133" s="4">
        <v>3.7292999999999998</v>
      </c>
      <c r="O133" s="60">
        <v>2753</v>
      </c>
      <c r="P133" s="5">
        <v>1.1732</v>
      </c>
      <c r="Q133" s="5">
        <v>1.5745</v>
      </c>
      <c r="R133" s="81">
        <f t="shared" si="42"/>
        <v>-2.2214530857250166E-2</v>
      </c>
      <c r="S133" s="81">
        <f t="shared" si="43"/>
        <v>-2.2438333901281905E-2</v>
      </c>
      <c r="T133" s="81">
        <f t="shared" si="44"/>
        <v>0</v>
      </c>
      <c r="U133" s="81">
        <f t="shared" si="45"/>
        <v>1.3671</v>
      </c>
      <c r="V133" s="83">
        <f t="shared" si="46"/>
        <v>-0.63229999999999986</v>
      </c>
    </row>
    <row r="134" spans="1:24">
      <c r="A134" s="75">
        <v>111</v>
      </c>
      <c r="B134" s="112" t="s">
        <v>159</v>
      </c>
      <c r="C134" s="113" t="s">
        <v>56</v>
      </c>
      <c r="D134" s="2">
        <v>3573981850.2108402</v>
      </c>
      <c r="E134" s="3">
        <f t="shared" si="40"/>
        <v>6.9094110046828541E-2</v>
      </c>
      <c r="F134" s="4">
        <v>6446.8728089071701</v>
      </c>
      <c r="G134" s="4">
        <v>6497.5880140900299</v>
      </c>
      <c r="H134" s="60">
        <v>861</v>
      </c>
      <c r="I134" s="5">
        <v>-0.73046976802268204</v>
      </c>
      <c r="J134" s="5">
        <v>1.603821894639418</v>
      </c>
      <c r="K134" s="2">
        <v>3462971591.0202498</v>
      </c>
      <c r="L134" s="16">
        <f t="shared" si="41"/>
        <v>6.8464945251048459E-2</v>
      </c>
      <c r="M134" s="4">
        <v>6033.7745632256056</v>
      </c>
      <c r="N134" s="4">
        <v>6076.0593658066882</v>
      </c>
      <c r="O134" s="60">
        <v>866</v>
      </c>
      <c r="P134" s="5">
        <v>-1.6512194445437633</v>
      </c>
      <c r="Q134" s="5">
        <v>0.38937729424848977</v>
      </c>
      <c r="R134" s="81">
        <f t="shared" si="42"/>
        <v>-3.1060666741785928E-2</v>
      </c>
      <c r="S134" s="81">
        <f t="shared" si="43"/>
        <v>-6.4874634613529839E-2</v>
      </c>
      <c r="T134" s="81">
        <f t="shared" si="44"/>
        <v>5.8072009291521487E-3</v>
      </c>
      <c r="U134" s="81">
        <f t="shared" si="45"/>
        <v>-0.92074967652108131</v>
      </c>
      <c r="V134" s="83">
        <f t="shared" si="46"/>
        <v>-1.2144446003909284</v>
      </c>
    </row>
    <row r="135" spans="1:24">
      <c r="A135" s="75">
        <v>112</v>
      </c>
      <c r="B135" s="112" t="s">
        <v>160</v>
      </c>
      <c r="C135" s="113" t="s">
        <v>58</v>
      </c>
      <c r="D135" s="4">
        <v>516135670.97000003</v>
      </c>
      <c r="E135" s="3">
        <f t="shared" si="40"/>
        <v>9.9782081565386403E-3</v>
      </c>
      <c r="F135" s="4">
        <v>183.66</v>
      </c>
      <c r="G135" s="4">
        <v>184.92</v>
      </c>
      <c r="H135" s="60">
        <v>660</v>
      </c>
      <c r="I135" s="5">
        <v>-1.5699999999999999E-2</v>
      </c>
      <c r="J135" s="5">
        <v>6.1699999999999998E-2</v>
      </c>
      <c r="K135" s="4">
        <v>502924051.69999999</v>
      </c>
      <c r="L135" s="16">
        <f t="shared" si="41"/>
        <v>9.9430985094889311E-3</v>
      </c>
      <c r="M135" s="4">
        <v>178.83</v>
      </c>
      <c r="N135" s="4">
        <v>180.06</v>
      </c>
      <c r="O135" s="60">
        <v>662</v>
      </c>
      <c r="P135" s="5">
        <v>-2.63E-2</v>
      </c>
      <c r="Q135" s="5">
        <v>3.3799999999999997E-2</v>
      </c>
      <c r="R135" s="81">
        <f t="shared" si="42"/>
        <v>-2.5597183091745572E-2</v>
      </c>
      <c r="S135" s="81">
        <f t="shared" si="43"/>
        <v>-2.6281635301752031E-2</v>
      </c>
      <c r="T135" s="81">
        <f t="shared" si="44"/>
        <v>3.0303030303030303E-3</v>
      </c>
      <c r="U135" s="81">
        <f t="shared" si="45"/>
        <v>-1.0600000000000002E-2</v>
      </c>
      <c r="V135" s="83">
        <f t="shared" si="46"/>
        <v>-2.7900000000000001E-2</v>
      </c>
    </row>
    <row r="136" spans="1:24">
      <c r="A136" s="75">
        <v>113</v>
      </c>
      <c r="B136" s="112" t="s">
        <v>161</v>
      </c>
      <c r="C136" s="113" t="s">
        <v>60</v>
      </c>
      <c r="D136" s="4">
        <v>3734808.11</v>
      </c>
      <c r="E136" s="3">
        <f t="shared" si="40"/>
        <v>7.220328848085906E-5</v>
      </c>
      <c r="F136" s="4">
        <v>102.747</v>
      </c>
      <c r="G136" s="4">
        <v>102.99</v>
      </c>
      <c r="H136" s="60">
        <v>0</v>
      </c>
      <c r="I136" s="5">
        <v>0</v>
      </c>
      <c r="J136" s="5">
        <v>0</v>
      </c>
      <c r="K136" s="4">
        <v>3734808.11</v>
      </c>
      <c r="L136" s="16">
        <f t="shared" si="41"/>
        <v>7.3839309983766624E-5</v>
      </c>
      <c r="M136" s="4">
        <v>102.747</v>
      </c>
      <c r="N136" s="4">
        <v>102.99</v>
      </c>
      <c r="O136" s="60">
        <v>0</v>
      </c>
      <c r="P136" s="5">
        <v>0</v>
      </c>
      <c r="Q136" s="5">
        <v>0</v>
      </c>
      <c r="R136" s="81">
        <f t="shared" si="42"/>
        <v>0</v>
      </c>
      <c r="S136" s="81">
        <f t="shared" si="43"/>
        <v>0</v>
      </c>
      <c r="T136" s="81" t="e">
        <f t="shared" si="44"/>
        <v>#DIV/0!</v>
      </c>
      <c r="U136" s="81">
        <f t="shared" si="45"/>
        <v>0</v>
      </c>
      <c r="V136" s="83">
        <f t="shared" si="46"/>
        <v>0</v>
      </c>
    </row>
    <row r="137" spans="1:24">
      <c r="A137" s="75">
        <v>114</v>
      </c>
      <c r="B137" s="112" t="s">
        <v>162</v>
      </c>
      <c r="C137" s="113" t="s">
        <v>105</v>
      </c>
      <c r="D137" s="4">
        <v>200226010.97</v>
      </c>
      <c r="E137" s="3">
        <f t="shared" si="40"/>
        <v>3.8708752914854735E-3</v>
      </c>
      <c r="F137" s="4">
        <v>1.6620999999999999</v>
      </c>
      <c r="G137" s="4">
        <v>1.6792</v>
      </c>
      <c r="H137" s="60">
        <v>277</v>
      </c>
      <c r="I137" s="5">
        <v>8.0148681612266515E-3</v>
      </c>
      <c r="J137" s="5">
        <v>0.16851814448259606</v>
      </c>
      <c r="K137" s="4">
        <v>192986197.61000001</v>
      </c>
      <c r="L137" s="16">
        <f t="shared" si="41"/>
        <v>3.8154484107921771E-3</v>
      </c>
      <c r="M137" s="4">
        <v>1.6056999999999999</v>
      </c>
      <c r="N137" s="4">
        <v>1.6217999999999999</v>
      </c>
      <c r="O137" s="60">
        <v>279</v>
      </c>
      <c r="P137" s="5">
        <v>-3.3932976355213307E-2</v>
      </c>
      <c r="Q137" s="5">
        <v>8.1061065104692576E-2</v>
      </c>
      <c r="R137" s="81">
        <f t="shared" si="42"/>
        <v>-3.6158206043892721E-2</v>
      </c>
      <c r="S137" s="81">
        <f t="shared" si="43"/>
        <v>-3.4182944259171101E-2</v>
      </c>
      <c r="T137" s="81">
        <f t="shared" si="44"/>
        <v>7.2202166064981952E-3</v>
      </c>
      <c r="U137" s="81">
        <f t="shared" si="45"/>
        <v>-4.1947844516439958E-2</v>
      </c>
      <c r="V137" s="83">
        <f t="shared" si="46"/>
        <v>-8.7457079377903479E-2</v>
      </c>
    </row>
    <row r="138" spans="1:24">
      <c r="A138" s="75">
        <v>115</v>
      </c>
      <c r="B138" s="112" t="s">
        <v>163</v>
      </c>
      <c r="C138" s="113" t="s">
        <v>25</v>
      </c>
      <c r="D138" s="9">
        <v>162596599.09</v>
      </c>
      <c r="E138" s="3">
        <f t="shared" si="40"/>
        <v>3.1434035710342974E-3</v>
      </c>
      <c r="F138" s="4">
        <v>151.97919999999999</v>
      </c>
      <c r="G138" s="4">
        <v>152.7114</v>
      </c>
      <c r="H138" s="60">
        <v>89</v>
      </c>
      <c r="I138" s="5">
        <v>1.47E-4</v>
      </c>
      <c r="J138" s="5">
        <v>0.36330000000000001</v>
      </c>
      <c r="K138" s="9">
        <v>154212502.13</v>
      </c>
      <c r="L138" s="16">
        <f t="shared" si="41"/>
        <v>3.0488700925920772E-3</v>
      </c>
      <c r="M138" s="4">
        <v>148.16050000000001</v>
      </c>
      <c r="N138" s="4">
        <v>148.88069999999999</v>
      </c>
      <c r="O138" s="60">
        <v>90</v>
      </c>
      <c r="P138" s="5">
        <v>-2.4358000000000001E-2</v>
      </c>
      <c r="Q138" s="5">
        <v>0.34870000000000001</v>
      </c>
      <c r="R138" s="81">
        <f t="shared" si="42"/>
        <v>-5.1563790429338972E-2</v>
      </c>
      <c r="S138" s="81">
        <f t="shared" si="43"/>
        <v>-2.5084571289373338E-2</v>
      </c>
      <c r="T138" s="81">
        <f t="shared" si="44"/>
        <v>1.1235955056179775E-2</v>
      </c>
      <c r="U138" s="81">
        <f t="shared" si="45"/>
        <v>-2.4505000000000002E-2</v>
      </c>
      <c r="V138" s="83">
        <f t="shared" si="46"/>
        <v>-1.4600000000000002E-2</v>
      </c>
    </row>
    <row r="139" spans="1:24">
      <c r="A139" s="75">
        <v>116</v>
      </c>
      <c r="B139" s="112" t="s">
        <v>164</v>
      </c>
      <c r="C139" s="113" t="s">
        <v>64</v>
      </c>
      <c r="D139" s="9">
        <v>199562534.44999999</v>
      </c>
      <c r="E139" s="3">
        <f t="shared" si="40"/>
        <v>3.8580486119980935E-3</v>
      </c>
      <c r="F139" s="4">
        <v>111.66</v>
      </c>
      <c r="G139" s="4">
        <v>111.97</v>
      </c>
      <c r="H139" s="60">
        <v>31</v>
      </c>
      <c r="I139" s="5">
        <v>3.0000000000000001E-3</v>
      </c>
      <c r="J139" s="5">
        <v>7.6499999999999999E-2</v>
      </c>
      <c r="K139" s="9">
        <v>198456867.66999999</v>
      </c>
      <c r="L139" s="16">
        <f t="shared" si="41"/>
        <v>3.9236067124992086E-3</v>
      </c>
      <c r="M139" s="4">
        <v>111.04</v>
      </c>
      <c r="N139" s="4">
        <v>111.43</v>
      </c>
      <c r="O139" s="60">
        <v>29</v>
      </c>
      <c r="P139" s="5">
        <v>-5.5999999999999999E-3</v>
      </c>
      <c r="Q139" s="5">
        <v>7.0800000000000002E-2</v>
      </c>
      <c r="R139" s="81">
        <f t="shared" si="42"/>
        <v>-5.5404526859074536E-3</v>
      </c>
      <c r="S139" s="81">
        <f t="shared" si="43"/>
        <v>-4.8227203715280166E-3</v>
      </c>
      <c r="T139" s="81">
        <f t="shared" si="44"/>
        <v>-6.4516129032258063E-2</v>
      </c>
      <c r="U139" s="81">
        <f t="shared" si="45"/>
        <v>-8.6E-3</v>
      </c>
      <c r="V139" s="83">
        <f t="shared" si="46"/>
        <v>-5.6999999999999967E-3</v>
      </c>
    </row>
    <row r="140" spans="1:24" ht="15.75" customHeight="1">
      <c r="A140" s="75">
        <v>117</v>
      </c>
      <c r="B140" s="112" t="s">
        <v>165</v>
      </c>
      <c r="C140" s="113" t="s">
        <v>67</v>
      </c>
      <c r="D140" s="2">
        <v>519000904.81999999</v>
      </c>
      <c r="E140" s="3">
        <f t="shared" si="40"/>
        <v>1.0033600374865132E-2</v>
      </c>
      <c r="F140" s="4">
        <v>1.5162</v>
      </c>
      <c r="G140" s="4">
        <v>1.5327</v>
      </c>
      <c r="H140" s="60">
        <v>107</v>
      </c>
      <c r="I140" s="5">
        <v>3.0797470936161461E-2</v>
      </c>
      <c r="J140" s="5">
        <v>0.16308683645289956</v>
      </c>
      <c r="K140" s="2">
        <v>499088920.41000003</v>
      </c>
      <c r="L140" s="16">
        <f t="shared" si="41"/>
        <v>9.8672757523859574E-3</v>
      </c>
      <c r="M140" s="4">
        <v>1.4691000000000001</v>
      </c>
      <c r="N140" s="4">
        <v>1.4691000000000001</v>
      </c>
      <c r="O140" s="60">
        <v>109</v>
      </c>
      <c r="P140" s="5">
        <v>-4.075979422239815E-2</v>
      </c>
      <c r="Q140" s="5">
        <v>0.11567965633629934</v>
      </c>
      <c r="R140" s="81">
        <f t="shared" si="42"/>
        <v>-3.8365991706518977E-2</v>
      </c>
      <c r="S140" s="81">
        <f t="shared" si="43"/>
        <v>-4.1495400274026151E-2</v>
      </c>
      <c r="T140" s="81">
        <f t="shared" si="44"/>
        <v>1.8691588785046728E-2</v>
      </c>
      <c r="U140" s="81">
        <f t="shared" si="45"/>
        <v>-7.1557265158559619E-2</v>
      </c>
      <c r="V140" s="83">
        <f t="shared" si="46"/>
        <v>-4.7407180116600223E-2</v>
      </c>
      <c r="X140" s="105"/>
    </row>
    <row r="141" spans="1:24">
      <c r="A141" s="75">
        <v>118</v>
      </c>
      <c r="B141" s="112" t="s">
        <v>166</v>
      </c>
      <c r="C141" s="113" t="s">
        <v>27</v>
      </c>
      <c r="D141" s="4">
        <v>8407365309.6999998</v>
      </c>
      <c r="E141" s="3">
        <f t="shared" si="40"/>
        <v>0.16253563903186341</v>
      </c>
      <c r="F141" s="4">
        <v>306.41000000000003</v>
      </c>
      <c r="G141" s="4">
        <v>309.26</v>
      </c>
      <c r="H141" s="60">
        <v>5496</v>
      </c>
      <c r="I141" s="5">
        <v>-6.3E-3</v>
      </c>
      <c r="J141" s="5">
        <v>0.1331</v>
      </c>
      <c r="K141" s="4">
        <v>8183002986.3800001</v>
      </c>
      <c r="L141" s="16">
        <f t="shared" si="41"/>
        <v>0.16178268770799067</v>
      </c>
      <c r="M141" s="4">
        <v>297.93</v>
      </c>
      <c r="N141" s="4">
        <v>300.63</v>
      </c>
      <c r="O141" s="60">
        <v>5498</v>
      </c>
      <c r="P141" s="5">
        <v>-2.7799999999999998E-2</v>
      </c>
      <c r="Q141" s="5">
        <v>0.1017</v>
      </c>
      <c r="R141" s="81">
        <f t="shared" si="42"/>
        <v>-2.6686401156036554E-2</v>
      </c>
      <c r="S141" s="81">
        <f t="shared" si="43"/>
        <v>-2.7905322382461347E-2</v>
      </c>
      <c r="T141" s="81">
        <f t="shared" si="44"/>
        <v>3.63901018922853E-4</v>
      </c>
      <c r="U141" s="81">
        <f t="shared" si="45"/>
        <v>-2.1499999999999998E-2</v>
      </c>
      <c r="V141" s="83">
        <f t="shared" si="46"/>
        <v>-3.1399999999999997E-2</v>
      </c>
    </row>
    <row r="142" spans="1:24">
      <c r="A142" s="75">
        <v>119</v>
      </c>
      <c r="B142" s="112" t="s">
        <v>167</v>
      </c>
      <c r="C142" s="113" t="s">
        <v>72</v>
      </c>
      <c r="D142" s="4">
        <v>2786691446.6500001</v>
      </c>
      <c r="E142" s="3">
        <f t="shared" si="40"/>
        <v>5.3873794985845318E-2</v>
      </c>
      <c r="F142" s="4">
        <v>1.9414</v>
      </c>
      <c r="G142" s="4">
        <v>1.9795</v>
      </c>
      <c r="H142" s="60">
        <v>10319</v>
      </c>
      <c r="I142" s="5">
        <v>-1.46E-2</v>
      </c>
      <c r="J142" s="5">
        <v>0.1145</v>
      </c>
      <c r="K142" s="4">
        <v>2712004007.2199998</v>
      </c>
      <c r="L142" s="16">
        <f t="shared" si="41"/>
        <v>5.361788307949638E-2</v>
      </c>
      <c r="M142" s="4">
        <v>1.89</v>
      </c>
      <c r="N142" s="4">
        <v>1.9259999999999999</v>
      </c>
      <c r="O142" s="60">
        <v>10319</v>
      </c>
      <c r="P142" s="5">
        <v>-2.6800000000000001E-2</v>
      </c>
      <c r="Q142" s="5">
        <v>8.4599999999999995E-2</v>
      </c>
      <c r="R142" s="81">
        <f t="shared" si="42"/>
        <v>-2.6801474386331951E-2</v>
      </c>
      <c r="S142" s="81">
        <f t="shared" si="43"/>
        <v>-2.7027027027027077E-2</v>
      </c>
      <c r="T142" s="81">
        <f t="shared" si="44"/>
        <v>0</v>
      </c>
      <c r="U142" s="81">
        <f t="shared" si="45"/>
        <v>-1.2200000000000001E-2</v>
      </c>
      <c r="V142" s="83">
        <f t="shared" si="46"/>
        <v>-2.990000000000001E-2</v>
      </c>
    </row>
    <row r="143" spans="1:24">
      <c r="A143" s="75">
        <v>120</v>
      </c>
      <c r="B143" s="112" t="s">
        <v>168</v>
      </c>
      <c r="C143" s="113" t="s">
        <v>74</v>
      </c>
      <c r="D143" s="4">
        <v>200448827.31181556</v>
      </c>
      <c r="E143" s="3">
        <f t="shared" si="40"/>
        <v>3.8751828950175753E-3</v>
      </c>
      <c r="F143" s="4">
        <v>260.81257222555286</v>
      </c>
      <c r="G143" s="4">
        <v>266.57754249779879</v>
      </c>
      <c r="H143" s="60">
        <v>183</v>
      </c>
      <c r="I143" s="5">
        <v>1.1727138639249652</v>
      </c>
      <c r="J143" s="5">
        <v>1.1727138639249652</v>
      </c>
      <c r="K143" s="4">
        <v>194625953.3139171</v>
      </c>
      <c r="L143" s="16">
        <f t="shared" si="41"/>
        <v>3.847867326611438E-3</v>
      </c>
      <c r="M143" s="4">
        <v>253.23618095649971</v>
      </c>
      <c r="N143" s="4">
        <v>259.13304658365928</v>
      </c>
      <c r="O143" s="60">
        <v>183</v>
      </c>
      <c r="P143" s="5">
        <v>-2.9049179663398372E-2</v>
      </c>
      <c r="Q143" s="5">
        <v>1.1095983085346526</v>
      </c>
      <c r="R143" s="81">
        <f t="shared" si="42"/>
        <v>-2.9049179663398445E-2</v>
      </c>
      <c r="S143" s="81">
        <f t="shared" si="43"/>
        <v>-2.7926193048317189E-2</v>
      </c>
      <c r="T143" s="81">
        <f t="shared" si="44"/>
        <v>0</v>
      </c>
      <c r="U143" s="81">
        <f t="shared" si="45"/>
        <v>-1.2017630435883637</v>
      </c>
      <c r="V143" s="83">
        <f t="shared" si="46"/>
        <v>-6.3115555390312661E-2</v>
      </c>
    </row>
    <row r="144" spans="1:24" ht="13.5" customHeight="1">
      <c r="A144" s="75">
        <v>121</v>
      </c>
      <c r="B144" s="112" t="s">
        <v>240</v>
      </c>
      <c r="C144" s="113" t="s">
        <v>32</v>
      </c>
      <c r="D144" s="2">
        <v>2768900808.9825001</v>
      </c>
      <c r="E144" s="3">
        <f t="shared" si="40"/>
        <v>5.3529856955849726E-2</v>
      </c>
      <c r="F144" s="4">
        <v>3.8439999999999999</v>
      </c>
      <c r="G144" s="4">
        <v>3.9201999999999999</v>
      </c>
      <c r="H144" s="60">
        <v>2299</v>
      </c>
      <c r="I144" s="5">
        <v>-1.5822622766142769E-2</v>
      </c>
      <c r="J144" s="5">
        <v>5.682786682429275E-2</v>
      </c>
      <c r="K144" s="2">
        <v>2691345424.5007</v>
      </c>
      <c r="L144" s="16">
        <f t="shared" si="41"/>
        <v>5.3209450986519136E-2</v>
      </c>
      <c r="M144" s="4">
        <v>3.7395999999999998</v>
      </c>
      <c r="N144" s="4">
        <v>3.8113999999999999</v>
      </c>
      <c r="O144" s="60">
        <v>2306</v>
      </c>
      <c r="P144" s="5">
        <v>-2.7159209157127995E-2</v>
      </c>
      <c r="Q144" s="5">
        <v>2.8125257746130172E-2</v>
      </c>
      <c r="R144" s="81">
        <f t="shared" si="42"/>
        <v>-2.8009448453409816E-2</v>
      </c>
      <c r="S144" s="81">
        <f t="shared" si="43"/>
        <v>-2.7753686036426715E-2</v>
      </c>
      <c r="T144" s="81">
        <f t="shared" si="44"/>
        <v>3.0448020878642889E-3</v>
      </c>
      <c r="U144" s="81">
        <f t="shared" si="45"/>
        <v>-1.1336586390985226E-2</v>
      </c>
      <c r="V144" s="83">
        <f>Q144-J144</f>
        <v>-2.8702609078162578E-2</v>
      </c>
    </row>
    <row r="145" spans="1:22">
      <c r="A145" s="75">
        <v>122</v>
      </c>
      <c r="B145" s="112" t="s">
        <v>169</v>
      </c>
      <c r="C145" s="113" t="s">
        <v>114</v>
      </c>
      <c r="D145" s="2">
        <v>199096895.25999999</v>
      </c>
      <c r="E145" s="3">
        <f t="shared" si="40"/>
        <v>3.8490466285565498E-3</v>
      </c>
      <c r="F145" s="4">
        <v>198.44543100000001</v>
      </c>
      <c r="G145" s="4">
        <v>204.66324499999999</v>
      </c>
      <c r="H145" s="60">
        <v>139</v>
      </c>
      <c r="I145" s="5">
        <v>-1.46E-2</v>
      </c>
      <c r="J145" s="5">
        <v>0.10539999999999999</v>
      </c>
      <c r="K145" s="2">
        <v>203945479.78</v>
      </c>
      <c r="L145" s="16">
        <f t="shared" si="41"/>
        <v>4.0321197388808894E-3</v>
      </c>
      <c r="M145" s="4">
        <v>191.192024</v>
      </c>
      <c r="N145" s="4">
        <v>196.33424400000001</v>
      </c>
      <c r="O145" s="60">
        <v>139</v>
      </c>
      <c r="P145" s="5">
        <v>-2.0199999999999999E-2</v>
      </c>
      <c r="Q145" s="5">
        <v>6.0400000000000002E-2</v>
      </c>
      <c r="R145" s="81">
        <f t="shared" si="42"/>
        <v>2.4352888645843822E-2</v>
      </c>
      <c r="S145" s="81">
        <f t="shared" si="43"/>
        <v>-4.0696124993034176E-2</v>
      </c>
      <c r="T145" s="81">
        <f t="shared" si="44"/>
        <v>0</v>
      </c>
      <c r="U145" s="81">
        <f t="shared" si="45"/>
        <v>-5.5999999999999991E-3</v>
      </c>
      <c r="V145" s="83">
        <f t="shared" si="46"/>
        <v>-4.4999999999999991E-2</v>
      </c>
    </row>
    <row r="146" spans="1:22">
      <c r="A146" s="75">
        <v>123</v>
      </c>
      <c r="B146" s="112" t="s">
        <v>170</v>
      </c>
      <c r="C146" s="113" t="s">
        <v>29</v>
      </c>
      <c r="D146" s="2">
        <v>1655531187.4000001</v>
      </c>
      <c r="E146" s="3">
        <f t="shared" si="40"/>
        <v>3.2005605747948682E-2</v>
      </c>
      <c r="F146" s="4">
        <v>552.22</v>
      </c>
      <c r="G146" s="4">
        <v>552.22</v>
      </c>
      <c r="H146" s="60">
        <v>818</v>
      </c>
      <c r="I146" s="5">
        <v>-1.5270000000000001E-2</v>
      </c>
      <c r="J146" s="5">
        <v>5.8999999999999997E-2</v>
      </c>
      <c r="K146" s="2">
        <v>1636043558.95</v>
      </c>
      <c r="L146" s="16">
        <f t="shared" ref="L146:L154" si="47">(K146/$K$155)</f>
        <v>3.2345524572681146E-2</v>
      </c>
      <c r="M146" s="4">
        <v>552.22</v>
      </c>
      <c r="N146" s="4">
        <v>552.22</v>
      </c>
      <c r="O146" s="60">
        <v>818</v>
      </c>
      <c r="P146" s="5">
        <v>-1.1769999999999999E-2</v>
      </c>
      <c r="Q146" s="5">
        <v>4.6530000000000002E-2</v>
      </c>
      <c r="R146" s="81">
        <f t="shared" si="42"/>
        <v>-1.1771224002493863E-2</v>
      </c>
      <c r="S146" s="81">
        <f t="shared" si="43"/>
        <v>0</v>
      </c>
      <c r="T146" s="81">
        <f t="shared" si="44"/>
        <v>0</v>
      </c>
      <c r="U146" s="81">
        <f t="shared" si="45"/>
        <v>3.5000000000000014E-3</v>
      </c>
      <c r="V146" s="83">
        <f t="shared" si="46"/>
        <v>-1.2469999999999995E-2</v>
      </c>
    </row>
    <row r="147" spans="1:22">
      <c r="A147" s="75">
        <v>124</v>
      </c>
      <c r="B147" s="112" t="s">
        <v>171</v>
      </c>
      <c r="C147" s="113" t="s">
        <v>80</v>
      </c>
      <c r="D147" s="4">
        <v>31165309.359999999</v>
      </c>
      <c r="E147" s="3">
        <f t="shared" si="40"/>
        <v>6.0250426689667253E-4</v>
      </c>
      <c r="F147" s="4">
        <v>1.86</v>
      </c>
      <c r="G147" s="4">
        <v>1.86</v>
      </c>
      <c r="H147" s="60">
        <v>8</v>
      </c>
      <c r="I147" s="5">
        <v>7.0200000000000002E-3</v>
      </c>
      <c r="J147" s="5">
        <v>0.140541</v>
      </c>
      <c r="K147" s="4">
        <v>27549660.199999999</v>
      </c>
      <c r="L147" s="16">
        <f t="shared" si="47"/>
        <v>5.4467266845879218E-4</v>
      </c>
      <c r="M147" s="4">
        <v>1.74</v>
      </c>
      <c r="N147" s="4">
        <v>1.74</v>
      </c>
      <c r="O147" s="60">
        <v>8</v>
      </c>
      <c r="P147" s="5">
        <v>-4.5770999999999999E-2</v>
      </c>
      <c r="Q147" s="5">
        <v>7.1268999999999999E-2</v>
      </c>
      <c r="R147" s="81">
        <f t="shared" si="42"/>
        <v>-0.11601518593107911</v>
      </c>
      <c r="S147" s="81">
        <f t="shared" si="43"/>
        <v>-6.4516129032258118E-2</v>
      </c>
      <c r="T147" s="81">
        <f t="shared" si="44"/>
        <v>0</v>
      </c>
      <c r="U147" s="81">
        <f t="shared" si="45"/>
        <v>-5.2790999999999998E-2</v>
      </c>
      <c r="V147" s="83">
        <f t="shared" si="46"/>
        <v>-6.9272E-2</v>
      </c>
    </row>
    <row r="148" spans="1:22">
      <c r="A148" s="75">
        <v>125</v>
      </c>
      <c r="B148" s="112" t="s">
        <v>172</v>
      </c>
      <c r="C148" s="113" t="s">
        <v>38</v>
      </c>
      <c r="D148" s="4">
        <v>274389037.69</v>
      </c>
      <c r="E148" s="3">
        <f t="shared" si="40"/>
        <v>5.3046342036341936E-3</v>
      </c>
      <c r="F148" s="4">
        <v>2.7146539999999999</v>
      </c>
      <c r="G148" s="4">
        <v>2.5926870000000002</v>
      </c>
      <c r="H148" s="60">
        <v>116</v>
      </c>
      <c r="I148" s="5">
        <v>3.1E-2</v>
      </c>
      <c r="J148" s="5">
        <v>0.14879999999999999</v>
      </c>
      <c r="K148" s="4">
        <v>265260650.59999999</v>
      </c>
      <c r="L148" s="16">
        <f t="shared" si="47"/>
        <v>5.2443560229253686E-3</v>
      </c>
      <c r="M148" s="4">
        <v>2.5826120000000001</v>
      </c>
      <c r="N148" s="4">
        <v>2.6270310000000001</v>
      </c>
      <c r="O148" s="60">
        <v>120</v>
      </c>
      <c r="P148" s="5">
        <v>-1.8800000000000001E-2</v>
      </c>
      <c r="Q148" s="5">
        <v>0.11119999999999999</v>
      </c>
      <c r="R148" s="81">
        <f t="shared" si="42"/>
        <v>-3.3268045862360936E-2</v>
      </c>
      <c r="S148" s="81">
        <f t="shared" si="43"/>
        <v>1.3246489067133799E-2</v>
      </c>
      <c r="T148" s="81">
        <f t="shared" si="44"/>
        <v>3.4482758620689655E-2</v>
      </c>
      <c r="U148" s="81">
        <f t="shared" si="45"/>
        <v>-4.9799999999999997E-2</v>
      </c>
      <c r="V148" s="83">
        <f t="shared" si="46"/>
        <v>-3.7599999999999995E-2</v>
      </c>
    </row>
    <row r="149" spans="1:22">
      <c r="A149" s="75">
        <v>126</v>
      </c>
      <c r="B149" s="112" t="s">
        <v>173</v>
      </c>
      <c r="C149" s="113" t="s">
        <v>42</v>
      </c>
      <c r="D149" s="2">
        <v>3109516883.1799998</v>
      </c>
      <c r="E149" s="3">
        <f t="shared" si="40"/>
        <v>6.0114827305638267E-2</v>
      </c>
      <c r="F149" s="4">
        <v>5736.12</v>
      </c>
      <c r="G149" s="4">
        <v>5784.2</v>
      </c>
      <c r="H149" s="60">
        <v>3983</v>
      </c>
      <c r="I149" s="5">
        <v>-7.0000000000000001E-3</v>
      </c>
      <c r="J149" s="5">
        <v>0.15190000000000001</v>
      </c>
      <c r="K149" s="2">
        <v>3148695711.3600001</v>
      </c>
      <c r="L149" s="3">
        <f t="shared" si="47"/>
        <v>6.2251529885337976E-2</v>
      </c>
      <c r="M149" s="4">
        <v>5606.6</v>
      </c>
      <c r="N149" s="4">
        <v>5650.83</v>
      </c>
      <c r="O149" s="60">
        <v>2169</v>
      </c>
      <c r="P149" s="5">
        <v>-2.3099999999999999E-2</v>
      </c>
      <c r="Q149" s="5">
        <v>0.12540000000000001</v>
      </c>
      <c r="R149" s="81">
        <f t="shared" si="42"/>
        <v>1.2599651216536703E-2</v>
      </c>
      <c r="S149" s="81">
        <f t="shared" si="43"/>
        <v>-2.3057639777324418E-2</v>
      </c>
      <c r="T149" s="81">
        <f t="shared" si="44"/>
        <v>-0.45543560130554855</v>
      </c>
      <c r="U149" s="81">
        <f t="shared" si="45"/>
        <v>-1.61E-2</v>
      </c>
      <c r="V149" s="83">
        <f t="shared" si="46"/>
        <v>-2.6499999999999996E-2</v>
      </c>
    </row>
    <row r="150" spans="1:22">
      <c r="A150" s="75">
        <v>127</v>
      </c>
      <c r="B150" s="112" t="s">
        <v>256</v>
      </c>
      <c r="C150" s="112" t="s">
        <v>257</v>
      </c>
      <c r="D150" s="2">
        <v>597881541.01999998</v>
      </c>
      <c r="E150" s="3">
        <f t="shared" si="40"/>
        <v>1.155856261210904E-2</v>
      </c>
      <c r="F150" s="4">
        <v>1.18</v>
      </c>
      <c r="G150" s="4">
        <v>1.18</v>
      </c>
      <c r="H150" s="60">
        <v>32</v>
      </c>
      <c r="I150" s="5">
        <v>0</v>
      </c>
      <c r="J150" s="5">
        <v>0.15277509533071679</v>
      </c>
      <c r="K150" s="2">
        <v>599597590.85000002</v>
      </c>
      <c r="L150" s="3">
        <f t="shared" si="47"/>
        <v>1.1854390124555242E-2</v>
      </c>
      <c r="M150" s="4">
        <v>1.18</v>
      </c>
      <c r="N150" s="4">
        <v>1.18</v>
      </c>
      <c r="O150" s="60">
        <v>32</v>
      </c>
      <c r="P150" s="5">
        <v>0</v>
      </c>
      <c r="Q150" s="5">
        <v>0.15268988616258169</v>
      </c>
      <c r="R150" s="81">
        <f>((K150-D150)/D150)</f>
        <v>2.8702171120259402E-3</v>
      </c>
      <c r="S150" s="81">
        <f>((N150-G150)/G150)</f>
        <v>0</v>
      </c>
      <c r="T150" s="81">
        <f>((O150-H150)/H150)</f>
        <v>0</v>
      </c>
      <c r="U150" s="81">
        <f>P150-I150</f>
        <v>0</v>
      </c>
      <c r="V150" s="83">
        <f>Q150-J150</f>
        <v>-8.5209168135091939E-5</v>
      </c>
    </row>
    <row r="151" spans="1:22">
      <c r="A151" s="75">
        <v>128</v>
      </c>
      <c r="B151" s="112" t="s">
        <v>174</v>
      </c>
      <c r="C151" s="113" t="s">
        <v>45</v>
      </c>
      <c r="D151" s="4">
        <v>1951595533.03</v>
      </c>
      <c r="E151" s="3">
        <f t="shared" si="40"/>
        <v>3.7729278484757545E-2</v>
      </c>
      <c r="F151" s="4">
        <v>2.0958999999999999</v>
      </c>
      <c r="G151" s="4">
        <v>2.1114999999999999</v>
      </c>
      <c r="H151" s="60">
        <v>1983</v>
      </c>
      <c r="I151" s="5">
        <v>-1.89E-2</v>
      </c>
      <c r="J151" s="5">
        <v>0.13339999999999999</v>
      </c>
      <c r="K151" s="4">
        <v>1881942554.02</v>
      </c>
      <c r="L151" s="16">
        <f t="shared" si="47"/>
        <v>3.720708950102506E-2</v>
      </c>
      <c r="M151" s="4">
        <v>2.0196000000000001</v>
      </c>
      <c r="N151" s="4">
        <v>2.0341</v>
      </c>
      <c r="O151" s="60">
        <v>1988</v>
      </c>
      <c r="P151" s="5">
        <v>-3.6400000000000002E-2</v>
      </c>
      <c r="Q151" s="5">
        <v>9.2100000000000001E-2</v>
      </c>
      <c r="R151" s="81">
        <f t="shared" si="42"/>
        <v>-3.5690273845758638E-2</v>
      </c>
      <c r="S151" s="81">
        <f t="shared" si="43"/>
        <v>-3.6656405399005408E-2</v>
      </c>
      <c r="T151" s="81">
        <f t="shared" si="44"/>
        <v>2.5214321734745334E-3</v>
      </c>
      <c r="U151" s="81">
        <f t="shared" si="45"/>
        <v>-1.7500000000000002E-2</v>
      </c>
      <c r="V151" s="83">
        <f t="shared" si="46"/>
        <v>-4.1299999999999989E-2</v>
      </c>
    </row>
    <row r="152" spans="1:22">
      <c r="A152" s="75">
        <v>129</v>
      </c>
      <c r="B152" s="112" t="s">
        <v>175</v>
      </c>
      <c r="C152" s="113" t="s">
        <v>45</v>
      </c>
      <c r="D152" s="4">
        <v>1138587003.8099999</v>
      </c>
      <c r="E152" s="3">
        <f t="shared" si="40"/>
        <v>2.2011766997220749E-2</v>
      </c>
      <c r="F152" s="4">
        <v>1.7428999999999999</v>
      </c>
      <c r="G152" s="4">
        <v>1.7565999999999999</v>
      </c>
      <c r="H152" s="60">
        <v>515</v>
      </c>
      <c r="I152" s="5">
        <v>5.5999999999999999E-3</v>
      </c>
      <c r="J152" s="5">
        <v>0.22509999999999999</v>
      </c>
      <c r="K152" s="4">
        <v>1106203492.6199999</v>
      </c>
      <c r="L152" s="16">
        <f t="shared" si="47"/>
        <v>2.187028093303928E-2</v>
      </c>
      <c r="M152" s="4">
        <v>1.6915</v>
      </c>
      <c r="N152" s="4">
        <v>1.7043999999999999</v>
      </c>
      <c r="O152" s="60">
        <v>524</v>
      </c>
      <c r="P152" s="5">
        <v>-2.9499999999999998E-2</v>
      </c>
      <c r="Q152" s="5">
        <v>0.18890000000000001</v>
      </c>
      <c r="R152" s="81">
        <f t="shared" si="42"/>
        <v>-2.844184158227403E-2</v>
      </c>
      <c r="S152" s="81">
        <f t="shared" si="43"/>
        <v>-2.9716497779801905E-2</v>
      </c>
      <c r="T152" s="81">
        <f t="shared" si="44"/>
        <v>1.7475728155339806E-2</v>
      </c>
      <c r="U152" s="81">
        <f t="shared" si="45"/>
        <v>-3.5099999999999999E-2</v>
      </c>
      <c r="V152" s="83">
        <f t="shared" si="46"/>
        <v>-3.6199999999999982E-2</v>
      </c>
    </row>
    <row r="153" spans="1:22">
      <c r="A153" s="75">
        <v>130</v>
      </c>
      <c r="B153" s="112" t="s">
        <v>176</v>
      </c>
      <c r="C153" s="113" t="s">
        <v>87</v>
      </c>
      <c r="D153" s="4">
        <v>9194050528.2600002</v>
      </c>
      <c r="E153" s="3">
        <f t="shared" si="40"/>
        <v>0.17774425433588112</v>
      </c>
      <c r="F153" s="4">
        <v>450.47</v>
      </c>
      <c r="G153" s="4">
        <v>455.29</v>
      </c>
      <c r="H153" s="60">
        <v>29</v>
      </c>
      <c r="I153" s="5">
        <v>0.1328</v>
      </c>
      <c r="J153" s="5">
        <v>0.29459999999999997</v>
      </c>
      <c r="K153" s="4">
        <v>8995536203.6499996</v>
      </c>
      <c r="L153" s="16">
        <f t="shared" si="47"/>
        <v>0.17784693795460019</v>
      </c>
      <c r="M153" s="4">
        <v>440.8</v>
      </c>
      <c r="N153" s="4">
        <v>445.36</v>
      </c>
      <c r="O153" s="60">
        <v>30</v>
      </c>
      <c r="P153" s="5">
        <v>-2.1600000000000001E-2</v>
      </c>
      <c r="Q153" s="5">
        <v>0.26669999999999999</v>
      </c>
      <c r="R153" s="81">
        <f t="shared" si="42"/>
        <v>-2.1591606876623291E-2</v>
      </c>
      <c r="S153" s="81">
        <f t="shared" si="43"/>
        <v>-2.1810274769926873E-2</v>
      </c>
      <c r="T153" s="81">
        <f t="shared" si="44"/>
        <v>3.4482758620689655E-2</v>
      </c>
      <c r="U153" s="81">
        <f t="shared" si="45"/>
        <v>-0.15440000000000001</v>
      </c>
      <c r="V153" s="83">
        <f t="shared" si="46"/>
        <v>-2.789999999999998E-2</v>
      </c>
    </row>
    <row r="154" spans="1:22">
      <c r="A154" s="75">
        <v>131</v>
      </c>
      <c r="B154" s="112" t="s">
        <v>177</v>
      </c>
      <c r="C154" s="113" t="s">
        <v>40</v>
      </c>
      <c r="D154" s="2">
        <v>333525793.05000001</v>
      </c>
      <c r="E154" s="3">
        <f t="shared" si="40"/>
        <v>6.4478972793588713E-3</v>
      </c>
      <c r="F154" s="4">
        <v>231.86</v>
      </c>
      <c r="G154" s="4">
        <v>235.03</v>
      </c>
      <c r="H154" s="60">
        <v>690</v>
      </c>
      <c r="I154" s="5">
        <v>-1.04E-2</v>
      </c>
      <c r="J154" s="5">
        <v>0.13239999999999999</v>
      </c>
      <c r="K154" s="2">
        <v>326738595.01999998</v>
      </c>
      <c r="L154" s="16">
        <f t="shared" si="47"/>
        <v>6.4598104349040215E-3</v>
      </c>
      <c r="M154" s="4">
        <v>225.37</v>
      </c>
      <c r="N154" s="4">
        <v>228.41</v>
      </c>
      <c r="O154" s="60">
        <v>690</v>
      </c>
      <c r="P154" s="5">
        <v>-2.81E-2</v>
      </c>
      <c r="Q154" s="5">
        <v>0.1007</v>
      </c>
      <c r="R154" s="81">
        <f t="shared" si="42"/>
        <v>-2.0349844514071926E-2</v>
      </c>
      <c r="S154" s="81">
        <f t="shared" si="43"/>
        <v>-2.8166617027613517E-2</v>
      </c>
      <c r="T154" s="81">
        <f t="shared" si="44"/>
        <v>0</v>
      </c>
      <c r="U154" s="81">
        <f t="shared" si="45"/>
        <v>-1.77E-2</v>
      </c>
      <c r="V154" s="83">
        <f t="shared" si="46"/>
        <v>-3.1699999999999992E-2</v>
      </c>
    </row>
    <row r="155" spans="1:22">
      <c r="A155" s="84"/>
      <c r="B155" s="19"/>
      <c r="C155" s="71" t="s">
        <v>46</v>
      </c>
      <c r="D155" s="72">
        <f>SUM(D129:D154)</f>
        <v>51726288214.56089</v>
      </c>
      <c r="E155" s="100">
        <f>(D155/$D$181)</f>
        <v>1.9153920272353728E-2</v>
      </c>
      <c r="F155" s="30"/>
      <c r="G155" s="36"/>
      <c r="H155" s="65">
        <f>SUM(H129:H154)</f>
        <v>70864</v>
      </c>
      <c r="I155" s="37"/>
      <c r="J155" s="37"/>
      <c r="K155" s="72">
        <f>SUM(K129:K154)</f>
        <v>50580214127.421928</v>
      </c>
      <c r="L155" s="100">
        <f>(K155/$K$181)</f>
        <v>1.8578370212858433E-2</v>
      </c>
      <c r="M155" s="30"/>
      <c r="N155" s="36"/>
      <c r="O155" s="65">
        <f>SUM(O129:O154)</f>
        <v>69092</v>
      </c>
      <c r="P155" s="37"/>
      <c r="Q155" s="37"/>
      <c r="R155" s="81">
        <f t="shared" si="42"/>
        <v>-2.215651125758417E-2</v>
      </c>
      <c r="S155" s="81" t="e">
        <f t="shared" si="43"/>
        <v>#DIV/0!</v>
      </c>
      <c r="T155" s="81">
        <f t="shared" si="44"/>
        <v>-2.5005644615037254E-2</v>
      </c>
      <c r="U155" s="81">
        <f t="shared" si="45"/>
        <v>0</v>
      </c>
      <c r="V155" s="83">
        <f t="shared" si="46"/>
        <v>0</v>
      </c>
    </row>
    <row r="156" spans="1:22" ht="8.25" customHeight="1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</row>
    <row r="157" spans="1:22" ht="15" customHeight="1">
      <c r="A157" s="149" t="s">
        <v>178</v>
      </c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</row>
    <row r="158" spans="1:22">
      <c r="A158" s="75">
        <v>132</v>
      </c>
      <c r="B158" s="112" t="s">
        <v>179</v>
      </c>
      <c r="C158" s="113" t="s">
        <v>21</v>
      </c>
      <c r="D158" s="17">
        <v>1060359044.6900001</v>
      </c>
      <c r="E158" s="3">
        <f>(D158/$D$161)</f>
        <v>0.19306671971081968</v>
      </c>
      <c r="F158" s="17">
        <v>64.837900000000005</v>
      </c>
      <c r="G158" s="17">
        <v>66.7928</v>
      </c>
      <c r="H158" s="62">
        <v>1460</v>
      </c>
      <c r="I158" s="6">
        <v>0.81659999999999999</v>
      </c>
      <c r="J158" s="6">
        <v>2.0971000000000002</v>
      </c>
      <c r="K158" s="17">
        <v>1069217423.38</v>
      </c>
      <c r="L158" s="16">
        <f>(K158/$K$161)</f>
        <v>0.1990492506115476</v>
      </c>
      <c r="M158" s="17">
        <v>64.191500000000005</v>
      </c>
      <c r="N158" s="17">
        <v>66.126999999999995</v>
      </c>
      <c r="O158" s="62">
        <v>1475</v>
      </c>
      <c r="P158" s="6">
        <v>-0.5212</v>
      </c>
      <c r="Q158" s="6">
        <v>1.6215999999999999</v>
      </c>
      <c r="R158" s="81">
        <f>((K158-D158)/D158)</f>
        <v>8.354131305203058E-3</v>
      </c>
      <c r="S158" s="81">
        <f t="shared" ref="S158:T161" si="48">((N158-G158)/G158)</f>
        <v>-9.9681402785929685E-3</v>
      </c>
      <c r="T158" s="81">
        <f t="shared" si="48"/>
        <v>1.0273972602739725E-2</v>
      </c>
      <c r="U158" s="81">
        <f t="shared" ref="U158:V161" si="49">P158-I158</f>
        <v>-1.3378000000000001</v>
      </c>
      <c r="V158" s="83">
        <f t="shared" si="49"/>
        <v>-0.47550000000000026</v>
      </c>
    </row>
    <row r="159" spans="1:22">
      <c r="A159" s="75">
        <v>133</v>
      </c>
      <c r="B159" s="112" t="s">
        <v>180</v>
      </c>
      <c r="C159" s="113" t="s">
        <v>181</v>
      </c>
      <c r="D159" s="98">
        <v>873052092.46000004</v>
      </c>
      <c r="E159" s="3">
        <f>(D159/$D$161)</f>
        <v>0.1589624801825478</v>
      </c>
      <c r="F159" s="17">
        <v>22.9924</v>
      </c>
      <c r="G159" s="17">
        <v>23.194199999999999</v>
      </c>
      <c r="H159" s="60">
        <v>1503</v>
      </c>
      <c r="I159" s="5">
        <v>-9.7999999999999997E-3</v>
      </c>
      <c r="J159" s="5">
        <v>5.5E-2</v>
      </c>
      <c r="K159" s="98">
        <v>846986049.26999998</v>
      </c>
      <c r="L159" s="16">
        <f>(K159/$K$161)</f>
        <v>0.15767788169096383</v>
      </c>
      <c r="M159" s="17">
        <v>23.363499999999998</v>
      </c>
      <c r="N159" s="17">
        <v>23.573</v>
      </c>
      <c r="O159" s="60">
        <v>1502</v>
      </c>
      <c r="P159" s="5">
        <v>-2.5100000000000001E-2</v>
      </c>
      <c r="Q159" s="5">
        <v>7.2099999999999997E-2</v>
      </c>
      <c r="R159" s="81">
        <f>((K159-D159)/D159)</f>
        <v>-2.9856228986925318E-2</v>
      </c>
      <c r="S159" s="81">
        <f t="shared" si="48"/>
        <v>1.6331669124177675E-2</v>
      </c>
      <c r="T159" s="81">
        <f t="shared" si="48"/>
        <v>-6.6533599467731206E-4</v>
      </c>
      <c r="U159" s="81">
        <f t="shared" si="49"/>
        <v>-1.5300000000000001E-2</v>
      </c>
      <c r="V159" s="83">
        <f t="shared" si="49"/>
        <v>1.7099999999999997E-2</v>
      </c>
    </row>
    <row r="160" spans="1:22">
      <c r="A160" s="75">
        <v>134</v>
      </c>
      <c r="B160" s="112" t="s">
        <v>182</v>
      </c>
      <c r="C160" s="113" t="s">
        <v>42</v>
      </c>
      <c r="D160" s="9">
        <v>3558778538.4099998</v>
      </c>
      <c r="E160" s="3">
        <f>(D160/$D$161)</f>
        <v>0.64797080010663266</v>
      </c>
      <c r="F160" s="17">
        <v>2.4500000000000002</v>
      </c>
      <c r="G160" s="17">
        <v>2.48</v>
      </c>
      <c r="H160" s="60">
        <v>17952</v>
      </c>
      <c r="I160" s="5">
        <v>-8.0000000000000002E-3</v>
      </c>
      <c r="J160" s="5">
        <v>0.1996</v>
      </c>
      <c r="K160" s="9">
        <v>3455418978.0500002</v>
      </c>
      <c r="L160" s="16">
        <f>(K160/$K$161)</f>
        <v>0.64327286769748848</v>
      </c>
      <c r="M160" s="17">
        <v>2.38</v>
      </c>
      <c r="N160" s="17">
        <v>2.41</v>
      </c>
      <c r="O160" s="60">
        <v>10011</v>
      </c>
      <c r="P160" s="5">
        <v>-2.8199999999999999E-2</v>
      </c>
      <c r="Q160" s="5">
        <v>0.15870000000000001</v>
      </c>
      <c r="R160" s="81">
        <f>((K160-D160)/D160)</f>
        <v>-2.90435494213638E-2</v>
      </c>
      <c r="S160" s="81">
        <f t="shared" si="48"/>
        <v>-2.822580645161284E-2</v>
      </c>
      <c r="T160" s="81">
        <f t="shared" si="48"/>
        <v>-0.44234625668449196</v>
      </c>
      <c r="U160" s="81">
        <f t="shared" si="49"/>
        <v>-2.0199999999999999E-2</v>
      </c>
      <c r="V160" s="83">
        <f t="shared" si="49"/>
        <v>-4.0899999999999992E-2</v>
      </c>
    </row>
    <row r="161" spans="1:24">
      <c r="A161" s="75"/>
      <c r="B161" s="19"/>
      <c r="C161" s="66" t="s">
        <v>46</v>
      </c>
      <c r="D161" s="72">
        <f>SUM(D158:D160)</f>
        <v>5492189675.5599995</v>
      </c>
      <c r="E161" s="100">
        <f>(D161/$D$181)</f>
        <v>2.0337234082979821E-3</v>
      </c>
      <c r="F161" s="30"/>
      <c r="G161" s="36"/>
      <c r="H161" s="65">
        <f>SUM(H158:H160)</f>
        <v>20915</v>
      </c>
      <c r="I161" s="37"/>
      <c r="J161" s="37"/>
      <c r="K161" s="72">
        <f>SUM(K158:K160)</f>
        <v>5371622450.7000008</v>
      </c>
      <c r="L161" s="100">
        <f>(K161/$K$181)</f>
        <v>1.9730242794425493E-3</v>
      </c>
      <c r="M161" s="30"/>
      <c r="N161" s="36"/>
      <c r="O161" s="65">
        <f>SUM(O158:O160)</f>
        <v>12988</v>
      </c>
      <c r="P161" s="37"/>
      <c r="Q161" s="37"/>
      <c r="R161" s="81">
        <f>((K161-D161)/D161)</f>
        <v>-2.1952487438028134E-2</v>
      </c>
      <c r="S161" s="81" t="e">
        <f t="shared" si="48"/>
        <v>#DIV/0!</v>
      </c>
      <c r="T161" s="81">
        <f t="shared" si="48"/>
        <v>-0.37901027970356205</v>
      </c>
      <c r="U161" s="81">
        <f t="shared" si="49"/>
        <v>0</v>
      </c>
      <c r="V161" s="83">
        <f t="shared" si="49"/>
        <v>0</v>
      </c>
    </row>
    <row r="162" spans="1:24" ht="6" customHeight="1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</row>
    <row r="163" spans="1:24" ht="15" customHeight="1">
      <c r="A163" s="149" t="s">
        <v>183</v>
      </c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</row>
    <row r="164" spans="1:24">
      <c r="A164" s="153" t="s">
        <v>232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</row>
    <row r="165" spans="1:24">
      <c r="A165" s="75">
        <v>135</v>
      </c>
      <c r="B165" s="112" t="s">
        <v>184</v>
      </c>
      <c r="C165" s="113" t="s">
        <v>185</v>
      </c>
      <c r="D165" s="13">
        <v>3950019377.8299999</v>
      </c>
      <c r="E165" s="3">
        <f>(D165/$D$180)</f>
        <v>7.9049977738438568E-2</v>
      </c>
      <c r="F165" s="18">
        <v>1.93</v>
      </c>
      <c r="G165" s="18">
        <v>1.96</v>
      </c>
      <c r="H165" s="61">
        <v>14981</v>
      </c>
      <c r="I165" s="12">
        <v>2.0999999999999999E-3</v>
      </c>
      <c r="J165" s="12">
        <v>5.5399999999999998E-2</v>
      </c>
      <c r="K165" s="13">
        <v>3986926120.4000001</v>
      </c>
      <c r="L165" s="3">
        <f>(K165/$K$180)</f>
        <v>7.9899622790763972E-2</v>
      </c>
      <c r="M165" s="18">
        <v>1.9</v>
      </c>
      <c r="N165" s="18">
        <v>1.93</v>
      </c>
      <c r="O165" s="61">
        <v>14979</v>
      </c>
      <c r="P165" s="12">
        <v>-1.5599999999999999E-2</v>
      </c>
      <c r="Q165" s="12">
        <v>3.9E-2</v>
      </c>
      <c r="R165" s="81">
        <f>((K165-D165)/D165)</f>
        <v>9.3434332948197901E-3</v>
      </c>
      <c r="S165" s="81">
        <f>((N165-G165)/G165)</f>
        <v>-1.5306122448979605E-2</v>
      </c>
      <c r="T165" s="81">
        <f>((O165-H165)/H165)</f>
        <v>-1.3350243641946466E-4</v>
      </c>
      <c r="U165" s="81">
        <f>P165-I165</f>
        <v>-1.77E-2</v>
      </c>
      <c r="V165" s="83">
        <f>Q165-J165</f>
        <v>-1.6399999999999998E-2</v>
      </c>
    </row>
    <row r="166" spans="1:24">
      <c r="A166" s="75">
        <v>136</v>
      </c>
      <c r="B166" s="112" t="s">
        <v>186</v>
      </c>
      <c r="C166" s="113" t="s">
        <v>42</v>
      </c>
      <c r="D166" s="13">
        <v>865427054.30999994</v>
      </c>
      <c r="E166" s="3">
        <f>(D166/$D$180)</f>
        <v>1.7319406016441132E-2</v>
      </c>
      <c r="F166" s="18">
        <v>483.46</v>
      </c>
      <c r="G166" s="18">
        <v>489.05</v>
      </c>
      <c r="H166" s="61">
        <v>1419</v>
      </c>
      <c r="I166" s="12">
        <v>2.8999999999999998E-3</v>
      </c>
      <c r="J166" s="12">
        <v>0.28070000000000001</v>
      </c>
      <c r="K166" s="13">
        <v>840849203.08000004</v>
      </c>
      <c r="L166" s="3">
        <f>(K166/$K$180)</f>
        <v>1.6850960394336607E-2</v>
      </c>
      <c r="M166" s="18">
        <v>469.36</v>
      </c>
      <c r="N166" s="18">
        <v>474.73</v>
      </c>
      <c r="O166" s="61">
        <v>779</v>
      </c>
      <c r="P166" s="12">
        <v>-2.93E-2</v>
      </c>
      <c r="Q166" s="12">
        <v>0.2432</v>
      </c>
      <c r="R166" s="81">
        <f>((K166-D166)/D166)</f>
        <v>-2.839967979692486E-2</v>
      </c>
      <c r="S166" s="81">
        <f>((N166-G166)/G166)</f>
        <v>-2.9281259584909503E-2</v>
      </c>
      <c r="T166" s="81">
        <f>((O166-H166)/H166)</f>
        <v>-0.4510218463706836</v>
      </c>
      <c r="U166" s="81">
        <f>P166-I166</f>
        <v>-3.2199999999999999E-2</v>
      </c>
      <c r="V166" s="83">
        <f>Q166-J166</f>
        <v>-3.7500000000000006E-2</v>
      </c>
    </row>
    <row r="167" spans="1:24" ht="6" customHeight="1">
      <c r="A167" s="142"/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</row>
    <row r="168" spans="1:24" ht="15" customHeight="1">
      <c r="A168" s="153" t="s">
        <v>231</v>
      </c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</row>
    <row r="169" spans="1:24">
      <c r="A169" s="75">
        <v>137</v>
      </c>
      <c r="B169" s="112" t="s">
        <v>187</v>
      </c>
      <c r="C169" s="113" t="s">
        <v>188</v>
      </c>
      <c r="D169" s="2">
        <v>410966388.24000001</v>
      </c>
      <c r="E169" s="3">
        <f t="shared" ref="E169:E179" si="50">(D169/$D$180)</f>
        <v>8.2244872073173568E-3</v>
      </c>
      <c r="F169" s="2">
        <v>1033.27</v>
      </c>
      <c r="G169" s="2">
        <v>1033.27</v>
      </c>
      <c r="H169" s="60">
        <v>21</v>
      </c>
      <c r="I169" s="5">
        <v>1.5E-3</v>
      </c>
      <c r="J169" s="5">
        <v>9.1000000000000004E-3</v>
      </c>
      <c r="K169" s="2">
        <v>411741298.36000001</v>
      </c>
      <c r="L169" s="3">
        <f t="shared" ref="L169:L179" si="51">(K169/$K$180)</f>
        <v>8.2514632659014056E-3</v>
      </c>
      <c r="M169" s="2">
        <v>1035.22</v>
      </c>
      <c r="N169" s="2">
        <v>1035.22</v>
      </c>
      <c r="O169" s="60">
        <v>21</v>
      </c>
      <c r="P169" s="5">
        <v>-3.73E-2</v>
      </c>
      <c r="Q169" s="5">
        <v>1.37E-2</v>
      </c>
      <c r="R169" s="81">
        <f>((K169-D169)/D169)</f>
        <v>1.8855802863066882E-3</v>
      </c>
      <c r="S169" s="81">
        <f>((N169-G169)/G169)</f>
        <v>1.887212442052944E-3</v>
      </c>
      <c r="T169" s="81">
        <f>((O169-H169)/H169)</f>
        <v>0</v>
      </c>
      <c r="U169" s="81">
        <f>P169-I169</f>
        <v>-3.8800000000000001E-2</v>
      </c>
      <c r="V169" s="83">
        <f>Q169-J169</f>
        <v>4.5999999999999999E-3</v>
      </c>
      <c r="X169" s="70"/>
    </row>
    <row r="170" spans="1:24">
      <c r="A170" s="75">
        <v>138</v>
      </c>
      <c r="B170" s="112" t="s">
        <v>189</v>
      </c>
      <c r="C170" s="113" t="s">
        <v>58</v>
      </c>
      <c r="D170" s="2">
        <v>108390130.75</v>
      </c>
      <c r="E170" s="3">
        <f t="shared" si="50"/>
        <v>2.16916338966444E-3</v>
      </c>
      <c r="F170" s="17">
        <v>110.2</v>
      </c>
      <c r="G170" s="17">
        <v>110.2</v>
      </c>
      <c r="H170" s="60">
        <v>66</v>
      </c>
      <c r="I170" s="5">
        <v>1.6000000000000001E-3</v>
      </c>
      <c r="J170" s="5">
        <v>8.2199999999999995E-2</v>
      </c>
      <c r="K170" s="2">
        <v>108778650.7</v>
      </c>
      <c r="L170" s="3">
        <f t="shared" si="51"/>
        <v>2.1799684509193479E-3</v>
      </c>
      <c r="M170" s="17">
        <v>110.39</v>
      </c>
      <c r="N170" s="17">
        <v>110.39</v>
      </c>
      <c r="O170" s="60">
        <v>66</v>
      </c>
      <c r="P170" s="5">
        <v>1.6999999999999999E-3</v>
      </c>
      <c r="Q170" s="5">
        <v>8.3699999999999997E-2</v>
      </c>
      <c r="R170" s="81">
        <f t="shared" ref="R170:R181" si="52">((K170-D170)/D170)</f>
        <v>3.5844587261926793E-3</v>
      </c>
      <c r="S170" s="81">
        <f t="shared" ref="S170:S180" si="53">((N170-G170)/G170)</f>
        <v>1.7241379310344621E-3</v>
      </c>
      <c r="T170" s="81">
        <f t="shared" ref="T170:T180" si="54">((O170-H170)/H170)</f>
        <v>0</v>
      </c>
      <c r="U170" s="81">
        <f t="shared" ref="U170:U180" si="55">P170-I170</f>
        <v>9.9999999999999829E-5</v>
      </c>
      <c r="V170" s="83">
        <f t="shared" ref="V170:V180" si="56">Q170-J170</f>
        <v>1.5000000000000013E-3</v>
      </c>
    </row>
    <row r="171" spans="1:24">
      <c r="A171" s="75">
        <v>139</v>
      </c>
      <c r="B171" s="138" t="s">
        <v>190</v>
      </c>
      <c r="C171" s="113" t="s">
        <v>64</v>
      </c>
      <c r="D171" s="9">
        <v>55365204.240000002</v>
      </c>
      <c r="E171" s="3">
        <f t="shared" si="50"/>
        <v>1.1079991625409348E-3</v>
      </c>
      <c r="F171" s="17">
        <v>99.78</v>
      </c>
      <c r="G171" s="17">
        <v>100.2</v>
      </c>
      <c r="H171" s="60">
        <v>12</v>
      </c>
      <c r="I171" s="5">
        <v>2.0999999999999999E-3</v>
      </c>
      <c r="J171" s="5">
        <v>3.7199999999999997E-2</v>
      </c>
      <c r="K171" s="9">
        <v>55452506.75</v>
      </c>
      <c r="L171" s="3">
        <f t="shared" si="51"/>
        <v>1.1112908136062419E-3</v>
      </c>
      <c r="M171" s="17">
        <v>99.93</v>
      </c>
      <c r="N171" s="17">
        <v>100.44</v>
      </c>
      <c r="O171" s="60">
        <v>12</v>
      </c>
      <c r="P171" s="5">
        <v>2.0999999999999999E-3</v>
      </c>
      <c r="Q171" s="5">
        <v>3.9300000000000002E-2</v>
      </c>
      <c r="R171" s="81">
        <f t="shared" si="52"/>
        <v>1.5768479715446257E-3</v>
      </c>
      <c r="S171" s="81">
        <f t="shared" si="53"/>
        <v>2.3952095808382722E-3</v>
      </c>
      <c r="T171" s="81">
        <f t="shared" si="54"/>
        <v>0</v>
      </c>
      <c r="U171" s="81">
        <f t="shared" si="55"/>
        <v>0</v>
      </c>
      <c r="V171" s="83">
        <f t="shared" si="56"/>
        <v>2.1000000000000046E-3</v>
      </c>
    </row>
    <row r="172" spans="1:24">
      <c r="A172" s="75">
        <v>140</v>
      </c>
      <c r="B172" s="112" t="s">
        <v>191</v>
      </c>
      <c r="C172" s="113" t="s">
        <v>27</v>
      </c>
      <c r="D172" s="2">
        <v>10342462742.379999</v>
      </c>
      <c r="E172" s="3">
        <f t="shared" si="50"/>
        <v>0.2069790984151865</v>
      </c>
      <c r="F172" s="17">
        <v>135.21</v>
      </c>
      <c r="G172" s="17">
        <v>135.21</v>
      </c>
      <c r="H172" s="60">
        <v>662</v>
      </c>
      <c r="I172" s="5">
        <v>2.3999999999999998E-3</v>
      </c>
      <c r="J172" s="5">
        <v>0.13070000000000001</v>
      </c>
      <c r="K172" s="2">
        <v>10333706148.77</v>
      </c>
      <c r="L172" s="3">
        <f t="shared" si="51"/>
        <v>0.20709167874785819</v>
      </c>
      <c r="M172" s="17">
        <v>135.53</v>
      </c>
      <c r="N172" s="17">
        <v>135.53</v>
      </c>
      <c r="O172" s="60">
        <v>667</v>
      </c>
      <c r="P172" s="5">
        <v>2.3999999999999998E-3</v>
      </c>
      <c r="Q172" s="5">
        <v>0.13070000000000001</v>
      </c>
      <c r="R172" s="81">
        <f t="shared" si="52"/>
        <v>-8.4666426441325931E-4</v>
      </c>
      <c r="S172" s="81">
        <f t="shared" si="53"/>
        <v>2.3666888543746258E-3</v>
      </c>
      <c r="T172" s="81">
        <f t="shared" si="54"/>
        <v>7.5528700906344415E-3</v>
      </c>
      <c r="U172" s="81">
        <f t="shared" si="55"/>
        <v>0</v>
      </c>
      <c r="V172" s="83">
        <f t="shared" si="56"/>
        <v>0</v>
      </c>
    </row>
    <row r="173" spans="1:24">
      <c r="A173" s="75">
        <v>141</v>
      </c>
      <c r="B173" s="112" t="s">
        <v>249</v>
      </c>
      <c r="C173" s="113" t="s">
        <v>56</v>
      </c>
      <c r="D173" s="2">
        <v>243799258.87298283</v>
      </c>
      <c r="E173" s="3">
        <f t="shared" si="50"/>
        <v>4.8790459344897298E-3</v>
      </c>
      <c r="F173" s="4">
        <v>1040.3529198188003</v>
      </c>
      <c r="G173" s="4">
        <v>1040.3529198188003</v>
      </c>
      <c r="H173" s="60">
        <v>13</v>
      </c>
      <c r="I173" s="5">
        <v>0.12118390766835492</v>
      </c>
      <c r="J173" s="5">
        <v>0.11907005876968614</v>
      </c>
      <c r="K173" s="2">
        <v>244260589.65130958</v>
      </c>
      <c r="L173" s="3">
        <f t="shared" si="51"/>
        <v>4.8950816710471648E-3</v>
      </c>
      <c r="M173" s="4">
        <v>1042.3215345900394</v>
      </c>
      <c r="N173" s="4">
        <v>1042.3215345900394</v>
      </c>
      <c r="O173" s="60">
        <v>13</v>
      </c>
      <c r="P173" s="5">
        <v>9.8937992585797538E-2</v>
      </c>
      <c r="Q173" s="5">
        <v>9.8937992585797538E-2</v>
      </c>
      <c r="R173" s="81">
        <f t="shared" si="52"/>
        <v>1.8922566887994475E-3</v>
      </c>
      <c r="S173" s="81">
        <f t="shared" si="53"/>
        <v>1.8922566887994065E-3</v>
      </c>
      <c r="T173" s="81">
        <f t="shared" si="54"/>
        <v>0</v>
      </c>
      <c r="U173" s="81">
        <f t="shared" si="55"/>
        <v>-2.2245915082557383E-2</v>
      </c>
      <c r="V173" s="83">
        <f t="shared" si="56"/>
        <v>-2.0132066183888603E-2</v>
      </c>
    </row>
    <row r="174" spans="1:24">
      <c r="A174" s="75">
        <v>142</v>
      </c>
      <c r="B174" s="112" t="s">
        <v>192</v>
      </c>
      <c r="C174" s="113" t="s">
        <v>185</v>
      </c>
      <c r="D174" s="2">
        <v>19471223024.84</v>
      </c>
      <c r="E174" s="3">
        <f t="shared" si="50"/>
        <v>0.38966891030781625</v>
      </c>
      <c r="F174" s="7">
        <v>1205.21</v>
      </c>
      <c r="G174" s="7">
        <v>1205.21</v>
      </c>
      <c r="H174" s="60">
        <v>7621</v>
      </c>
      <c r="I174" s="5">
        <v>2.9999999999999997E-4</v>
      </c>
      <c r="J174" s="5">
        <v>1.7500000000000002E-2</v>
      </c>
      <c r="K174" s="2">
        <v>19387269870.049999</v>
      </c>
      <c r="L174" s="3">
        <f t="shared" si="51"/>
        <v>0.38852878201924823</v>
      </c>
      <c r="M174" s="7">
        <v>1207.6199999999999</v>
      </c>
      <c r="N174" s="7">
        <v>1207.6199999999999</v>
      </c>
      <c r="O174" s="60">
        <v>7640</v>
      </c>
      <c r="P174" s="5">
        <v>2E-3</v>
      </c>
      <c r="Q174" s="5">
        <v>1.9400000000000001E-2</v>
      </c>
      <c r="R174" s="81">
        <f t="shared" si="52"/>
        <v>-4.3116528778340971E-3</v>
      </c>
      <c r="S174" s="81">
        <f t="shared" si="53"/>
        <v>1.9996515130142087E-3</v>
      </c>
      <c r="T174" s="81">
        <f t="shared" si="54"/>
        <v>2.4931111402703059E-3</v>
      </c>
      <c r="U174" s="81">
        <f t="shared" si="55"/>
        <v>1.7000000000000001E-3</v>
      </c>
      <c r="V174" s="83">
        <f t="shared" si="56"/>
        <v>1.8999999999999989E-3</v>
      </c>
    </row>
    <row r="175" spans="1:24">
      <c r="A175" s="75">
        <v>143</v>
      </c>
      <c r="B175" s="112" t="s">
        <v>193</v>
      </c>
      <c r="C175" s="113" t="s">
        <v>78</v>
      </c>
      <c r="D175" s="2">
        <v>924699666.65999997</v>
      </c>
      <c r="E175" s="3">
        <f t="shared" si="50"/>
        <v>1.8505602396404374E-2</v>
      </c>
      <c r="F175" s="14">
        <v>103.17</v>
      </c>
      <c r="G175" s="14">
        <v>103.17</v>
      </c>
      <c r="H175" s="60">
        <v>534</v>
      </c>
      <c r="I175" s="5">
        <v>2.2000000000000001E-3</v>
      </c>
      <c r="J175" s="5">
        <v>8.5000000000000006E-3</v>
      </c>
      <c r="K175" s="2">
        <v>1038849974.79</v>
      </c>
      <c r="L175" s="3">
        <f t="shared" si="51"/>
        <v>2.0818976478447531E-2</v>
      </c>
      <c r="M175" s="14">
        <v>103.38</v>
      </c>
      <c r="N175" s="14">
        <v>103.38</v>
      </c>
      <c r="O175" s="60">
        <v>534</v>
      </c>
      <c r="P175" s="5">
        <v>2.2000000000000001E-3</v>
      </c>
      <c r="Q175" s="5">
        <v>1.1000000000000001E-3</v>
      </c>
      <c r="R175" s="81">
        <f t="shared" si="52"/>
        <v>0.12344581948678433</v>
      </c>
      <c r="S175" s="81">
        <f t="shared" si="53"/>
        <v>2.0354754289036905E-3</v>
      </c>
      <c r="T175" s="81">
        <f t="shared" si="54"/>
        <v>0</v>
      </c>
      <c r="U175" s="81">
        <f t="shared" si="55"/>
        <v>0</v>
      </c>
      <c r="V175" s="83">
        <f t="shared" si="56"/>
        <v>-7.4000000000000003E-3</v>
      </c>
    </row>
    <row r="176" spans="1:24" ht="15.75" customHeight="1">
      <c r="A176" s="75">
        <v>144</v>
      </c>
      <c r="B176" s="112" t="s">
        <v>194</v>
      </c>
      <c r="C176" s="113" t="s">
        <v>42</v>
      </c>
      <c r="D176" s="2">
        <v>8022420331.6999998</v>
      </c>
      <c r="E176" s="3">
        <f t="shared" si="50"/>
        <v>0.16054912342674976</v>
      </c>
      <c r="F176" s="14">
        <v>129.06</v>
      </c>
      <c r="G176" s="14">
        <v>129.06</v>
      </c>
      <c r="H176" s="60">
        <v>1963</v>
      </c>
      <c r="I176" s="5">
        <v>1.4E-3</v>
      </c>
      <c r="J176" s="5">
        <v>6.0000000000000001E-3</v>
      </c>
      <c r="K176" s="2">
        <v>8014888386.1999998</v>
      </c>
      <c r="L176" s="3">
        <f t="shared" si="51"/>
        <v>0.16062162664383817</v>
      </c>
      <c r="M176" s="14">
        <v>129.24</v>
      </c>
      <c r="N176" s="14">
        <v>129.24</v>
      </c>
      <c r="O176" s="60">
        <v>1124</v>
      </c>
      <c r="P176" s="5">
        <v>1.4E-3</v>
      </c>
      <c r="Q176" s="5">
        <v>7.4000000000000003E-3</v>
      </c>
      <c r="R176" s="81">
        <f t="shared" si="52"/>
        <v>-9.388619878514811E-4</v>
      </c>
      <c r="S176" s="81">
        <f t="shared" si="53"/>
        <v>1.3947001394700668E-3</v>
      </c>
      <c r="T176" s="81">
        <f t="shared" si="54"/>
        <v>-0.4274070300560367</v>
      </c>
      <c r="U176" s="81">
        <f t="shared" si="55"/>
        <v>0</v>
      </c>
      <c r="V176" s="83">
        <f t="shared" si="56"/>
        <v>1.4000000000000002E-3</v>
      </c>
    </row>
    <row r="177" spans="1:22">
      <c r="A177" s="75">
        <v>145</v>
      </c>
      <c r="B177" s="112" t="s">
        <v>195</v>
      </c>
      <c r="C177" s="113" t="s">
        <v>45</v>
      </c>
      <c r="D177" s="2">
        <v>5075364357.8900003</v>
      </c>
      <c r="E177" s="3">
        <f t="shared" si="50"/>
        <v>0.10157100538734019</v>
      </c>
      <c r="F177" s="14">
        <v>1.1896</v>
      </c>
      <c r="G177" s="14">
        <v>1.1896</v>
      </c>
      <c r="H177" s="60">
        <v>602</v>
      </c>
      <c r="I177" s="5">
        <v>9.6500000000000002E-2</v>
      </c>
      <c r="J177" s="5">
        <v>9.69E-2</v>
      </c>
      <c r="K177" s="2">
        <v>4944772736.3999996</v>
      </c>
      <c r="L177" s="3">
        <f t="shared" si="51"/>
        <v>9.9095258977303466E-2</v>
      </c>
      <c r="M177" s="14">
        <v>1.1917</v>
      </c>
      <c r="N177" s="14">
        <v>1.1917</v>
      </c>
      <c r="O177" s="60">
        <v>604</v>
      </c>
      <c r="P177" s="5">
        <v>9.6299999999999997E-2</v>
      </c>
      <c r="Q177" s="5">
        <v>9.6299999999999997E-2</v>
      </c>
      <c r="R177" s="81">
        <f t="shared" si="52"/>
        <v>-2.5730491897983074E-2</v>
      </c>
      <c r="S177" s="81">
        <f t="shared" si="53"/>
        <v>1.7652992602555403E-3</v>
      </c>
      <c r="T177" s="81">
        <f t="shared" si="54"/>
        <v>3.3222591362126247E-3</v>
      </c>
      <c r="U177" s="81">
        <f t="shared" si="55"/>
        <v>-2.0000000000000573E-4</v>
      </c>
      <c r="V177" s="83">
        <f t="shared" si="56"/>
        <v>-6.0000000000000331E-4</v>
      </c>
    </row>
    <row r="178" spans="1:22">
      <c r="A178" s="75">
        <v>146</v>
      </c>
      <c r="B178" s="112" t="s">
        <v>196</v>
      </c>
      <c r="C178" s="113" t="s">
        <v>197</v>
      </c>
      <c r="D178" s="2">
        <v>360266114.52999997</v>
      </c>
      <c r="E178" s="3">
        <f t="shared" si="50"/>
        <v>7.2098452208494285E-3</v>
      </c>
      <c r="F178" s="18">
        <v>107.6336</v>
      </c>
      <c r="G178" s="18">
        <v>108.0217</v>
      </c>
      <c r="H178" s="61">
        <v>183</v>
      </c>
      <c r="I178" s="5">
        <v>-1.284E-3</v>
      </c>
      <c r="J178" s="5">
        <v>8.022E-2</v>
      </c>
      <c r="K178" s="2">
        <v>396028817.05000001</v>
      </c>
      <c r="L178" s="3">
        <f t="shared" si="51"/>
        <v>7.9365787428719269E-3</v>
      </c>
      <c r="M178" s="18">
        <v>110.56789999999999</v>
      </c>
      <c r="N178" s="18">
        <v>111.0378</v>
      </c>
      <c r="O178" s="61">
        <v>183</v>
      </c>
      <c r="P178" s="5">
        <v>3.0200000000000001E-2</v>
      </c>
      <c r="Q178" s="5">
        <v>0.1154</v>
      </c>
      <c r="R178" s="81">
        <f>((K178-D178)/D178)</f>
        <v>9.9267461128437651E-2</v>
      </c>
      <c r="S178" s="81">
        <f>((N178-G178)/G178)</f>
        <v>2.7921241750500213E-2</v>
      </c>
      <c r="T178" s="81">
        <f>((O178-H178)/H178)</f>
        <v>0</v>
      </c>
      <c r="U178" s="81">
        <f>P178-I178</f>
        <v>3.1483999999999998E-2</v>
      </c>
      <c r="V178" s="83">
        <f>Q178-J178</f>
        <v>3.5180000000000003E-2</v>
      </c>
    </row>
    <row r="179" spans="1:22">
      <c r="A179" s="75">
        <v>147</v>
      </c>
      <c r="B179" s="112" t="s">
        <v>244</v>
      </c>
      <c r="C179" s="113" t="s">
        <v>197</v>
      </c>
      <c r="D179" s="2">
        <v>138230000</v>
      </c>
      <c r="E179" s="3">
        <f t="shared" si="50"/>
        <v>2.7663353967613473E-3</v>
      </c>
      <c r="F179" s="18">
        <v>100.2299</v>
      </c>
      <c r="G179" s="18">
        <v>100.2299</v>
      </c>
      <c r="H179" s="61">
        <v>66</v>
      </c>
      <c r="I179" s="5">
        <v>2.7300000000000002E-4</v>
      </c>
      <c r="J179" s="5">
        <v>2.2989999999999998E-3</v>
      </c>
      <c r="K179" s="2">
        <v>135661465.43000001</v>
      </c>
      <c r="L179" s="3">
        <f t="shared" si="51"/>
        <v>2.7187110038577249E-3</v>
      </c>
      <c r="M179" s="18">
        <v>100.2811</v>
      </c>
      <c r="N179" s="18">
        <v>100.2811</v>
      </c>
      <c r="O179" s="61">
        <v>66</v>
      </c>
      <c r="P179" s="5">
        <v>5.1199999999999998E-4</v>
      </c>
      <c r="Q179" s="5">
        <v>1.356E-3</v>
      </c>
      <c r="R179" s="81">
        <f t="shared" si="52"/>
        <v>-1.8581600014468586E-2</v>
      </c>
      <c r="S179" s="81">
        <f t="shared" si="53"/>
        <v>5.1082561191814378E-4</v>
      </c>
      <c r="T179" s="81">
        <f t="shared" si="54"/>
        <v>0</v>
      </c>
      <c r="U179" s="81">
        <f t="shared" si="55"/>
        <v>2.3899999999999995E-4</v>
      </c>
      <c r="V179" s="83">
        <f t="shared" si="56"/>
        <v>-9.4299999999999983E-4</v>
      </c>
    </row>
    <row r="180" spans="1:22">
      <c r="A180" s="85"/>
      <c r="B180" s="19"/>
      <c r="C180" s="66" t="s">
        <v>46</v>
      </c>
      <c r="D180" s="59">
        <f>SUM(D165:D179)</f>
        <v>49968633652.242981</v>
      </c>
      <c r="E180" s="100">
        <f>(D180/$D$181)</f>
        <v>1.8503071806031741E-2</v>
      </c>
      <c r="F180" s="30"/>
      <c r="G180" s="34"/>
      <c r="H180" s="68">
        <f>SUM(H165:H179)</f>
        <v>28143</v>
      </c>
      <c r="I180" s="35"/>
      <c r="J180" s="35"/>
      <c r="K180" s="59">
        <f>SUM(K165:K179)</f>
        <v>49899185767.63131</v>
      </c>
      <c r="L180" s="100">
        <f>(K180/$K$181)</f>
        <v>1.8328225028384285E-2</v>
      </c>
      <c r="M180" s="30"/>
      <c r="N180" s="34"/>
      <c r="O180" s="68">
        <f>SUM(O165:O179)</f>
        <v>26688</v>
      </c>
      <c r="P180" s="35"/>
      <c r="Q180" s="35"/>
      <c r="R180" s="81">
        <f t="shared" si="52"/>
        <v>-1.3898295697856067E-3</v>
      </c>
      <c r="S180" s="81" t="e">
        <f t="shared" si="53"/>
        <v>#DIV/0!</v>
      </c>
      <c r="T180" s="81">
        <f t="shared" si="54"/>
        <v>-5.1700245176420426E-2</v>
      </c>
      <c r="U180" s="81">
        <f t="shared" si="55"/>
        <v>0</v>
      </c>
      <c r="V180" s="83">
        <f t="shared" si="56"/>
        <v>0</v>
      </c>
    </row>
    <row r="181" spans="1:22">
      <c r="A181" s="86"/>
      <c r="B181" s="38"/>
      <c r="C181" s="67" t="s">
        <v>198</v>
      </c>
      <c r="D181" s="69">
        <f>SUM(D22,D55,D90,D118,D126,D155,D161,D180)</f>
        <v>2700558814021.0269</v>
      </c>
      <c r="E181" s="39"/>
      <c r="F181" s="39"/>
      <c r="G181" s="40"/>
      <c r="H181" s="69">
        <f>SUM(H22,H55,H90,H118,H126,H155,H161,H180)</f>
        <v>779087</v>
      </c>
      <c r="I181" s="41"/>
      <c r="J181" s="41"/>
      <c r="K181" s="69">
        <f>SUM(K22,K55,K90,K118,K126,K155,K161,K180)</f>
        <v>2722532361445.4854</v>
      </c>
      <c r="L181" s="39"/>
      <c r="M181" s="39"/>
      <c r="N181" s="40"/>
      <c r="O181" s="69">
        <f>SUM(O22,O55,O90,O118,O126,O155,O161,O180)</f>
        <v>713307</v>
      </c>
      <c r="P181" s="42"/>
      <c r="Q181" s="69"/>
      <c r="R181" s="25">
        <f t="shared" si="52"/>
        <v>8.1366668670106619E-3</v>
      </c>
      <c r="S181" s="25"/>
      <c r="T181" s="25"/>
      <c r="U181" s="25"/>
      <c r="V181" s="25"/>
    </row>
    <row r="182" spans="1:22" ht="6.75" customHeight="1">
      <c r="A182" s="142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9"/>
    </row>
    <row r="183" spans="1:22" ht="15.75">
      <c r="A183" s="149" t="s">
        <v>199</v>
      </c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</row>
    <row r="184" spans="1:22">
      <c r="A184" s="75">
        <v>1</v>
      </c>
      <c r="B184" s="112" t="s">
        <v>200</v>
      </c>
      <c r="C184" s="113" t="s">
        <v>201</v>
      </c>
      <c r="D184" s="2">
        <v>92548651821</v>
      </c>
      <c r="E184" s="3">
        <f>(D184/$D$186)</f>
        <v>0.97777033550630266</v>
      </c>
      <c r="F184" s="14">
        <v>114</v>
      </c>
      <c r="G184" s="14">
        <v>114</v>
      </c>
      <c r="H184" s="64">
        <v>0</v>
      </c>
      <c r="I184" s="20">
        <v>0</v>
      </c>
      <c r="J184" s="20">
        <v>0.13800000000000001</v>
      </c>
      <c r="K184" s="2">
        <v>92548651821</v>
      </c>
      <c r="L184" s="3">
        <f>(K184/$K$186)</f>
        <v>0.97770892480843474</v>
      </c>
      <c r="M184" s="14">
        <v>114</v>
      </c>
      <c r="N184" s="14">
        <v>114</v>
      </c>
      <c r="O184" s="64">
        <v>0</v>
      </c>
      <c r="P184" s="20">
        <v>0</v>
      </c>
      <c r="Q184" s="20">
        <v>0.13800000000000001</v>
      </c>
      <c r="R184" s="81">
        <f>((K184-D184)/D184)</f>
        <v>0</v>
      </c>
      <c r="S184" s="81">
        <f>((N184-G184)/G184)</f>
        <v>0</v>
      </c>
      <c r="T184" s="81" t="e">
        <f>((O184-H184)/H184)</f>
        <v>#DIV/0!</v>
      </c>
      <c r="U184" s="81">
        <f>P184-I184</f>
        <v>0</v>
      </c>
      <c r="V184" s="83">
        <f>Q184-J184</f>
        <v>0</v>
      </c>
    </row>
    <row r="185" spans="1:22">
      <c r="A185" s="75">
        <v>2</v>
      </c>
      <c r="B185" s="112" t="s">
        <v>202</v>
      </c>
      <c r="C185" s="113" t="s">
        <v>45</v>
      </c>
      <c r="D185" s="2">
        <v>2104098891.75</v>
      </c>
      <c r="E185" s="3">
        <f>(D185/$D$186)</f>
        <v>2.2229664493697295E-2</v>
      </c>
      <c r="F185" s="21">
        <v>1000000</v>
      </c>
      <c r="G185" s="21">
        <v>1000000</v>
      </c>
      <c r="H185" s="64">
        <v>0</v>
      </c>
      <c r="I185" s="20" t="s">
        <v>260</v>
      </c>
      <c r="J185" s="20" t="s">
        <v>260</v>
      </c>
      <c r="K185" s="2">
        <v>2110044108.5</v>
      </c>
      <c r="L185" s="3">
        <f>(K185/$K$186)</f>
        <v>2.2291075191565292E-2</v>
      </c>
      <c r="M185" s="21">
        <v>1000000</v>
      </c>
      <c r="N185" s="21">
        <v>1000000</v>
      </c>
      <c r="O185" s="64">
        <v>0</v>
      </c>
      <c r="P185" s="20" t="s">
        <v>265</v>
      </c>
      <c r="Q185" s="20" t="s">
        <v>266</v>
      </c>
      <c r="R185" s="81">
        <f>((K185-D185)/D185)</f>
        <v>2.8255405548240674E-3</v>
      </c>
      <c r="S185" s="81">
        <f>((N185-G185)/G185)</f>
        <v>0</v>
      </c>
      <c r="T185" s="81" t="e">
        <f>((O185-H185)/H185)</f>
        <v>#DIV/0!</v>
      </c>
      <c r="U185" s="81" t="e">
        <f>P185-I185</f>
        <v>#VALUE!</v>
      </c>
      <c r="V185" s="83" t="e">
        <f>Q185-J185</f>
        <v>#VALUE!</v>
      </c>
    </row>
    <row r="186" spans="1:22">
      <c r="A186" s="38"/>
      <c r="B186" s="38"/>
      <c r="C186" s="67" t="s">
        <v>203</v>
      </c>
      <c r="D186" s="73">
        <f>SUM(D184:D185)</f>
        <v>94652750712.75</v>
      </c>
      <c r="E186" s="24"/>
      <c r="F186" s="22"/>
      <c r="G186" s="22"/>
      <c r="H186" s="73">
        <f>SUM(H184:H185)</f>
        <v>0</v>
      </c>
      <c r="I186" s="23"/>
      <c r="J186" s="23"/>
      <c r="K186" s="73">
        <f>SUM(K184:K185)</f>
        <v>94658695929.5</v>
      </c>
      <c r="L186" s="24"/>
      <c r="M186" s="22"/>
      <c r="N186" s="22"/>
      <c r="O186" s="23"/>
      <c r="P186" s="23"/>
      <c r="Q186" s="73"/>
      <c r="R186" s="25">
        <f>((K186-D186)/D186)</f>
        <v>6.2810818547074323E-5</v>
      </c>
      <c r="S186" s="26"/>
      <c r="T186" s="26"/>
      <c r="U186" s="25">
        <f>O186-H186</f>
        <v>0</v>
      </c>
      <c r="V186" s="87">
        <f>P186-I186</f>
        <v>0</v>
      </c>
    </row>
    <row r="187" spans="1:22" ht="8.25" customHeight="1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</row>
    <row r="188" spans="1:22" ht="15.75">
      <c r="A188" s="149" t="s">
        <v>204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</row>
    <row r="189" spans="1:22">
      <c r="A189" s="75">
        <v>1</v>
      </c>
      <c r="B189" s="112" t="s">
        <v>205</v>
      </c>
      <c r="C189" s="113" t="s">
        <v>74</v>
      </c>
      <c r="D189" s="27">
        <v>1032279150.0916687</v>
      </c>
      <c r="E189" s="10">
        <f t="shared" ref="E189:E200" si="57">(D189/$D$201)</f>
        <v>7.3639496833584214E-2</v>
      </c>
      <c r="F189" s="21">
        <v>243.26125841679479</v>
      </c>
      <c r="G189" s="21">
        <v>247.244658621421</v>
      </c>
      <c r="H189" s="63">
        <v>61</v>
      </c>
      <c r="I189" s="28">
        <v>2.0014669653238171E-2</v>
      </c>
      <c r="J189" s="28">
        <v>0.42053041669052682</v>
      </c>
      <c r="K189" s="27">
        <v>998698385.00923085</v>
      </c>
      <c r="L189" s="10">
        <f t="shared" ref="L189:L200" si="58">(K189/$K$201)</f>
        <v>7.5162420908876787E-2</v>
      </c>
      <c r="M189" s="21">
        <v>235.3477989888608</v>
      </c>
      <c r="N189" s="21">
        <v>239.42232226935315</v>
      </c>
      <c r="O189" s="63">
        <v>61</v>
      </c>
      <c r="P189" s="28">
        <v>-3.2530701680311802E-2</v>
      </c>
      <c r="Q189" s="28">
        <v>0.37431956547735812</v>
      </c>
      <c r="R189" s="81">
        <f>((K189-D189)/D189)</f>
        <v>-3.2530701680311788E-2</v>
      </c>
      <c r="S189" s="81">
        <f>((N189-G189)/G189)</f>
        <v>-3.1638039809164686E-2</v>
      </c>
      <c r="T189" s="81">
        <f>((O189-H189)/H189)</f>
        <v>0</v>
      </c>
      <c r="U189" s="81">
        <f>P189-I189</f>
        <v>-5.2545371333549973E-2</v>
      </c>
      <c r="V189" s="83">
        <f>Q189-J189</f>
        <v>-4.6210851213168702E-2</v>
      </c>
    </row>
    <row r="190" spans="1:22">
      <c r="A190" s="75">
        <v>2</v>
      </c>
      <c r="B190" s="112" t="s">
        <v>206</v>
      </c>
      <c r="C190" s="113" t="s">
        <v>185</v>
      </c>
      <c r="D190" s="27">
        <v>1029550835.85</v>
      </c>
      <c r="E190" s="10">
        <f t="shared" si="57"/>
        <v>7.3444867611495851E-2</v>
      </c>
      <c r="F190" s="21">
        <v>29.28</v>
      </c>
      <c r="G190" s="21">
        <v>32.369999999999997</v>
      </c>
      <c r="H190" s="63">
        <v>184</v>
      </c>
      <c r="I190" s="28">
        <v>8.5000000000000006E-3</v>
      </c>
      <c r="J190" s="28">
        <v>0.36620000000000003</v>
      </c>
      <c r="K190" s="27">
        <v>1008213068.09</v>
      </c>
      <c r="L190" s="10">
        <f t="shared" si="58"/>
        <v>7.5878499582143821E-2</v>
      </c>
      <c r="M190" s="21">
        <v>28.68</v>
      </c>
      <c r="N190" s="21">
        <v>31.7</v>
      </c>
      <c r="O190" s="63">
        <v>187</v>
      </c>
      <c r="P190" s="28">
        <v>-2.07E-2</v>
      </c>
      <c r="Q190" s="28">
        <v>0.33789999999999998</v>
      </c>
      <c r="R190" s="81">
        <f t="shared" ref="R190:R201" si="59">((K190-D190)/D190)</f>
        <v>-2.0725317310226327E-2</v>
      </c>
      <c r="S190" s="81">
        <f t="shared" ref="S190:S201" si="60">((N190-G190)/G190)</f>
        <v>-2.0698177324683292E-2</v>
      </c>
      <c r="T190" s="81">
        <f t="shared" ref="T190:T201" si="61">((O190-H190)/H190)</f>
        <v>1.6304347826086956E-2</v>
      </c>
      <c r="U190" s="81">
        <f t="shared" ref="U190:U201" si="62">P190-I190</f>
        <v>-2.92E-2</v>
      </c>
      <c r="V190" s="83">
        <f t="shared" ref="V190:V201" si="63">Q190-J190</f>
        <v>-2.8300000000000047E-2</v>
      </c>
    </row>
    <row r="191" spans="1:22">
      <c r="A191" s="75">
        <v>3</v>
      </c>
      <c r="B191" s="112" t="s">
        <v>207</v>
      </c>
      <c r="C191" s="113" t="s">
        <v>36</v>
      </c>
      <c r="D191" s="27">
        <v>321408493.64999998</v>
      </c>
      <c r="E191" s="10">
        <f t="shared" si="57"/>
        <v>2.2928255160752246E-2</v>
      </c>
      <c r="F191" s="21">
        <v>23.981234000000001</v>
      </c>
      <c r="G191" s="21">
        <v>24.392137999999999</v>
      </c>
      <c r="H191" s="63">
        <v>73</v>
      </c>
      <c r="I191" s="28">
        <v>-5.9543773609109896E-2</v>
      </c>
      <c r="J191" s="28">
        <v>2.090505319374647E-2</v>
      </c>
      <c r="K191" s="27">
        <v>294656854.51999998</v>
      </c>
      <c r="L191" s="10">
        <f t="shared" si="58"/>
        <v>2.2175987120388915E-2</v>
      </c>
      <c r="M191" s="21">
        <v>21.985216000000001</v>
      </c>
      <c r="N191" s="21">
        <v>22.400748</v>
      </c>
      <c r="O191" s="63">
        <v>73</v>
      </c>
      <c r="P191" s="28">
        <v>-8.3232520790602949E-2</v>
      </c>
      <c r="Q191" s="28">
        <v>-6.4067447871433703E-2</v>
      </c>
      <c r="R191" s="81">
        <f t="shared" si="59"/>
        <v>-8.3232520790602935E-2</v>
      </c>
      <c r="S191" s="81">
        <f t="shared" si="60"/>
        <v>-8.1640649950406111E-2</v>
      </c>
      <c r="T191" s="81">
        <f t="shared" si="61"/>
        <v>0</v>
      </c>
      <c r="U191" s="81">
        <f t="shared" si="62"/>
        <v>-2.3688747181493053E-2</v>
      </c>
      <c r="V191" s="83">
        <f t="shared" si="63"/>
        <v>-8.4972501065180173E-2</v>
      </c>
    </row>
    <row r="192" spans="1:22">
      <c r="A192" s="75">
        <v>4</v>
      </c>
      <c r="B192" s="112" t="s">
        <v>208</v>
      </c>
      <c r="C192" s="113" t="s">
        <v>36</v>
      </c>
      <c r="D192" s="27">
        <v>576820778.07000005</v>
      </c>
      <c r="E192" s="10">
        <f t="shared" si="57"/>
        <v>4.1148551587484178E-2</v>
      </c>
      <c r="F192" s="21">
        <v>43.285040000000002</v>
      </c>
      <c r="G192" s="21">
        <v>43.768152000000001</v>
      </c>
      <c r="H192" s="63">
        <v>60</v>
      </c>
      <c r="I192" s="28">
        <v>-2.0068978311994501E-2</v>
      </c>
      <c r="J192" s="28">
        <v>0.14957759987273644</v>
      </c>
      <c r="K192" s="27">
        <v>568117775.13999999</v>
      </c>
      <c r="L192" s="10">
        <f t="shared" si="58"/>
        <v>4.275676018089547E-2</v>
      </c>
      <c r="M192" s="21">
        <v>42.631960999999997</v>
      </c>
      <c r="N192" s="21">
        <v>43.123769000000003</v>
      </c>
      <c r="O192" s="63">
        <v>60</v>
      </c>
      <c r="P192" s="28">
        <v>-1.508788043163023E-2</v>
      </c>
      <c r="Q192" s="28">
        <v>0.13223291049897612</v>
      </c>
      <c r="R192" s="81">
        <f t="shared" si="59"/>
        <v>-1.5087880431630212E-2</v>
      </c>
      <c r="S192" s="81">
        <f t="shared" si="60"/>
        <v>-1.4722645817899685E-2</v>
      </c>
      <c r="T192" s="81">
        <f t="shared" si="61"/>
        <v>0</v>
      </c>
      <c r="U192" s="81">
        <f t="shared" si="62"/>
        <v>4.9810978803642714E-3</v>
      </c>
      <c r="V192" s="83">
        <f t="shared" si="63"/>
        <v>-1.7344689373760325E-2</v>
      </c>
    </row>
    <row r="193" spans="1:22">
      <c r="A193" s="75">
        <v>5</v>
      </c>
      <c r="B193" s="112" t="s">
        <v>209</v>
      </c>
      <c r="C193" s="113" t="s">
        <v>210</v>
      </c>
      <c r="D193" s="27">
        <v>1180419173.4300001</v>
      </c>
      <c r="E193" s="10">
        <f t="shared" si="57"/>
        <v>8.4207332848272101E-2</v>
      </c>
      <c r="F193" s="21">
        <v>19400</v>
      </c>
      <c r="G193" s="21">
        <v>23200</v>
      </c>
      <c r="H193" s="63">
        <v>226</v>
      </c>
      <c r="I193" s="28">
        <v>0.57999999999999996</v>
      </c>
      <c r="J193" s="28">
        <v>2.41</v>
      </c>
      <c r="K193" s="27">
        <v>1211141748.6300001</v>
      </c>
      <c r="L193" s="10">
        <f t="shared" si="58"/>
        <v>9.1150989385048134E-2</v>
      </c>
      <c r="M193" s="21">
        <v>18900</v>
      </c>
      <c r="N193" s="21">
        <v>22500</v>
      </c>
      <c r="O193" s="63">
        <v>220</v>
      </c>
      <c r="P193" s="28">
        <v>0.03</v>
      </c>
      <c r="Q193" s="28">
        <v>0.56999999999999995</v>
      </c>
      <c r="R193" s="81">
        <f t="shared" si="59"/>
        <v>2.6026835120551289E-2</v>
      </c>
      <c r="S193" s="81">
        <f t="shared" si="60"/>
        <v>-3.017241379310345E-2</v>
      </c>
      <c r="T193" s="81">
        <f t="shared" si="61"/>
        <v>-2.6548672566371681E-2</v>
      </c>
      <c r="U193" s="81">
        <f t="shared" si="62"/>
        <v>-0.54999999999999993</v>
      </c>
      <c r="V193" s="83">
        <f t="shared" si="63"/>
        <v>-1.8400000000000003</v>
      </c>
    </row>
    <row r="194" spans="1:22">
      <c r="A194" s="75">
        <v>6</v>
      </c>
      <c r="B194" s="112" t="s">
        <v>211</v>
      </c>
      <c r="C194" s="113" t="s">
        <v>212</v>
      </c>
      <c r="D194" s="27">
        <v>1116535623.8900001</v>
      </c>
      <c r="E194" s="10">
        <f t="shared" si="57"/>
        <v>7.9650084507403074E-2</v>
      </c>
      <c r="F194" s="21">
        <v>1039.99</v>
      </c>
      <c r="G194" s="21">
        <v>1039.99</v>
      </c>
      <c r="H194" s="63">
        <v>46</v>
      </c>
      <c r="I194" s="28">
        <v>-1.8499999999999999E-2</v>
      </c>
      <c r="J194" s="28">
        <v>0.187</v>
      </c>
      <c r="K194" s="27">
        <v>1065253892.58</v>
      </c>
      <c r="L194" s="10">
        <f t="shared" si="58"/>
        <v>8.0171413762902335E-2</v>
      </c>
      <c r="M194" s="21">
        <v>1090</v>
      </c>
      <c r="N194" s="21">
        <v>1090</v>
      </c>
      <c r="O194" s="63">
        <v>78</v>
      </c>
      <c r="P194" s="28">
        <v>-4.5900000000000003E-2</v>
      </c>
      <c r="Q194" s="28">
        <v>0.13389999999999999</v>
      </c>
      <c r="R194" s="81">
        <f t="shared" si="59"/>
        <v>-4.5929328373182553E-2</v>
      </c>
      <c r="S194" s="81">
        <f t="shared" si="60"/>
        <v>4.8087000836546497E-2</v>
      </c>
      <c r="T194" s="81">
        <f t="shared" si="61"/>
        <v>0.69565217391304346</v>
      </c>
      <c r="U194" s="81">
        <f t="shared" si="62"/>
        <v>-2.7400000000000004E-2</v>
      </c>
      <c r="V194" s="83">
        <f t="shared" si="63"/>
        <v>-5.3100000000000008E-2</v>
      </c>
    </row>
    <row r="195" spans="1:22">
      <c r="A195" s="75">
        <v>7</v>
      </c>
      <c r="B195" s="112" t="s">
        <v>213</v>
      </c>
      <c r="C195" s="113" t="s">
        <v>212</v>
      </c>
      <c r="D195" s="27">
        <v>906330595.65999997</v>
      </c>
      <c r="E195" s="10">
        <f t="shared" si="57"/>
        <v>6.4654729317508972E-2</v>
      </c>
      <c r="F195" s="21">
        <v>898.79</v>
      </c>
      <c r="G195" s="21">
        <v>898.79</v>
      </c>
      <c r="H195" s="63">
        <v>377</v>
      </c>
      <c r="I195" s="28">
        <v>2.1700000000000001E-2</v>
      </c>
      <c r="J195" s="28">
        <v>0.432</v>
      </c>
      <c r="K195" s="27">
        <v>518343552.56999999</v>
      </c>
      <c r="L195" s="10">
        <f t="shared" si="58"/>
        <v>3.9010733228840397E-2</v>
      </c>
      <c r="M195" s="21">
        <v>789.93</v>
      </c>
      <c r="N195" s="21">
        <v>789.93</v>
      </c>
      <c r="O195" s="63">
        <v>468</v>
      </c>
      <c r="P195" s="28">
        <v>-2.1999999999999999E-2</v>
      </c>
      <c r="Q195" s="28">
        <v>0.40089999999999998</v>
      </c>
      <c r="R195" s="81">
        <f t="shared" si="59"/>
        <v>-0.42808556276031212</v>
      </c>
      <c r="S195" s="81">
        <f t="shared" si="60"/>
        <v>-0.12111839250547961</v>
      </c>
      <c r="T195" s="81">
        <f t="shared" si="61"/>
        <v>0.2413793103448276</v>
      </c>
      <c r="U195" s="81">
        <f t="shared" si="62"/>
        <v>-4.3700000000000003E-2</v>
      </c>
      <c r="V195" s="83">
        <f t="shared" si="63"/>
        <v>-3.1100000000000017E-2</v>
      </c>
    </row>
    <row r="196" spans="1:22">
      <c r="A196" s="75">
        <v>8</v>
      </c>
      <c r="B196" s="112" t="s">
        <v>214</v>
      </c>
      <c r="C196" s="113" t="s">
        <v>215</v>
      </c>
      <c r="D196" s="27">
        <v>333646470.75999999</v>
      </c>
      <c r="E196" s="10">
        <f t="shared" si="57"/>
        <v>2.3801273352160347E-2</v>
      </c>
      <c r="F196" s="21">
        <v>14.75</v>
      </c>
      <c r="G196" s="21">
        <v>14.85</v>
      </c>
      <c r="H196" s="63">
        <v>55</v>
      </c>
      <c r="I196" s="28">
        <v>6.7999999999999996E-3</v>
      </c>
      <c r="J196" s="28">
        <v>0.30049999999999999</v>
      </c>
      <c r="K196" s="27">
        <v>333646470.75999999</v>
      </c>
      <c r="L196" s="10">
        <f t="shared" si="58"/>
        <v>2.5110360491663937E-2</v>
      </c>
      <c r="M196" s="21">
        <v>14.73</v>
      </c>
      <c r="N196" s="21">
        <v>14.83</v>
      </c>
      <c r="O196" s="63">
        <v>56</v>
      </c>
      <c r="P196" s="28">
        <v>0</v>
      </c>
      <c r="Q196" s="28">
        <v>0.30049999999999999</v>
      </c>
      <c r="R196" s="81">
        <f t="shared" si="59"/>
        <v>0</v>
      </c>
      <c r="S196" s="81">
        <f t="shared" si="60"/>
        <v>-1.346801346801318E-3</v>
      </c>
      <c r="T196" s="81">
        <f t="shared" si="61"/>
        <v>1.8181818181818181E-2</v>
      </c>
      <c r="U196" s="81">
        <f t="shared" si="62"/>
        <v>-6.7999999999999996E-3</v>
      </c>
      <c r="V196" s="83">
        <f t="shared" si="63"/>
        <v>0</v>
      </c>
    </row>
    <row r="197" spans="1:22">
      <c r="A197" s="75">
        <v>9</v>
      </c>
      <c r="B197" s="112" t="s">
        <v>216</v>
      </c>
      <c r="C197" s="113" t="s">
        <v>215</v>
      </c>
      <c r="D197" s="29">
        <v>783676987.94000006</v>
      </c>
      <c r="E197" s="10">
        <f t="shared" si="57"/>
        <v>5.5905012773759609E-2</v>
      </c>
      <c r="F197" s="21">
        <v>9.7100000000000009</v>
      </c>
      <c r="G197" s="21">
        <v>9.81</v>
      </c>
      <c r="H197" s="63">
        <v>91</v>
      </c>
      <c r="I197" s="28">
        <v>-6.7299999999999999E-2</v>
      </c>
      <c r="J197" s="28">
        <v>9.8500000000000004E-2</v>
      </c>
      <c r="K197" s="29">
        <v>730247706.17999995</v>
      </c>
      <c r="L197" s="10">
        <f t="shared" si="58"/>
        <v>5.4958720554189766E-2</v>
      </c>
      <c r="M197" s="21">
        <v>9.0399999999999991</v>
      </c>
      <c r="N197" s="21">
        <v>9.14</v>
      </c>
      <c r="O197" s="63">
        <v>93</v>
      </c>
      <c r="P197" s="28">
        <v>-3.61E-2</v>
      </c>
      <c r="Q197" s="28">
        <v>5.8900000000000001E-2</v>
      </c>
      <c r="R197" s="81">
        <f t="shared" si="59"/>
        <v>-6.8177683640355619E-2</v>
      </c>
      <c r="S197" s="81">
        <f t="shared" si="60"/>
        <v>-6.8297655453618752E-2</v>
      </c>
      <c r="T197" s="81">
        <f t="shared" si="61"/>
        <v>2.197802197802198E-2</v>
      </c>
      <c r="U197" s="81">
        <f t="shared" si="62"/>
        <v>3.1199999999999999E-2</v>
      </c>
      <c r="V197" s="83">
        <f t="shared" si="63"/>
        <v>-3.9600000000000003E-2</v>
      </c>
    </row>
    <row r="198" spans="1:22" ht="15" customHeight="1">
      <c r="A198" s="75">
        <v>10</v>
      </c>
      <c r="B198" s="112" t="s">
        <v>217</v>
      </c>
      <c r="C198" s="113" t="s">
        <v>215</v>
      </c>
      <c r="D198" s="27">
        <v>488140220.08999997</v>
      </c>
      <c r="E198" s="10">
        <f t="shared" si="57"/>
        <v>3.482236388138861E-2</v>
      </c>
      <c r="F198" s="21">
        <v>137.66</v>
      </c>
      <c r="G198" s="21">
        <v>139.66</v>
      </c>
      <c r="H198" s="63">
        <v>205</v>
      </c>
      <c r="I198" s="28">
        <v>4.1599999999999998E-2</v>
      </c>
      <c r="J198" s="28">
        <v>2.3784000000000001</v>
      </c>
      <c r="K198" s="27">
        <v>472496881.67000002</v>
      </c>
      <c r="L198" s="10">
        <f t="shared" si="58"/>
        <v>3.5560295311666129E-2</v>
      </c>
      <c r="M198" s="21">
        <v>133.22</v>
      </c>
      <c r="N198" s="21">
        <v>135.22</v>
      </c>
      <c r="O198" s="63">
        <v>221</v>
      </c>
      <c r="P198" s="28">
        <v>-0.17199999999999999</v>
      </c>
      <c r="Q198" s="28">
        <v>1.7972999999999999</v>
      </c>
      <c r="R198" s="81">
        <f t="shared" si="59"/>
        <v>-3.2046813141346442E-2</v>
      </c>
      <c r="S198" s="81">
        <f t="shared" si="60"/>
        <v>-3.1791493627380769E-2</v>
      </c>
      <c r="T198" s="81">
        <f t="shared" si="61"/>
        <v>7.8048780487804878E-2</v>
      </c>
      <c r="U198" s="81">
        <f t="shared" si="62"/>
        <v>-0.21359999999999998</v>
      </c>
      <c r="V198" s="83">
        <f t="shared" si="63"/>
        <v>-0.58110000000000017</v>
      </c>
    </row>
    <row r="199" spans="1:22">
      <c r="A199" s="75">
        <v>11</v>
      </c>
      <c r="B199" s="112" t="s">
        <v>218</v>
      </c>
      <c r="C199" s="113" t="s">
        <v>215</v>
      </c>
      <c r="D199" s="27">
        <v>5660163289.4700003</v>
      </c>
      <c r="E199" s="10">
        <f t="shared" si="57"/>
        <v>0.40377796703099339</v>
      </c>
      <c r="F199" s="21">
        <v>39.549999999999997</v>
      </c>
      <c r="G199" s="21">
        <v>39.75</v>
      </c>
      <c r="H199" s="63">
        <v>226</v>
      </c>
      <c r="I199" s="28">
        <v>2.63E-2</v>
      </c>
      <c r="J199" s="28">
        <v>0.44440000000000002</v>
      </c>
      <c r="K199" s="27">
        <v>5522093825.9399996</v>
      </c>
      <c r="L199" s="10">
        <f t="shared" si="58"/>
        <v>0.41559488497598374</v>
      </c>
      <c r="M199" s="21">
        <v>38.58</v>
      </c>
      <c r="N199" s="21">
        <v>38.78</v>
      </c>
      <c r="O199" s="63">
        <v>236</v>
      </c>
      <c r="P199" s="28">
        <v>-2.3099999999999999E-2</v>
      </c>
      <c r="Q199" s="28">
        <v>0.41110000000000002</v>
      </c>
      <c r="R199" s="81">
        <f t="shared" si="59"/>
        <v>-2.4393194413111899E-2</v>
      </c>
      <c r="S199" s="81">
        <f t="shared" si="60"/>
        <v>-2.4402515723270412E-2</v>
      </c>
      <c r="T199" s="81">
        <f t="shared" si="61"/>
        <v>4.4247787610619468E-2</v>
      </c>
      <c r="U199" s="81">
        <f t="shared" si="62"/>
        <v>-4.9399999999999999E-2</v>
      </c>
      <c r="V199" s="83">
        <f t="shared" si="63"/>
        <v>-3.3299999999999996E-2</v>
      </c>
    </row>
    <row r="200" spans="1:22">
      <c r="A200" s="75">
        <v>12</v>
      </c>
      <c r="B200" s="112" t="s">
        <v>219</v>
      </c>
      <c r="C200" s="113" t="s">
        <v>215</v>
      </c>
      <c r="D200" s="29">
        <v>589037662.50999999</v>
      </c>
      <c r="E200" s="10">
        <f t="shared" si="57"/>
        <v>4.2020065095197422E-2</v>
      </c>
      <c r="F200" s="21">
        <v>56.56</v>
      </c>
      <c r="G200" s="21">
        <v>56.76</v>
      </c>
      <c r="H200" s="63">
        <v>47</v>
      </c>
      <c r="I200" s="28">
        <v>8.8599999999999998E-2</v>
      </c>
      <c r="J200" s="28">
        <v>1.1056999999999999</v>
      </c>
      <c r="K200" s="29">
        <v>564293376.70000005</v>
      </c>
      <c r="L200" s="10">
        <f t="shared" si="58"/>
        <v>4.2468934497400579E-2</v>
      </c>
      <c r="M200" s="21">
        <v>54.21</v>
      </c>
      <c r="N200" s="21">
        <v>54.41</v>
      </c>
      <c r="O200" s="63">
        <v>47</v>
      </c>
      <c r="P200" s="28">
        <v>0.18279999999999999</v>
      </c>
      <c r="Q200" s="28">
        <v>1.4905999999999999</v>
      </c>
      <c r="R200" s="81">
        <f t="shared" si="59"/>
        <v>-4.2007985880834681E-2</v>
      </c>
      <c r="S200" s="81">
        <f t="shared" si="60"/>
        <v>-4.1402396053558874E-2</v>
      </c>
      <c r="T200" s="81">
        <f t="shared" si="61"/>
        <v>0</v>
      </c>
      <c r="U200" s="81">
        <f t="shared" si="62"/>
        <v>9.4199999999999992E-2</v>
      </c>
      <c r="V200" s="83">
        <f t="shared" si="63"/>
        <v>0.38490000000000002</v>
      </c>
    </row>
    <row r="201" spans="1:22">
      <c r="A201" s="43"/>
      <c r="B201" s="43"/>
      <c r="C201" s="74" t="s">
        <v>220</v>
      </c>
      <c r="D201" s="73">
        <f>SUM(D189:D200)</f>
        <v>14018009281.411669</v>
      </c>
      <c r="E201" s="24"/>
      <c r="F201" s="24"/>
      <c r="G201" s="22"/>
      <c r="H201" s="73">
        <f>SUM(H189:H200)</f>
        <v>1651</v>
      </c>
      <c r="I201" s="23"/>
      <c r="J201" s="23"/>
      <c r="K201" s="73">
        <f>SUM(K189:K200)</f>
        <v>13287203537.78923</v>
      </c>
      <c r="L201" s="24"/>
      <c r="M201" s="24"/>
      <c r="N201" s="22"/>
      <c r="O201" s="73">
        <f>SUM(O189:O200)</f>
        <v>1800</v>
      </c>
      <c r="P201" s="23"/>
      <c r="Q201" s="23"/>
      <c r="R201" s="81">
        <f t="shared" si="59"/>
        <v>-5.2133347107389233E-2</v>
      </c>
      <c r="S201" s="81" t="e">
        <f t="shared" si="60"/>
        <v>#DIV/0!</v>
      </c>
      <c r="T201" s="81">
        <f t="shared" si="61"/>
        <v>9.0248334342822534E-2</v>
      </c>
      <c r="U201" s="81">
        <f t="shared" si="62"/>
        <v>0</v>
      </c>
      <c r="V201" s="83">
        <f t="shared" si="63"/>
        <v>0</v>
      </c>
    </row>
    <row r="202" spans="1:22">
      <c r="A202" s="88"/>
      <c r="B202" s="88"/>
      <c r="C202" s="89" t="s">
        <v>221</v>
      </c>
      <c r="D202" s="90">
        <f>SUM(D181,D186,D201)</f>
        <v>2809229574015.1885</v>
      </c>
      <c r="E202" s="91"/>
      <c r="F202" s="91"/>
      <c r="G202" s="92"/>
      <c r="H202" s="90">
        <f>SUM(H181,H186,H201)</f>
        <v>780738</v>
      </c>
      <c r="I202" s="93"/>
      <c r="J202" s="93"/>
      <c r="K202" s="90">
        <f>SUM(K181,K186,K201)</f>
        <v>2830478260912.7744</v>
      </c>
      <c r="L202" s="91"/>
      <c r="M202" s="91"/>
      <c r="N202" s="92"/>
      <c r="O202" s="90">
        <f>SUM(O181,O186,O201)</f>
        <v>715107</v>
      </c>
      <c r="P202" s="94"/>
      <c r="Q202" s="90"/>
      <c r="R202" s="95"/>
      <c r="S202" s="96"/>
      <c r="T202" s="96"/>
      <c r="U202" s="97"/>
      <c r="V202" s="97"/>
    </row>
    <row r="203" spans="1:22">
      <c r="A203" s="109" t="s">
        <v>250</v>
      </c>
      <c r="B203" s="110" t="s">
        <v>264</v>
      </c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</row>
    <row r="205" spans="1:22">
      <c r="B205" s="115"/>
      <c r="C205" s="115"/>
      <c r="D205" s="114"/>
      <c r="K205" s="114"/>
    </row>
    <row r="206" spans="1:22">
      <c r="B206" s="115"/>
      <c r="D206" s="114"/>
    </row>
  </sheetData>
  <sheetProtection algorithmName="SHA-512" hashValue="C1AFpcNDrbmLb0nW5tonKFu35+w63yYiykdcUSLHSNwf/KrXUeSK49g/2nQAcCMlmMBZ7GrQgtgO19OR5d/CvA==" saltValue="noGIPyuaDD2AS7l41a62hw==" spinCount="100000" sheet="1" objects="1" scenarios="1"/>
  <protectedRanges>
    <protectedRange password="CADF" sqref="K10 D10" name="Fund Name_1_1_1_3_1_1_2"/>
    <protectedRange password="CADF" sqref="K99:K100 D99:D100" name="Yield_2_1_2_6_3_2"/>
    <protectedRange password="CADF" sqref="K144 K153:K154 D144 D153:D154" name="Fund Name_1_1_1_2_2"/>
  </protectedRanges>
  <mergeCells count="31">
    <mergeCell ref="A187:V187"/>
    <mergeCell ref="A188:V188"/>
    <mergeCell ref="A164:V164"/>
    <mergeCell ref="A167:V167"/>
    <mergeCell ref="A168:V168"/>
    <mergeCell ref="A182:U182"/>
    <mergeCell ref="A183:V183"/>
    <mergeCell ref="A163:V163"/>
    <mergeCell ref="A92:V92"/>
    <mergeCell ref="A93:V93"/>
    <mergeCell ref="A106:V106"/>
    <mergeCell ref="A107:V107"/>
    <mergeCell ref="A119:V119"/>
    <mergeCell ref="A120:V120"/>
    <mergeCell ref="A127:V127"/>
    <mergeCell ref="A128:V128"/>
    <mergeCell ref="A156:V156"/>
    <mergeCell ref="A157:V157"/>
    <mergeCell ref="A162:V162"/>
    <mergeCell ref="A91:V91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78 E78 E62" formula="1"/>
    <ignoredError sqref="S126 S22 T33 S55 S90 S118 T136 S155 S161 S180 S201 T184:T18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8"/>
  <sheetViews>
    <sheetView workbookViewId="0">
      <selection activeCell="P12" sqref="P12"/>
    </sheetView>
  </sheetViews>
  <sheetFormatPr defaultRowHeight="15"/>
  <cols>
    <col min="1" max="1" width="34" customWidth="1"/>
    <col min="2" max="2" width="19.42578125" customWidth="1"/>
    <col min="3" max="3" width="17.42578125" customWidth="1"/>
  </cols>
  <sheetData>
    <row r="2" spans="1:4">
      <c r="A2" s="99"/>
      <c r="B2" s="99"/>
      <c r="C2" s="99"/>
      <c r="D2" s="99"/>
    </row>
    <row r="3" spans="1:4">
      <c r="A3" s="99"/>
      <c r="B3" s="99"/>
      <c r="C3" s="99"/>
      <c r="D3" s="99"/>
    </row>
    <row r="4" spans="1:4" ht="33" customHeight="1">
      <c r="A4" s="116" t="s">
        <v>222</v>
      </c>
      <c r="B4" s="117" t="s">
        <v>261</v>
      </c>
      <c r="C4" s="117" t="s">
        <v>267</v>
      </c>
      <c r="D4" s="99"/>
    </row>
    <row r="5" spans="1:4" ht="19.5" customHeight="1">
      <c r="A5" s="118" t="s">
        <v>15</v>
      </c>
      <c r="B5" s="119">
        <f>31133318704.6953/1000000000</f>
        <v>31.133318704695302</v>
      </c>
      <c r="C5" s="119">
        <f>29773154676.3297/1000000000</f>
        <v>29.7731546763297</v>
      </c>
      <c r="D5" s="99"/>
    </row>
    <row r="6" spans="1:4" ht="16.5">
      <c r="A6" s="120" t="s">
        <v>47</v>
      </c>
      <c r="B6" s="121">
        <f>962897181294.703/1000000000</f>
        <v>962.89718129470305</v>
      </c>
      <c r="C6" s="121">
        <f>965954238325.49/1000000000</f>
        <v>965.95423832549</v>
      </c>
      <c r="D6" s="99"/>
    </row>
    <row r="7" spans="1:4" ht="16.5">
      <c r="A7" s="120" t="s">
        <v>223</v>
      </c>
      <c r="B7" s="119">
        <f>285837472467.208/1000000000</f>
        <v>285.83747246720799</v>
      </c>
      <c r="C7" s="119">
        <f>284109657368.597/1000000000</f>
        <v>284.10965736859697</v>
      </c>
      <c r="D7" s="99"/>
    </row>
    <row r="8" spans="1:4" ht="16.5">
      <c r="A8" s="120" t="s">
        <v>128</v>
      </c>
      <c r="B8" s="121">
        <f>1213277971788.44/1000000000</f>
        <v>1213.27797178844</v>
      </c>
      <c r="C8" s="121">
        <f>1237172786827.97/1000000000</f>
        <v>1237.17278682797</v>
      </c>
      <c r="D8" s="99"/>
    </row>
    <row r="9" spans="1:4" ht="16.5">
      <c r="A9" s="120" t="s">
        <v>224</v>
      </c>
      <c r="B9" s="119">
        <f>100225758223.615/1000000000</f>
        <v>100.225758223615</v>
      </c>
      <c r="C9" s="119">
        <f>99671501901.3474/1000000000</f>
        <v>99.671501901347398</v>
      </c>
      <c r="D9" s="99"/>
    </row>
    <row r="10" spans="1:4" ht="16.5">
      <c r="A10" s="120" t="s">
        <v>154</v>
      </c>
      <c r="B10" s="122">
        <f>51726288214.5609/1000000000</f>
        <v>51.726288214560896</v>
      </c>
      <c r="C10" s="122">
        <f>50580214127.42/1000000000</f>
        <v>50.58021412742</v>
      </c>
      <c r="D10" s="99"/>
    </row>
    <row r="11" spans="1:4" ht="16.5">
      <c r="A11" s="120" t="s">
        <v>178</v>
      </c>
      <c r="B11" s="119">
        <f>5492189675.56/1000000000</f>
        <v>5.4921896755600006</v>
      </c>
      <c r="C11" s="119">
        <f>5371622450.7/1000000000</f>
        <v>5.3716224506999994</v>
      </c>
      <c r="D11" s="99"/>
    </row>
    <row r="12" spans="1:4" ht="16.5">
      <c r="A12" s="120" t="s">
        <v>225</v>
      </c>
      <c r="B12" s="119">
        <f>49968633652.243/1000000000</f>
        <v>49.968633652243</v>
      </c>
      <c r="C12" s="119">
        <f>49899185767.6313/1000000000</f>
        <v>49.899185767631302</v>
      </c>
      <c r="D12" s="99"/>
    </row>
    <row r="13" spans="1:4">
      <c r="A13" s="99"/>
      <c r="B13" s="99"/>
      <c r="C13" s="99"/>
      <c r="D13" s="99"/>
    </row>
    <row r="14" spans="1:4">
      <c r="A14" s="99"/>
      <c r="B14" s="99"/>
      <c r="C14" s="99"/>
      <c r="D14" s="99"/>
    </row>
    <row r="15" spans="1:4">
      <c r="A15" s="99"/>
      <c r="B15" s="99"/>
      <c r="C15" s="99"/>
      <c r="D15" s="99"/>
    </row>
    <row r="16" spans="1:4" ht="16.5">
      <c r="A16" s="99"/>
      <c r="B16" s="119">
        <v>29773154676.3297</v>
      </c>
      <c r="C16" s="123"/>
      <c r="D16" s="99"/>
    </row>
    <row r="17" spans="1:4" ht="16.5">
      <c r="A17" s="99"/>
      <c r="B17" s="121">
        <v>965954238325.48999</v>
      </c>
      <c r="C17" s="119"/>
      <c r="D17" s="99"/>
    </row>
    <row r="18" spans="1:4" ht="16.5">
      <c r="A18" s="124"/>
      <c r="B18" s="119">
        <v>284109657368.59698</v>
      </c>
      <c r="C18" s="121"/>
      <c r="D18" s="99"/>
    </row>
    <row r="19" spans="1:4" ht="16.5">
      <c r="A19" s="125"/>
      <c r="B19" s="121">
        <v>1237172786827.97</v>
      </c>
      <c r="C19" s="119"/>
      <c r="D19" s="99"/>
    </row>
    <row r="20" spans="1:4" ht="16.5">
      <c r="A20" s="125"/>
      <c r="B20" s="126">
        <v>99671501901.347397</v>
      </c>
      <c r="C20" s="121"/>
      <c r="D20" s="99"/>
    </row>
    <row r="21" spans="1:4" ht="16.5">
      <c r="A21" s="125"/>
      <c r="B21" s="127">
        <v>50580214127.421898</v>
      </c>
      <c r="C21" s="141"/>
      <c r="D21" s="99"/>
    </row>
    <row r="22" spans="1:4" ht="16.5">
      <c r="A22" s="125"/>
      <c r="B22" s="128">
        <v>5371622450.6999998</v>
      </c>
      <c r="C22" s="127"/>
      <c r="D22" s="99"/>
    </row>
    <row r="23" spans="1:4" ht="16.5">
      <c r="A23" s="125"/>
      <c r="B23" s="128">
        <v>49899185767.631302</v>
      </c>
      <c r="C23" s="128"/>
      <c r="D23" s="99"/>
    </row>
    <row r="24" spans="1:4" ht="16.5">
      <c r="A24" s="125"/>
      <c r="B24" s="128"/>
      <c r="C24" s="128"/>
      <c r="D24" s="99"/>
    </row>
    <row r="25" spans="1:4" ht="16.5">
      <c r="A25" s="125"/>
      <c r="B25" s="128"/>
      <c r="C25" s="128"/>
      <c r="D25" s="99"/>
    </row>
    <row r="26" spans="1:4" ht="16.5">
      <c r="A26" s="130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FXn86haqHAwz2XAy1BVvdV+6NQWae7+pK2uIlDjKCAAodVWNnPXzOAFbdVhk0ISGMc3V9brUgG7KIQPa7EBnJg==" saltValue="Wr/7CLOlX+UsqaH+6pEgI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M3" sqref="M3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16" t="s">
        <v>222</v>
      </c>
      <c r="B1" s="123">
        <v>45331</v>
      </c>
      <c r="C1" s="99"/>
    </row>
    <row r="2" spans="1:3" ht="16.5">
      <c r="A2" s="120" t="s">
        <v>178</v>
      </c>
      <c r="B2" s="119">
        <v>5371622450.6999998</v>
      </c>
      <c r="C2" s="99"/>
    </row>
    <row r="3" spans="1:3" ht="16.5">
      <c r="A3" s="120" t="s">
        <v>15</v>
      </c>
      <c r="B3" s="119">
        <v>29773154676.3297</v>
      </c>
      <c r="C3" s="99"/>
    </row>
    <row r="4" spans="1:3" ht="16.5">
      <c r="A4" s="120" t="s">
        <v>154</v>
      </c>
      <c r="B4" s="119">
        <v>49899185767.631302</v>
      </c>
      <c r="C4" s="99"/>
    </row>
    <row r="5" spans="1:3" ht="16.5">
      <c r="A5" s="120" t="s">
        <v>225</v>
      </c>
      <c r="B5" s="122">
        <v>50580214127.421898</v>
      </c>
      <c r="C5" s="99"/>
    </row>
    <row r="6" spans="1:3" ht="16.5">
      <c r="A6" s="120" t="s">
        <v>224</v>
      </c>
      <c r="B6" s="119">
        <v>99671501901.347397</v>
      </c>
      <c r="C6" s="99"/>
    </row>
    <row r="7" spans="1:3" ht="16.5">
      <c r="A7" s="120" t="s">
        <v>223</v>
      </c>
      <c r="B7" s="119">
        <v>284109657368.59698</v>
      </c>
      <c r="C7" s="99"/>
    </row>
    <row r="8" spans="1:3" ht="16.5">
      <c r="A8" s="120" t="s">
        <v>47</v>
      </c>
      <c r="B8" s="121">
        <v>965954238325.48999</v>
      </c>
      <c r="C8" s="99"/>
    </row>
    <row r="9" spans="1:3" ht="16.5">
      <c r="A9" s="120" t="s">
        <v>128</v>
      </c>
      <c r="B9" s="121">
        <v>1237172786827.97</v>
      </c>
      <c r="C9" s="99"/>
    </row>
    <row r="10" spans="1:3">
      <c r="A10" s="99"/>
      <c r="B10" s="99"/>
      <c r="C10" s="99"/>
    </row>
    <row r="11" spans="1:3">
      <c r="A11" s="99"/>
      <c r="B11" s="99"/>
      <c r="C11" s="99"/>
    </row>
    <row r="12" spans="1:3" ht="16.5">
      <c r="A12" s="120"/>
      <c r="B12" s="99"/>
      <c r="C12" s="99"/>
    </row>
    <row r="13" spans="1:3" ht="16.5">
      <c r="A13" s="119">
        <v>5371622450.6999998</v>
      </c>
      <c r="B13" s="119"/>
      <c r="C13" s="99"/>
    </row>
    <row r="14" spans="1:3" ht="16.5">
      <c r="A14" s="119">
        <v>29773154676.3297</v>
      </c>
      <c r="B14" s="119"/>
      <c r="C14" s="99"/>
    </row>
    <row r="15" spans="1:3" ht="16.5">
      <c r="A15" s="119">
        <v>49899185767.631302</v>
      </c>
      <c r="B15" s="122"/>
      <c r="C15" s="99"/>
    </row>
    <row r="16" spans="1:3" ht="16.5">
      <c r="A16" s="122">
        <v>50580214127.421898</v>
      </c>
      <c r="B16" s="119"/>
      <c r="C16" s="99"/>
    </row>
    <row r="17" spans="1:17" ht="16.5">
      <c r="A17" s="119">
        <v>99671501901.347397</v>
      </c>
      <c r="B17" s="119"/>
      <c r="C17" s="99"/>
    </row>
    <row r="18" spans="1:17" ht="16.5">
      <c r="A18" s="119">
        <v>284109657368.59698</v>
      </c>
      <c r="B18" s="119"/>
      <c r="C18" s="99"/>
    </row>
    <row r="19" spans="1:17" ht="16.5">
      <c r="A19" s="121">
        <v>965954238325.48999</v>
      </c>
      <c r="B19" s="121"/>
      <c r="C19" s="99"/>
    </row>
    <row r="20" spans="1:17" ht="16.5">
      <c r="A20" s="121">
        <v>1237172786827.97</v>
      </c>
      <c r="B20" s="121"/>
      <c r="C20" s="99"/>
    </row>
    <row r="21" spans="1:17" ht="16.5">
      <c r="A21" s="125"/>
      <c r="B21" s="121"/>
      <c r="C21" s="99"/>
    </row>
    <row r="22" spans="1:17" ht="16.5">
      <c r="B22" s="139"/>
    </row>
    <row r="23" spans="1:17">
      <c r="A23" s="101"/>
      <c r="B23" s="101"/>
    </row>
    <row r="24" spans="1:17">
      <c r="A24" s="101"/>
      <c r="B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55" t="s">
        <v>268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07"/>
    </row>
    <row r="33" spans="1:17" ht="15" customHeigh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07"/>
    </row>
  </sheetData>
  <sheetProtection algorithmName="SHA-512" hashValue="CwT7ahydYiJJeIGKY0U+vNMcCrIcg8waew9Rmyyafy+J0N2hQJjOh/4wynrrVXZz4MtvLycqYcJcoKHBMTxdvw==" saltValue="cnvxpSwsXnivW7gidX+jBQ==" spinCount="100000" sheet="1" objects="1" scenarios="1"/>
  <sortState xmlns:xlrd2="http://schemas.microsoft.com/office/spreadsheetml/2017/richdata2" ref="A13:A20">
    <sortCondition ref="A13:A2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zoomScale="110" zoomScaleNormal="110" workbookViewId="0">
      <selection activeCell="O2" sqref="O2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33" t="s">
        <v>233</v>
      </c>
      <c r="B2" s="134">
        <v>45282</v>
      </c>
      <c r="C2" s="134">
        <v>45289</v>
      </c>
      <c r="D2" s="134">
        <v>45296</v>
      </c>
      <c r="E2" s="134">
        <v>45303</v>
      </c>
      <c r="F2" s="134">
        <v>45310</v>
      </c>
      <c r="G2" s="134">
        <v>45317</v>
      </c>
      <c r="H2" s="134">
        <v>45324</v>
      </c>
      <c r="I2" s="134">
        <v>45331</v>
      </c>
      <c r="J2" s="99"/>
      <c r="K2" s="101"/>
      <c r="L2" s="101"/>
      <c r="M2" s="101"/>
    </row>
    <row r="3" spans="1:13">
      <c r="A3" s="133" t="s">
        <v>234</v>
      </c>
      <c r="B3" s="135">
        <f>2101781808992.51/1000000000</f>
        <v>2101.7818089925099</v>
      </c>
      <c r="C3" s="135">
        <f>2134044598687.96/1000000000</f>
        <v>2134.0445986879599</v>
      </c>
      <c r="D3" s="135">
        <f>2137525044219.98/1000000000</f>
        <v>2137.5250442199799</v>
      </c>
      <c r="E3" s="135">
        <f>2218204777155.8/1000000000</f>
        <v>2218.2047771558</v>
      </c>
      <c r="F3" s="135">
        <f>2215471403911.63/1000000000</f>
        <v>2215.4714039116297</v>
      </c>
      <c r="G3" s="135">
        <f>2278172196680.68/1000000000</f>
        <v>2278.1721966806804</v>
      </c>
      <c r="H3" s="135">
        <f>2700558814021.03/1000000000</f>
        <v>2700.5588140210298</v>
      </c>
      <c r="I3" s="135">
        <f>2722532361445.49/1000000000</f>
        <v>2722.5323614454901</v>
      </c>
      <c r="J3" s="99"/>
      <c r="K3" s="101"/>
      <c r="L3" s="101"/>
      <c r="M3" s="101"/>
    </row>
    <row r="4" spans="1:13">
      <c r="A4" s="99"/>
      <c r="B4" s="99"/>
      <c r="C4" s="99"/>
      <c r="D4" s="99"/>
      <c r="E4" s="99"/>
      <c r="F4" s="99"/>
      <c r="G4" s="99"/>
      <c r="H4" s="99"/>
      <c r="I4" s="99"/>
      <c r="J4" s="99"/>
      <c r="K4" s="101"/>
      <c r="L4" s="101"/>
      <c r="M4" s="101"/>
    </row>
  </sheetData>
  <sheetProtection algorithmName="SHA-512" hashValue="ksaYkytAIVrcP0iwkMxxBHWYlqbIIfOOW3VRvgAoZOTEfDpNKglka0qQpUMXaUF7AuW2CHdmMRBjBa8icBHCvQ==" saltValue="u3lYG+R017PBYLqGWZWai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8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0" ht="16.5">
      <c r="A1" s="44" t="s">
        <v>222</v>
      </c>
      <c r="B1" s="45">
        <v>45275</v>
      </c>
      <c r="C1" s="45">
        <v>45648</v>
      </c>
      <c r="D1" s="45">
        <v>45655</v>
      </c>
      <c r="E1" s="45">
        <v>45296</v>
      </c>
      <c r="F1" s="45">
        <v>45303</v>
      </c>
      <c r="G1" s="45">
        <v>45310</v>
      </c>
      <c r="H1" s="45">
        <v>45317</v>
      </c>
      <c r="I1" s="45">
        <v>45324</v>
      </c>
      <c r="J1" s="45">
        <v>45331</v>
      </c>
    </row>
    <row r="2" spans="1:10" ht="16.5">
      <c r="A2" s="46" t="s">
        <v>15</v>
      </c>
      <c r="B2" s="47">
        <v>23529063102.022598</v>
      </c>
      <c r="C2" s="47">
        <v>24230078910.4828</v>
      </c>
      <c r="D2" s="47">
        <v>24405214546.111698</v>
      </c>
      <c r="E2" s="47">
        <v>26318158433.3255</v>
      </c>
      <c r="F2" s="47">
        <v>27950770849.196804</v>
      </c>
      <c r="G2" s="47">
        <v>30206984491.494904</v>
      </c>
      <c r="H2" s="47">
        <v>31149538694.629303</v>
      </c>
      <c r="I2" s="47">
        <v>31133318704.695301</v>
      </c>
      <c r="J2" s="47">
        <v>29773154676.329697</v>
      </c>
    </row>
    <row r="3" spans="1:10" ht="16.5">
      <c r="A3" s="46" t="s">
        <v>47</v>
      </c>
      <c r="B3" s="48">
        <v>854204297161.97668</v>
      </c>
      <c r="C3" s="48">
        <v>864670150184.58435</v>
      </c>
      <c r="D3" s="48">
        <v>881602898033.37561</v>
      </c>
      <c r="E3" s="48">
        <v>903708318785.28052</v>
      </c>
      <c r="F3" s="48">
        <v>912572121651.28699</v>
      </c>
      <c r="G3" s="48">
        <v>930010368618.9447</v>
      </c>
      <c r="H3" s="48">
        <v>949716593900.38049</v>
      </c>
      <c r="I3" s="48">
        <v>962897181294.703</v>
      </c>
      <c r="J3" s="48">
        <v>965954238325.48999</v>
      </c>
    </row>
    <row r="4" spans="1:10" ht="16.5">
      <c r="A4" s="46" t="s">
        <v>223</v>
      </c>
      <c r="B4" s="47">
        <v>285507286565.07678</v>
      </c>
      <c r="C4" s="47">
        <v>287057877236.40979</v>
      </c>
      <c r="D4" s="47">
        <v>287675389277.73108</v>
      </c>
      <c r="E4" s="47">
        <v>287055376560.05243</v>
      </c>
      <c r="F4" s="47">
        <v>288835807549.41266</v>
      </c>
      <c r="G4" s="47">
        <v>288027196204.47491</v>
      </c>
      <c r="H4" s="47">
        <v>287140620370.69159</v>
      </c>
      <c r="I4" s="47">
        <v>285837472467.20758</v>
      </c>
      <c r="J4" s="47">
        <v>284109657368.59705</v>
      </c>
    </row>
    <row r="5" spans="1:10" ht="16.5">
      <c r="A5" s="46" t="s">
        <v>128</v>
      </c>
      <c r="B5" s="48">
        <v>728772585155.99414</v>
      </c>
      <c r="C5" s="48">
        <v>736654691955.29309</v>
      </c>
      <c r="D5" s="48">
        <v>750658281364.3822</v>
      </c>
      <c r="E5" s="48">
        <v>726920775377.21094</v>
      </c>
      <c r="F5" s="48">
        <v>790548059586.41138</v>
      </c>
      <c r="G5" s="48">
        <v>765722989499.45947</v>
      </c>
      <c r="H5" s="48">
        <v>804116651844.98926</v>
      </c>
      <c r="I5" s="48">
        <v>1213277971788.4419</v>
      </c>
      <c r="J5" s="48">
        <v>1237172786827.9678</v>
      </c>
    </row>
    <row r="6" spans="1:10" ht="16.5">
      <c r="A6" s="46" t="s">
        <v>224</v>
      </c>
      <c r="B6" s="47">
        <v>96640447824.753601</v>
      </c>
      <c r="C6" s="47">
        <v>96678842690.618378</v>
      </c>
      <c r="D6" s="47">
        <v>96685745868.738373</v>
      </c>
      <c r="E6" s="47">
        <v>96815736652.814392</v>
      </c>
      <c r="F6" s="47">
        <v>99637490377.51947</v>
      </c>
      <c r="G6" s="47">
        <v>99595668997.222809</v>
      </c>
      <c r="H6" s="47">
        <v>100204717801.01483</v>
      </c>
      <c r="I6" s="47">
        <v>100225758223.61491</v>
      </c>
      <c r="J6" s="47">
        <v>99671501901.347351</v>
      </c>
    </row>
    <row r="7" spans="1:10" ht="16.5">
      <c r="A7" s="46" t="s">
        <v>154</v>
      </c>
      <c r="B7" s="49">
        <v>41464152077.994957</v>
      </c>
      <c r="C7" s="49">
        <v>42133843027.756485</v>
      </c>
      <c r="D7" s="49">
        <v>42555783009.607452</v>
      </c>
      <c r="E7" s="49">
        <v>44249451355.676628</v>
      </c>
      <c r="F7" s="49">
        <v>47102830010.420479</v>
      </c>
      <c r="G7" s="49">
        <v>49666823038.976089</v>
      </c>
      <c r="H7" s="49">
        <v>50649516378.670189</v>
      </c>
      <c r="I7" s="49">
        <v>51726288214.56089</v>
      </c>
      <c r="J7" s="49">
        <v>50580214127.421928</v>
      </c>
    </row>
    <row r="8" spans="1:10" ht="16.5">
      <c r="A8" s="46" t="s">
        <v>178</v>
      </c>
      <c r="B8" s="47">
        <v>4336895308.5699997</v>
      </c>
      <c r="C8" s="47">
        <v>4362447114.04</v>
      </c>
      <c r="D8" s="47">
        <v>4392041950.5100002</v>
      </c>
      <c r="E8" s="47">
        <v>4619717314.71</v>
      </c>
      <c r="F8" s="47">
        <v>4848445844.8000002</v>
      </c>
      <c r="G8" s="47">
        <v>5180809308.1199999</v>
      </c>
      <c r="H8" s="47">
        <v>5351667060.3500004</v>
      </c>
      <c r="I8" s="47">
        <v>5492189675.5599995</v>
      </c>
      <c r="J8" s="47">
        <v>5371622450.7000008</v>
      </c>
    </row>
    <row r="9" spans="1:10" ht="16.5">
      <c r="A9" s="46" t="s">
        <v>225</v>
      </c>
      <c r="B9" s="47">
        <v>45749644294.654205</v>
      </c>
      <c r="C9" s="47">
        <v>45993877873.32811</v>
      </c>
      <c r="D9" s="47">
        <v>46069244637.507507</v>
      </c>
      <c r="E9" s="47">
        <v>47837509740.908691</v>
      </c>
      <c r="F9" s="47">
        <v>46709251286.749229</v>
      </c>
      <c r="G9" s="47">
        <v>47060563752.939224</v>
      </c>
      <c r="H9" s="47">
        <v>49842890629.950577</v>
      </c>
      <c r="I9" s="47">
        <v>49968633652.242981</v>
      </c>
      <c r="J9" s="47">
        <v>49899185767.63131</v>
      </c>
    </row>
    <row r="10" spans="1:10" ht="15.75">
      <c r="A10" s="50" t="s">
        <v>226</v>
      </c>
      <c r="B10" s="51">
        <f t="shared" ref="B10:J10" si="0">SUM(B2:B9)</f>
        <v>2080204371491.0432</v>
      </c>
      <c r="C10" s="51">
        <f t="shared" si="0"/>
        <v>2101781808992.5132</v>
      </c>
      <c r="D10" s="51">
        <f t="shared" si="0"/>
        <v>2134044598687.9639</v>
      </c>
      <c r="E10" s="51">
        <f t="shared" si="0"/>
        <v>2137525044219.979</v>
      </c>
      <c r="F10" s="51">
        <f t="shared" si="0"/>
        <v>2218204777155.7969</v>
      </c>
      <c r="G10" s="51">
        <f t="shared" si="0"/>
        <v>2215471403911.6323</v>
      </c>
      <c r="H10" s="51">
        <f t="shared" si="0"/>
        <v>2278172196680.6768</v>
      </c>
      <c r="I10" s="51">
        <f t="shared" si="0"/>
        <v>2700558814021.0269</v>
      </c>
      <c r="J10" s="51">
        <f t="shared" si="0"/>
        <v>2722532361445.4854</v>
      </c>
    </row>
    <row r="11" spans="1:10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0" ht="15.75">
      <c r="A12" s="54" t="s">
        <v>227</v>
      </c>
      <c r="B12" s="55" t="s">
        <v>228</v>
      </c>
      <c r="C12" s="56">
        <f>(B10+C10)/2</f>
        <v>2090993090241.7783</v>
      </c>
      <c r="D12" s="57">
        <f t="shared" ref="D12:J12" si="1">(C10+D10)/2</f>
        <v>2117913203840.2385</v>
      </c>
      <c r="E12" s="57">
        <f t="shared" si="1"/>
        <v>2135784821453.9714</v>
      </c>
      <c r="F12" s="57">
        <f t="shared" si="1"/>
        <v>2177864910687.8879</v>
      </c>
      <c r="G12" s="57">
        <f>(F10+G10)/2</f>
        <v>2216838090533.7148</v>
      </c>
      <c r="H12" s="57">
        <f t="shared" si="1"/>
        <v>2246821800296.1543</v>
      </c>
      <c r="I12" s="57">
        <f t="shared" si="1"/>
        <v>2489365505350.8516</v>
      </c>
      <c r="J12" s="57">
        <f t="shared" si="1"/>
        <v>2711545587733.2559</v>
      </c>
    </row>
    <row r="15" spans="1:10">
      <c r="C15" s="140"/>
      <c r="D15" s="140"/>
      <c r="E15" s="140"/>
      <c r="F15" s="140"/>
      <c r="G15" s="140"/>
      <c r="H15" s="140"/>
      <c r="I15" s="140"/>
      <c r="J15" s="140"/>
    </row>
    <row r="16" spans="1:10">
      <c r="C16" s="135">
        <f>2101781808992.51/1000000000</f>
        <v>2101.7818089925099</v>
      </c>
      <c r="D16" s="135">
        <f>2134044598687.96/1000000000</f>
        <v>2134.0445986879599</v>
      </c>
      <c r="E16" s="135">
        <f>2137525044219.98/1000000000</f>
        <v>2137.5250442199799</v>
      </c>
      <c r="F16" s="135">
        <f>2218204777155.8/1000000000</f>
        <v>2218.2047771558</v>
      </c>
      <c r="G16" s="135">
        <f>2215471403911.63/1000000000</f>
        <v>2215.4714039116297</v>
      </c>
      <c r="H16" s="135">
        <f>2278172196680.68/1000000000</f>
        <v>2278.1721966806804</v>
      </c>
      <c r="I16" s="135">
        <f>2700558814021.03/1000000000</f>
        <v>2700.5588140210298</v>
      </c>
      <c r="J16" s="135">
        <f>2722532361445.49/1000000000</f>
        <v>2722.5323614454901</v>
      </c>
    </row>
    <row r="18" spans="3:10">
      <c r="C18" s="70"/>
      <c r="D18" s="70"/>
      <c r="E18" s="70"/>
      <c r="F18" s="70"/>
      <c r="G18" s="70"/>
      <c r="H18" s="70"/>
      <c r="I18" s="70"/>
      <c r="J18" s="70"/>
    </row>
  </sheetData>
  <sheetProtection algorithmName="SHA-512" hashValue="kcciQ0qfeqjNz2llsttlWpZA8cogkGhmGamwEQ1sjt5qoURlcnlzF7Oklt3vXsv17VYoX2+gD4kUezOOnicbFA==" saltValue="CljbpqAABcqGDrLQJ8150g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2024-03-15T14:21:37Z</dcterms:modified>
</cp:coreProperties>
</file>