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45B3B0D2-2737-429E-A6C3-3B52F29023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5" i="1" l="1"/>
  <c r="T148" i="1"/>
  <c r="S148" i="1"/>
  <c r="I3" i="5"/>
  <c r="H3" i="5"/>
  <c r="G3" i="5"/>
  <c r="F3" i="5"/>
  <c r="E3" i="5"/>
  <c r="D3" i="5"/>
  <c r="C3" i="5"/>
  <c r="B3" i="5"/>
  <c r="J15" i="4"/>
  <c r="I15" i="4"/>
  <c r="H15" i="4"/>
  <c r="G15" i="4"/>
  <c r="F15" i="4"/>
  <c r="E15" i="4"/>
  <c r="D15" i="4"/>
  <c r="C15" i="4"/>
  <c r="C12" i="2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G112" i="1"/>
  <c r="F112" i="1"/>
  <c r="N113" i="1" l="1"/>
  <c r="M113" i="1"/>
  <c r="N103" i="1" l="1"/>
  <c r="M103" i="1"/>
  <c r="K103" i="1"/>
  <c r="N102" i="1" l="1"/>
  <c r="M102" i="1"/>
  <c r="K102" i="1"/>
  <c r="N96" i="1"/>
  <c r="M96" i="1"/>
  <c r="K96" i="1"/>
  <c r="N94" i="1"/>
  <c r="M94" i="1"/>
  <c r="N101" i="1"/>
  <c r="M101" i="1"/>
  <c r="K101" i="1"/>
  <c r="N109" i="1"/>
  <c r="M109" i="1"/>
  <c r="K109" i="1"/>
  <c r="N104" i="1"/>
  <c r="M104" i="1"/>
  <c r="K104" i="1"/>
  <c r="N114" i="1" l="1"/>
  <c r="M114" i="1"/>
  <c r="N95" i="1" l="1"/>
  <c r="M95" i="1"/>
  <c r="K95" i="1"/>
  <c r="N97" i="1"/>
  <c r="M97" i="1"/>
  <c r="K97" i="1"/>
  <c r="G117" i="1" l="1"/>
  <c r="F117" i="1"/>
  <c r="G114" i="1"/>
  <c r="F114" i="1"/>
  <c r="G113" i="1"/>
  <c r="F113" i="1"/>
  <c r="G109" i="1"/>
  <c r="F109" i="1"/>
  <c r="D109" i="1"/>
  <c r="G104" i="1"/>
  <c r="F104" i="1"/>
  <c r="G103" i="1"/>
  <c r="F103" i="1"/>
  <c r="G102" i="1"/>
  <c r="F102" i="1"/>
  <c r="G101" i="1"/>
  <c r="F101" i="1"/>
  <c r="G97" i="1"/>
  <c r="F97" i="1"/>
  <c r="G96" i="1"/>
  <c r="F96" i="1"/>
  <c r="G95" i="1"/>
  <c r="F95" i="1"/>
  <c r="G94" i="1"/>
  <c r="F94" i="1"/>
  <c r="D104" i="1"/>
  <c r="D103" i="1"/>
  <c r="D102" i="1"/>
  <c r="D101" i="1"/>
  <c r="D97" i="1"/>
  <c r="D96" i="1"/>
  <c r="D95" i="1"/>
  <c r="N112" i="1" l="1"/>
  <c r="M112" i="1"/>
  <c r="R115" i="1" l="1"/>
  <c r="V144" i="1" l="1"/>
  <c r="T136" i="1" l="1"/>
  <c r="R130" i="1"/>
  <c r="S130" i="1"/>
  <c r="T130" i="1"/>
  <c r="U130" i="1"/>
  <c r="V130" i="1"/>
  <c r="R150" i="1"/>
  <c r="S150" i="1"/>
  <c r="T150" i="1"/>
  <c r="U150" i="1"/>
  <c r="V150" i="1"/>
  <c r="R112" i="1" l="1"/>
  <c r="S112" i="1"/>
  <c r="S172" i="1" l="1"/>
  <c r="V112" i="1"/>
  <c r="U112" i="1"/>
  <c r="T112" i="1"/>
  <c r="R191" i="1" l="1"/>
  <c r="R192" i="1"/>
  <c r="R65" i="1" l="1"/>
  <c r="V73" i="1" l="1"/>
  <c r="U73" i="1"/>
  <c r="T73" i="1"/>
  <c r="S73" i="1"/>
  <c r="R73" i="1"/>
  <c r="V78" i="1" l="1"/>
  <c r="U78" i="1"/>
  <c r="T78" i="1"/>
  <c r="S78" i="1"/>
  <c r="R78" i="1"/>
  <c r="I10" i="4" l="1"/>
  <c r="H10" i="4"/>
  <c r="G10" i="4"/>
  <c r="F10" i="4"/>
  <c r="E10" i="4"/>
  <c r="D10" i="4"/>
  <c r="C10" i="4"/>
  <c r="B10" i="4"/>
  <c r="V173" i="1" l="1"/>
  <c r="U173" i="1"/>
  <c r="T173" i="1"/>
  <c r="S173" i="1"/>
  <c r="R173" i="1"/>
  <c r="T32" i="1" l="1"/>
  <c r="S21" i="1" l="1"/>
  <c r="T21" i="1"/>
  <c r="V96" i="1" l="1"/>
  <c r="R96" i="1"/>
  <c r="S96" i="1"/>
  <c r="T96" i="1"/>
  <c r="U96" i="1"/>
  <c r="R12" i="1" l="1"/>
  <c r="R48" i="1" l="1"/>
  <c r="V48" i="1"/>
  <c r="U48" i="1"/>
  <c r="T48" i="1"/>
  <c r="S48" i="1"/>
  <c r="V97" i="1" l="1"/>
  <c r="U97" i="1"/>
  <c r="T97" i="1"/>
  <c r="S97" i="1"/>
  <c r="R97" i="1"/>
  <c r="V122" i="1" l="1"/>
  <c r="U122" i="1"/>
  <c r="T122" i="1"/>
  <c r="S122" i="1"/>
  <c r="R122" i="1"/>
  <c r="R70" i="1" l="1"/>
  <c r="V178" i="1" l="1"/>
  <c r="U178" i="1"/>
  <c r="T178" i="1"/>
  <c r="S178" i="1"/>
  <c r="R178" i="1"/>
  <c r="S166" i="1" l="1"/>
  <c r="D161" i="1" l="1"/>
  <c r="D118" i="1"/>
  <c r="E109" i="1" s="1"/>
  <c r="E97" i="1" l="1"/>
  <c r="E112" i="1"/>
  <c r="R88" i="1"/>
  <c r="S88" i="1"/>
  <c r="T88" i="1"/>
  <c r="U88" i="1"/>
  <c r="V88" i="1"/>
  <c r="D201" i="1"/>
  <c r="D180" i="1"/>
  <c r="D126" i="1"/>
  <c r="E122" i="1" s="1"/>
  <c r="D55" i="1"/>
  <c r="E170" i="1" l="1"/>
  <c r="E171" i="1"/>
  <c r="E172" i="1"/>
  <c r="E173" i="1"/>
  <c r="E174" i="1"/>
  <c r="E175" i="1"/>
  <c r="E176" i="1"/>
  <c r="E177" i="1"/>
  <c r="E178" i="1"/>
  <c r="E179" i="1"/>
  <c r="R159" i="1"/>
  <c r="R80" i="1" l="1"/>
  <c r="S80" i="1"/>
  <c r="T80" i="1"/>
  <c r="V80" i="1"/>
  <c r="U80" i="1"/>
  <c r="D22" i="1" l="1"/>
  <c r="R110" i="1" l="1"/>
  <c r="R19" i="1" l="1"/>
  <c r="R190" i="1" l="1"/>
  <c r="S190" i="1"/>
  <c r="T190" i="1"/>
  <c r="U190" i="1"/>
  <c r="V190" i="1"/>
  <c r="S191" i="1"/>
  <c r="T191" i="1"/>
  <c r="U191" i="1"/>
  <c r="V191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1" i="1"/>
  <c r="U201" i="1"/>
  <c r="V201" i="1"/>
  <c r="V189" i="1"/>
  <c r="U189" i="1"/>
  <c r="T189" i="1"/>
  <c r="S189" i="1"/>
  <c r="R189" i="1"/>
  <c r="U185" i="1"/>
  <c r="T185" i="1"/>
  <c r="S185" i="1"/>
  <c r="R185" i="1"/>
  <c r="V184" i="1"/>
  <c r="U184" i="1"/>
  <c r="T184" i="1"/>
  <c r="S184" i="1"/>
  <c r="R184" i="1"/>
  <c r="R170" i="1"/>
  <c r="S170" i="1"/>
  <c r="T170" i="1"/>
  <c r="U170" i="1"/>
  <c r="V170" i="1"/>
  <c r="R171" i="1"/>
  <c r="S171" i="1"/>
  <c r="T171" i="1"/>
  <c r="U171" i="1"/>
  <c r="V171" i="1"/>
  <c r="R172" i="1"/>
  <c r="T172" i="1"/>
  <c r="U172" i="1"/>
  <c r="V172" i="1"/>
  <c r="R174" i="1"/>
  <c r="S174" i="1"/>
  <c r="T174" i="1"/>
  <c r="U174" i="1"/>
  <c r="V174" i="1"/>
  <c r="R175" i="1"/>
  <c r="S175" i="1"/>
  <c r="T175" i="1"/>
  <c r="U175" i="1"/>
  <c r="V175" i="1"/>
  <c r="R176" i="1"/>
  <c r="S176" i="1"/>
  <c r="T176" i="1"/>
  <c r="U176" i="1"/>
  <c r="V176" i="1"/>
  <c r="R177" i="1"/>
  <c r="S177" i="1"/>
  <c r="T177" i="1"/>
  <c r="U177" i="1"/>
  <c r="V177" i="1"/>
  <c r="R179" i="1"/>
  <c r="S179" i="1"/>
  <c r="T179" i="1"/>
  <c r="U179" i="1"/>
  <c r="V179" i="1"/>
  <c r="S180" i="1"/>
  <c r="U180" i="1"/>
  <c r="V180" i="1"/>
  <c r="V169" i="1"/>
  <c r="U169" i="1"/>
  <c r="T169" i="1"/>
  <c r="S169" i="1"/>
  <c r="R169" i="1"/>
  <c r="V166" i="1"/>
  <c r="U166" i="1"/>
  <c r="T166" i="1"/>
  <c r="R166" i="1"/>
  <c r="V165" i="1"/>
  <c r="U165" i="1"/>
  <c r="T165" i="1"/>
  <c r="S165" i="1"/>
  <c r="R165" i="1"/>
  <c r="S159" i="1"/>
  <c r="T159" i="1"/>
  <c r="U159" i="1"/>
  <c r="V159" i="1"/>
  <c r="R160" i="1"/>
  <c r="S160" i="1"/>
  <c r="T160" i="1"/>
  <c r="U160" i="1"/>
  <c r="V160" i="1"/>
  <c r="S161" i="1"/>
  <c r="U161" i="1"/>
  <c r="V161" i="1"/>
  <c r="V158" i="1"/>
  <c r="U158" i="1"/>
  <c r="T158" i="1"/>
  <c r="S158" i="1"/>
  <c r="R158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U148" i="1"/>
  <c r="V148" i="1"/>
  <c r="R149" i="1"/>
  <c r="S149" i="1"/>
  <c r="T149" i="1"/>
  <c r="U149" i="1"/>
  <c r="V149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S155" i="1"/>
  <c r="U155" i="1"/>
  <c r="V155" i="1"/>
  <c r="V129" i="1"/>
  <c r="U129" i="1"/>
  <c r="T129" i="1"/>
  <c r="S129" i="1"/>
  <c r="R129" i="1"/>
  <c r="R123" i="1"/>
  <c r="S123" i="1"/>
  <c r="T123" i="1"/>
  <c r="U123" i="1"/>
  <c r="V123" i="1"/>
  <c r="R124" i="1"/>
  <c r="S124" i="1"/>
  <c r="T124" i="1"/>
  <c r="U124" i="1"/>
  <c r="V124" i="1"/>
  <c r="R125" i="1"/>
  <c r="S125" i="1"/>
  <c r="T125" i="1"/>
  <c r="U125" i="1"/>
  <c r="V125" i="1"/>
  <c r="S126" i="1"/>
  <c r="U126" i="1"/>
  <c r="V126" i="1"/>
  <c r="V121" i="1"/>
  <c r="U121" i="1"/>
  <c r="T121" i="1"/>
  <c r="S121" i="1"/>
  <c r="R121" i="1"/>
  <c r="R109" i="1"/>
  <c r="S109" i="1"/>
  <c r="T109" i="1"/>
  <c r="U109" i="1"/>
  <c r="V109" i="1"/>
  <c r="S110" i="1"/>
  <c r="T110" i="1"/>
  <c r="U110" i="1"/>
  <c r="V110" i="1"/>
  <c r="R111" i="1"/>
  <c r="S111" i="1"/>
  <c r="T111" i="1"/>
  <c r="U111" i="1"/>
  <c r="V111" i="1"/>
  <c r="R113" i="1"/>
  <c r="S113" i="1"/>
  <c r="T113" i="1"/>
  <c r="U113" i="1"/>
  <c r="V113" i="1"/>
  <c r="R114" i="1"/>
  <c r="S114" i="1"/>
  <c r="T114" i="1"/>
  <c r="U114" i="1"/>
  <c r="V114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S118" i="1"/>
  <c r="U118" i="1"/>
  <c r="V118" i="1"/>
  <c r="V108" i="1"/>
  <c r="U108" i="1"/>
  <c r="T108" i="1"/>
  <c r="S108" i="1"/>
  <c r="R108" i="1"/>
  <c r="R95" i="1"/>
  <c r="S95" i="1"/>
  <c r="T95" i="1"/>
  <c r="U95" i="1"/>
  <c r="V95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V94" i="1"/>
  <c r="U94" i="1"/>
  <c r="T94" i="1"/>
  <c r="S94" i="1"/>
  <c r="R94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9" i="1"/>
  <c r="S89" i="1"/>
  <c r="T89" i="1"/>
  <c r="U89" i="1"/>
  <c r="V89" i="1"/>
  <c r="S90" i="1"/>
  <c r="U90" i="1"/>
  <c r="V90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3" i="1"/>
  <c r="O180" i="1" l="1"/>
  <c r="O201" i="1"/>
  <c r="K201" i="1"/>
  <c r="H201" i="1"/>
  <c r="K186" i="1"/>
  <c r="H186" i="1"/>
  <c r="D186" i="1"/>
  <c r="H180" i="1"/>
  <c r="K180" i="1"/>
  <c r="H161" i="1"/>
  <c r="O161" i="1"/>
  <c r="K161" i="1"/>
  <c r="O155" i="1"/>
  <c r="K155" i="1"/>
  <c r="H155" i="1"/>
  <c r="D155" i="1"/>
  <c r="O126" i="1"/>
  <c r="K126" i="1"/>
  <c r="L122" i="1" s="1"/>
  <c r="H126" i="1"/>
  <c r="T126" i="1" s="1"/>
  <c r="H118" i="1"/>
  <c r="O118" i="1"/>
  <c r="K118" i="1"/>
  <c r="L112" i="1" s="1"/>
  <c r="O90" i="1"/>
  <c r="K90" i="1"/>
  <c r="H90" i="1"/>
  <c r="D90" i="1"/>
  <c r="E73" i="1" s="1"/>
  <c r="O55" i="1"/>
  <c r="K55" i="1"/>
  <c r="H55" i="1"/>
  <c r="O22" i="1"/>
  <c r="H22" i="1"/>
  <c r="E149" i="1" l="1"/>
  <c r="E150" i="1"/>
  <c r="L82" i="1"/>
  <c r="L89" i="1"/>
  <c r="L73" i="1"/>
  <c r="L130" i="1"/>
  <c r="L150" i="1"/>
  <c r="E130" i="1"/>
  <c r="L170" i="1"/>
  <c r="L171" i="1"/>
  <c r="L172" i="1"/>
  <c r="L173" i="1"/>
  <c r="L174" i="1"/>
  <c r="L175" i="1"/>
  <c r="L176" i="1"/>
  <c r="L177" i="1"/>
  <c r="L178" i="1"/>
  <c r="L179" i="1"/>
  <c r="L97" i="1"/>
  <c r="L110" i="1"/>
  <c r="L169" i="1"/>
  <c r="E78" i="1"/>
  <c r="L78" i="1"/>
  <c r="L52" i="1"/>
  <c r="L35" i="1"/>
  <c r="L199" i="1"/>
  <c r="L200" i="1"/>
  <c r="E48" i="1"/>
  <c r="L47" i="1"/>
  <c r="L49" i="1"/>
  <c r="L48" i="1"/>
  <c r="L50" i="1"/>
  <c r="L94" i="1"/>
  <c r="L108" i="1"/>
  <c r="L145" i="1"/>
  <c r="L151" i="1"/>
  <c r="L83" i="1"/>
  <c r="L61" i="1"/>
  <c r="L149" i="1"/>
  <c r="L96" i="1"/>
  <c r="L25" i="1"/>
  <c r="L38" i="1"/>
  <c r="T180" i="1"/>
  <c r="L87" i="1"/>
  <c r="L88" i="1"/>
  <c r="E80" i="1"/>
  <c r="E88" i="1"/>
  <c r="T201" i="1"/>
  <c r="L80" i="1"/>
  <c r="T55" i="1"/>
  <c r="T161" i="1"/>
  <c r="R161" i="1"/>
  <c r="T90" i="1"/>
  <c r="T155" i="1"/>
  <c r="T22" i="1"/>
  <c r="R126" i="1"/>
  <c r="R201" i="1"/>
  <c r="T118" i="1"/>
  <c r="O181" i="1"/>
  <c r="O202" i="1" s="1"/>
  <c r="R155" i="1"/>
  <c r="L144" i="1"/>
  <c r="R118" i="1"/>
  <c r="R90" i="1"/>
  <c r="L60" i="1"/>
  <c r="L62" i="1"/>
  <c r="L64" i="1"/>
  <c r="L66" i="1"/>
  <c r="L68" i="1"/>
  <c r="L70" i="1"/>
  <c r="L72" i="1"/>
  <c r="L75" i="1"/>
  <c r="L77" i="1"/>
  <c r="L81" i="1"/>
  <c r="L85" i="1"/>
  <c r="L59" i="1"/>
  <c r="L63" i="1"/>
  <c r="L65" i="1"/>
  <c r="L67" i="1"/>
  <c r="L69" i="1"/>
  <c r="L71" i="1"/>
  <c r="L74" i="1"/>
  <c r="L76" i="1"/>
  <c r="L79" i="1"/>
  <c r="L84" i="1"/>
  <c r="L86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0" i="1"/>
  <c r="H181" i="1"/>
  <c r="H202" i="1" s="1"/>
  <c r="J10" i="4"/>
  <c r="J12" i="4" s="1"/>
  <c r="I12" i="4"/>
  <c r="H12" i="4"/>
  <c r="G12" i="4"/>
  <c r="F12" i="4"/>
  <c r="E12" i="4"/>
  <c r="C12" i="4"/>
  <c r="E197" i="1"/>
  <c r="L198" i="1"/>
  <c r="L197" i="1"/>
  <c r="L195" i="1"/>
  <c r="L194" i="1"/>
  <c r="L193" i="1"/>
  <c r="L191" i="1"/>
  <c r="L190" i="1"/>
  <c r="L189" i="1"/>
  <c r="V186" i="1"/>
  <c r="U186" i="1"/>
  <c r="L184" i="1"/>
  <c r="E184" i="1"/>
  <c r="L166" i="1"/>
  <c r="L158" i="1"/>
  <c r="E160" i="1"/>
  <c r="E154" i="1"/>
  <c r="E151" i="1"/>
  <c r="L143" i="1"/>
  <c r="L141" i="1"/>
  <c r="L138" i="1"/>
  <c r="L135" i="1"/>
  <c r="L133" i="1"/>
  <c r="L129" i="1"/>
  <c r="L124" i="1"/>
  <c r="E125" i="1"/>
  <c r="L125" i="1"/>
  <c r="E87" i="1"/>
  <c r="E86" i="1"/>
  <c r="E84" i="1"/>
  <c r="E82" i="1"/>
  <c r="E79" i="1"/>
  <c r="E76" i="1"/>
  <c r="E74" i="1"/>
  <c r="E71" i="1"/>
  <c r="E69" i="1"/>
  <c r="E67" i="1"/>
  <c r="E65" i="1"/>
  <c r="E63" i="1"/>
  <c r="E61" i="1"/>
  <c r="E59" i="1"/>
  <c r="L51" i="1"/>
  <c r="R55" i="1"/>
  <c r="L32" i="1"/>
  <c r="K22" i="1"/>
  <c r="E14" i="1"/>
  <c r="S6" i="1"/>
  <c r="R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1" i="1"/>
  <c r="L131" i="1"/>
  <c r="L134" i="1"/>
  <c r="L137" i="1"/>
  <c r="L139" i="1"/>
  <c r="L142" i="1"/>
  <c r="L146" i="1"/>
  <c r="E18" i="1"/>
  <c r="L58" i="1"/>
  <c r="E62" i="1"/>
  <c r="E121" i="1"/>
  <c r="E129" i="1"/>
  <c r="E131" i="1"/>
  <c r="E132" i="1"/>
  <c r="E137" i="1"/>
  <c r="E138" i="1"/>
  <c r="E139" i="1"/>
  <c r="E140" i="1"/>
  <c r="E145" i="1"/>
  <c r="E148" i="1"/>
  <c r="E153" i="1"/>
  <c r="E11" i="1"/>
  <c r="E13" i="1"/>
  <c r="E16" i="1"/>
  <c r="E20" i="1"/>
  <c r="L29" i="1"/>
  <c r="L37" i="1"/>
  <c r="L43" i="1"/>
  <c r="K181" i="1"/>
  <c r="L123" i="1"/>
  <c r="E133" i="1"/>
  <c r="E134" i="1"/>
  <c r="E135" i="1"/>
  <c r="E136" i="1"/>
  <c r="E141" i="1"/>
  <c r="E142" i="1"/>
  <c r="E143" i="1"/>
  <c r="E144" i="1"/>
  <c r="E146" i="1"/>
  <c r="E147" i="1"/>
  <c r="E152" i="1"/>
  <c r="L165" i="1"/>
  <c r="L101" i="1"/>
  <c r="L100" i="1"/>
  <c r="L33" i="1"/>
  <c r="L44" i="1"/>
  <c r="L53" i="1"/>
  <c r="E124" i="1"/>
  <c r="L148" i="1"/>
  <c r="L153" i="1"/>
  <c r="L160" i="1"/>
  <c r="E192" i="1"/>
  <c r="E196" i="1"/>
  <c r="E200" i="1"/>
  <c r="D12" i="4"/>
  <c r="E95" i="1"/>
  <c r="L36" i="1"/>
  <c r="L39" i="1"/>
  <c r="L30" i="1"/>
  <c r="L41" i="1"/>
  <c r="L132" i="1"/>
  <c r="L136" i="1"/>
  <c r="L140" i="1"/>
  <c r="E159" i="1"/>
  <c r="E169" i="1"/>
  <c r="E185" i="1"/>
  <c r="L192" i="1"/>
  <c r="L196" i="1"/>
  <c r="L28" i="1"/>
  <c r="E7" i="1"/>
  <c r="E17" i="1"/>
  <c r="E21" i="1"/>
  <c r="L27" i="1"/>
  <c r="L46" i="1"/>
  <c r="E58" i="1"/>
  <c r="E66" i="1"/>
  <c r="E70" i="1"/>
  <c r="E75" i="1"/>
  <c r="E81" i="1"/>
  <c r="E85" i="1"/>
  <c r="E89" i="1"/>
  <c r="E123" i="1"/>
  <c r="L147" i="1"/>
  <c r="L152" i="1"/>
  <c r="L159" i="1"/>
  <c r="L185" i="1"/>
  <c r="R186" i="1"/>
  <c r="E191" i="1"/>
  <c r="E195" i="1"/>
  <c r="E199" i="1"/>
  <c r="E158" i="1"/>
  <c r="E166" i="1"/>
  <c r="E190" i="1"/>
  <c r="E194" i="1"/>
  <c r="E198" i="1"/>
  <c r="L45" i="1"/>
  <c r="L54" i="1"/>
  <c r="L26" i="1"/>
  <c r="L34" i="1"/>
  <c r="E165" i="1"/>
  <c r="E12" i="1"/>
  <c r="E15" i="1"/>
  <c r="L31" i="1"/>
  <c r="L42" i="1"/>
  <c r="E60" i="1"/>
  <c r="E64" i="1"/>
  <c r="E68" i="1"/>
  <c r="E72" i="1"/>
  <c r="E77" i="1"/>
  <c r="E83" i="1"/>
  <c r="L154" i="1"/>
  <c r="E189" i="1"/>
  <c r="E193" i="1"/>
  <c r="L111" i="1" l="1"/>
  <c r="L95" i="1"/>
  <c r="L98" i="1"/>
  <c r="L104" i="1"/>
  <c r="L114" i="1"/>
  <c r="L99" i="1"/>
  <c r="K202" i="1"/>
  <c r="L22" i="1"/>
  <c r="L155" i="1"/>
  <c r="L55" i="1"/>
  <c r="L126" i="1"/>
  <c r="L90" i="1"/>
  <c r="L118" i="1"/>
  <c r="L180" i="1"/>
  <c r="L161" i="1"/>
  <c r="L103" i="1"/>
  <c r="L102" i="1"/>
  <c r="L117" i="1"/>
  <c r="L113" i="1"/>
  <c r="L115" i="1"/>
  <c r="L105" i="1"/>
  <c r="L116" i="1"/>
  <c r="L109" i="1"/>
  <c r="E116" i="1"/>
  <c r="E113" i="1"/>
  <c r="E105" i="1"/>
  <c r="E102" i="1"/>
  <c r="E99" i="1"/>
  <c r="E104" i="1"/>
  <c r="E100" i="1"/>
  <c r="E110" i="1"/>
  <c r="E101" i="1"/>
  <c r="D181" i="1"/>
  <c r="E117" i="1"/>
  <c r="E94" i="1"/>
  <c r="E103" i="1"/>
  <c r="E98" i="1"/>
  <c r="E115" i="1"/>
  <c r="E114" i="1"/>
  <c r="E111" i="1"/>
  <c r="E108" i="1"/>
  <c r="E118" i="1" l="1"/>
  <c r="R181" i="1"/>
  <c r="E55" i="1"/>
  <c r="E155" i="1"/>
  <c r="D202" i="1"/>
  <c r="E90" i="1"/>
  <c r="E22" i="1"/>
  <c r="E180" i="1"/>
  <c r="E126" i="1"/>
  <c r="E161" i="1"/>
</calcChain>
</file>

<file path=xl/sharedStrings.xml><?xml version="1.0" encoding="utf-8"?>
<sst xmlns="http://schemas.openxmlformats.org/spreadsheetml/2006/main" count="412" uniqueCount="265">
  <si>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</si>
  <si>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</si>
  <si>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</si>
  <si>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</si>
  <si>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</si>
  <si>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</si>
  <si>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</si>
  <si>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</si>
  <si>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</si>
  <si>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</si>
  <si>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</si>
  <si>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</si>
  <si>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</si>
  <si>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</si>
  <si>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</si>
  <si>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</si>
  <si>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</si>
  <si>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</si>
  <si>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</si>
  <si>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</si>
  <si>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</si>
  <si>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</si>
  <si>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</si>
  <si>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</si>
  <si>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</si>
  <si>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</si>
  <si>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</si>
  <si>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</si>
  <si>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</si>
  <si>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</si>
  <si>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</si>
  <si>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</si>
  <si>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</si>
  <si>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</si>
  <si>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</si>
  <si>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</si>
  <si>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</si>
  <si>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</si>
  <si>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</si>
  <si>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</si>
  <si>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</si>
  <si>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</si>
  <si>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</si>
  <si>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</si>
  <si>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</si>
  <si>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</si>
  <si>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</si>
  <si>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</si>
  <si>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</si>
  <si>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</si>
  <si>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</si>
  <si>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</si>
  <si>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</si>
  <si>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</si>
  <si>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</si>
  <si>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</si>
  <si>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</si>
  <si>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</si>
  <si>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</si>
  <si>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</si>
  <si>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</si>
  <si>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</si>
  <si>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</si>
  <si>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</si>
  <si>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</si>
  <si>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</si>
  <si>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</si>
  <si>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</si>
  <si>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</si>
  <si>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</si>
  <si>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</si>
  <si>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</si>
  <si>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</si>
  <si>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</si>
  <si>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</si>
  <si>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</si>
  <si>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</si>
  <si>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</si>
  <si>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</si>
  <si>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</si>
  <si>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</si>
  <si>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</si>
  <si>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</si>
  <si>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</si>
  <si>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</si>
  <si>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</si>
  <si>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</si>
  <si>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</si>
  <si>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</si>
  <si>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</si>
  <si>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</si>
  <si>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</si>
  <si>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</si>
  <si>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</si>
  <si>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</si>
  <si>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</si>
  <si>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</si>
  <si>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</si>
  <si>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</si>
  <si>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</si>
  <si>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</si>
  <si>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</si>
  <si>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</si>
  <si>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</si>
  <si>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</si>
  <si>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</si>
  <si>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</si>
  <si>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</si>
  <si>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</si>
  <si>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</si>
  <si>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</si>
  <si>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</si>
  <si>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</si>
  <si>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</si>
  <si>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</si>
  <si>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</si>
  <si>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</si>
  <si>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</si>
  <si>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</si>
  <si>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</si>
  <si>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</si>
  <si>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</si>
  <si>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</si>
  <si>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</si>
  <si>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</si>
  <si>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</si>
  <si>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</si>
  <si>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</si>
  <si>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</si>
  <si>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</si>
  <si>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</si>
  <si>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</si>
  <si>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</si>
  <si>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</si>
  <si>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</si>
  <si>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</si>
  <si>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</si>
  <si>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</si>
  <si>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</si>
  <si>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</si>
  <si>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</si>
  <si>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</si>
  <si>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</si>
  <si>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</si>
  <si>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</si>
  <si>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</si>
  <si>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</si>
  <si>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</si>
  <si>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</si>
  <si>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</si>
  <si>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</si>
  <si>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</si>
  <si>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</si>
  <si>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</si>
  <si>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</si>
  <si>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</si>
  <si>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</si>
  <si>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</si>
  <si>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</si>
  <si>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</si>
  <si>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</si>
  <si>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</si>
  <si>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</si>
  <si>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</si>
  <si>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</si>
  <si>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</si>
  <si>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</si>
  <si>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</si>
  <si>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</si>
  <si>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</si>
  <si>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</si>
  <si>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</si>
  <si>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</si>
  <si>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</si>
  <si>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</si>
  <si>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</si>
  <si>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</si>
  <si>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</si>
  <si>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</si>
  <si>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</si>
  <si>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</si>
  <si>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</si>
  <si>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</si>
  <si>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</si>
  <si>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</si>
  <si>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</si>
  <si>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</si>
  <si>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</si>
  <si>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</si>
  <si>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</si>
  <si>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</si>
  <si>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</si>
  <si>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</si>
  <si>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</si>
  <si>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</si>
  <si>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</si>
  <si>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</si>
  <si>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</si>
  <si>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</si>
  <si>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</si>
  <si>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</si>
  <si>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</si>
  <si>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</si>
  <si>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</si>
  <si>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</si>
  <si>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</si>
  <si>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</si>
  <si>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</si>
  <si>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</si>
  <si>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</si>
  <si>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</si>
  <si>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</si>
  <si>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</si>
  <si>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</si>
  <si>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</si>
  <si>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</si>
  <si>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</si>
  <si>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</si>
  <si>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</si>
  <si>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</si>
  <si>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</si>
  <si>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</si>
  <si>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</si>
  <si>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</si>
  <si>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</si>
  <si>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</si>
  <si>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</si>
  <si>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</si>
  <si>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</si>
  <si>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</si>
  <si>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</si>
  <si>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</si>
  <si>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</si>
  <si>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</si>
  <si>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</si>
  <si>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</si>
  <si>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</si>
  <si>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</si>
  <si>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</si>
  <si>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</si>
  <si>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</si>
  <si>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</si>
  <si>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</si>
  <si>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</si>
  <si>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</si>
  <si>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</si>
  <si>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</si>
  <si>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</si>
  <si>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</si>
  <si>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</si>
  <si>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</si>
  <si>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</si>
  <si>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</si>
  <si>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</si>
  <si>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</si>
  <si>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</si>
  <si>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</si>
  <si>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</si>
  <si>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NAV, Unit Price and Yield as at Week Ended January 19, 2024</t>
  </si>
  <si>
    <t>Week Ended January 19, 2024</t>
  </si>
  <si>
    <t>NAV, Unit Price and Yield as at Week Ended January 26,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</si>
  <si>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26</t>
    </r>
    <r>
      <rPr>
        <vertAlign val="superscript"/>
        <sz val="6"/>
        <color theme="0"/>
        <rFont val="Times New Roman"/>
        <family val="1"/>
      </rPr>
      <t>th</t>
    </r>
    <r>
      <rPr>
        <sz val="6"/>
        <color theme="0"/>
        <rFont val="Times New Roman"/>
        <family val="1"/>
      </rPr>
      <t xml:space="preserve"> January, 2024 = 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>891.061</t>
    </r>
  </si>
  <si>
    <t>Week Ended January 26, 2024</t>
  </si>
  <si>
    <t>The chart above shows that the Money Market Fund has the highest share of the Aggregate Net Asset Value (NAV) at 41.69% , followed by Dollar Fund category (Eurobonds and Fixed Income) with 35.30%, Bond/Fixed Income Fund at 12.60%, Real Estate Investment Trust at 4.40%.  Next is Balanced Fund at 2.22%, Shari'ah Compliant Fund at 2.19%, Equity Fund at 1.37% and Ethical Fund at 0.23%.</t>
  </si>
  <si>
    <t>WEEKLY VALUATION REPORT OF COLLECTIVE INVESTMENT SCHEMES AS AT WEEK ENDED FRIDAY, JANUARY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</si>
</sst>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vertAlign val="superscript"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9" fillId="0" borderId="0"/>
    <xf numFmtId="43" fontId="31" fillId="0" borderId="0" applyFont="0" applyFill="0" applyBorder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7" fillId="0" borderId="13" applyNumberFormat="0" applyFill="0" applyAlignment="0" applyProtection="0"/>
    <xf numFmtId="0" fontId="37" fillId="0" borderId="0" applyNumberFormat="0" applyFill="0" applyBorder="0" applyAlignment="0" applyProtection="0"/>
    <xf numFmtId="0" fontId="38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17" borderId="14" applyNumberFormat="0" applyAlignment="0" applyProtection="0"/>
    <xf numFmtId="0" fontId="41" fillId="18" borderId="15" applyNumberFormat="0" applyAlignment="0" applyProtection="0"/>
    <xf numFmtId="0" fontId="42" fillId="18" borderId="14" applyNumberFormat="0" applyAlignment="0" applyProtection="0"/>
    <xf numFmtId="0" fontId="43" fillId="0" borderId="16" applyNumberFormat="0" applyFill="0" applyAlignment="0" applyProtection="0"/>
    <xf numFmtId="0" fontId="44" fillId="19" borderId="17" applyNumberFormat="0" applyAlignment="0" applyProtection="0"/>
    <xf numFmtId="0" fontId="45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8" fillId="0" borderId="0" applyNumberFormat="0" applyFill="0" applyBorder="0" applyAlignment="0" applyProtection="0"/>
    <xf numFmtId="0" fontId="49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31" fillId="0" borderId="0" applyFont="0" applyFill="0" applyBorder="0" applyAlignment="0" applyProtection="0"/>
  </cellStyleXfs>
  <cellXfs count="155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164" fontId="22" fillId="0" borderId="0" xfId="1" applyFont="1"/>
    <xf numFmtId="0" fontId="11" fillId="3" borderId="0" xfId="0" applyFont="1" applyFill="1" applyAlignment="1">
      <alignment wrapText="1"/>
    </xf>
    <xf numFmtId="164" fontId="14" fillId="0" borderId="0" xfId="1" applyFont="1"/>
    <xf numFmtId="0" fontId="25" fillId="12" borderId="0" xfId="0" applyFont="1" applyFill="1" applyAlignment="1">
      <alignment horizontal="right" vertical="center"/>
    </xf>
    <xf numFmtId="0" fontId="26" fillId="12" borderId="0" xfId="0" applyFont="1" applyFill="1" applyAlignment="1">
      <alignment horizontal="left"/>
    </xf>
    <xf numFmtId="0" fontId="18" fillId="12" borderId="0" xfId="0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0" fillId="0" borderId="0" xfId="0" applyNumberFormat="1"/>
    <xf numFmtId="0" fontId="30" fillId="0" borderId="0" xfId="0" applyFont="1"/>
    <xf numFmtId="0" fontId="32" fillId="0" borderId="5" xfId="0" applyFont="1" applyBorder="1" applyAlignment="1">
      <alignment horizontal="right"/>
    </xf>
    <xf numFmtId="16" fontId="33" fillId="3" borderId="5" xfId="0" applyNumberFormat="1" applyFont="1" applyFill="1" applyBorder="1" applyAlignment="1">
      <alignment wrapText="1"/>
    </xf>
    <xf numFmtId="0" fontId="33" fillId="0" borderId="5" xfId="0" applyFont="1" applyBorder="1" applyAlignment="1">
      <alignment horizontal="right" wrapText="1"/>
    </xf>
    <xf numFmtId="4" fontId="34" fillId="3" borderId="5" xfId="0" applyNumberFormat="1" applyFont="1" applyFill="1" applyBorder="1"/>
    <xf numFmtId="0" fontId="33" fillId="0" borderId="5" xfId="0" applyFont="1" applyBorder="1" applyAlignment="1">
      <alignment horizontal="right"/>
    </xf>
    <xf numFmtId="4" fontId="34" fillId="3" borderId="5" xfId="0" applyNumberFormat="1" applyFont="1" applyFill="1" applyBorder="1" applyAlignment="1">
      <alignment horizontal="right"/>
    </xf>
    <xf numFmtId="164" fontId="34" fillId="3" borderId="5" xfId="1" applyFont="1" applyFill="1" applyBorder="1" applyAlignment="1">
      <alignment horizontal="right" vertical="top" wrapText="1"/>
    </xf>
    <xf numFmtId="16" fontId="33" fillId="3" borderId="5" xfId="0" applyNumberFormat="1" applyFont="1" applyFill="1" applyBorder="1"/>
    <xf numFmtId="0" fontId="32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4" fontId="34" fillId="3" borderId="10" xfId="0" applyNumberFormat="1" applyFont="1" applyFill="1" applyBorder="1"/>
    <xf numFmtId="164" fontId="34" fillId="3" borderId="0" xfId="1" applyFont="1" applyFill="1" applyBorder="1" applyAlignment="1">
      <alignment horizontal="right" vertical="top" wrapText="1"/>
    </xf>
    <xf numFmtId="4" fontId="34" fillId="3" borderId="0" xfId="0" applyNumberFormat="1" applyFont="1" applyFill="1"/>
    <xf numFmtId="4" fontId="0" fillId="0" borderId="0" xfId="0" applyNumberFormat="1"/>
    <xf numFmtId="4" fontId="6" fillId="0" borderId="5" xfId="0" applyNumberFormat="1" applyFont="1" applyBorder="1" applyAlignment="1">
      <alignment wrapText="1"/>
    </xf>
    <xf numFmtId="0" fontId="50" fillId="0" borderId="0" xfId="0" applyFont="1" applyAlignment="1">
      <alignment horizontal="right"/>
    </xf>
    <xf numFmtId="49" fontId="6" fillId="0" borderId="5" xfId="0" applyNumberFormat="1" applyFont="1" applyBorder="1" applyAlignment="1">
      <alignment wrapText="1"/>
    </xf>
    <xf numFmtId="166" fontId="0" fillId="0" borderId="0" xfId="0" applyNumberFormat="1"/>
    <xf numFmtId="4" fontId="51" fillId="0" borderId="0" xfId="0" applyNumberFormat="1" applyFont="1"/>
    <xf numFmtId="0" fontId="6" fillId="3" borderId="5" xfId="0" applyFont="1" applyFill="1" applyBorder="1" applyAlignment="1">
      <alignment horizontal="left" wrapText="1"/>
    </xf>
    <xf numFmtId="4" fontId="34" fillId="3" borderId="0" xfId="0" applyNumberFormat="1" applyFont="1" applyFill="1" applyAlignment="1">
      <alignment horizontal="right"/>
    </xf>
    <xf numFmtId="0" fontId="44" fillId="0" borderId="0" xfId="0" applyFont="1"/>
    <xf numFmtId="16" fontId="52" fillId="3" borderId="0" xfId="0" applyNumberFormat="1" applyFont="1" applyFill="1"/>
    <xf numFmtId="164" fontId="53" fillId="0" borderId="0" xfId="1" applyFont="1"/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4" fillId="13" borderId="0" xfId="0" applyFont="1" applyFill="1" applyAlignment="1">
      <alignment horizontal="center" wrapText="1"/>
    </xf>
  </cellXfs>
  <cellStyles count="55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January 19,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30.2069844914949</c:v>
                </c:pt>
                <c:pt idx="1">
                  <c:v>930.01036861894499</c:v>
                </c:pt>
                <c:pt idx="2">
                  <c:v>288.02719620447499</c:v>
                </c:pt>
                <c:pt idx="3">
                  <c:v>765.722989499459</c:v>
                </c:pt>
                <c:pt idx="4">
                  <c:v>99.595668997222788</c:v>
                </c:pt>
                <c:pt idx="5" formatCode="_-* #,##0.00_-;\-* #,##0.00_-;_-* &quot;-&quot;??_-;_-@_-">
                  <c:v>49.666823038976098</c:v>
                </c:pt>
                <c:pt idx="6">
                  <c:v>5.1808093081199997</c:v>
                </c:pt>
                <c:pt idx="7">
                  <c:v>47.060563752939203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January 26,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31.1495386946293</c:v>
                </c:pt>
                <c:pt idx="1">
                  <c:v>949.71659390037996</c:v>
                </c:pt>
                <c:pt idx="2">
                  <c:v>287.14062037069203</c:v>
                </c:pt>
                <c:pt idx="3">
                  <c:v>804.11665184498906</c:v>
                </c:pt>
                <c:pt idx="4">
                  <c:v>100.20471780101499</c:v>
                </c:pt>
                <c:pt idx="5" formatCode="_-* #,##0.00_-;\-* #,##0.00_-;_-* &quot;-&quot;??_-;_-@_-">
                  <c:v>50.649516378670199</c:v>
                </c:pt>
                <c:pt idx="6">
                  <c:v>5.3516670603500005</c:v>
                </c:pt>
                <c:pt idx="7">
                  <c:v>49.842890629950602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26TH JANUARY,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26-Jan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5351667060.3500004</c:v>
                </c:pt>
                <c:pt idx="1">
                  <c:v>31149538694.629303</c:v>
                </c:pt>
                <c:pt idx="2">
                  <c:v>49842890629.950577</c:v>
                </c:pt>
                <c:pt idx="3" formatCode="_-* #,##0.00_-;\-* #,##0.00_-;_-* &quot;-&quot;??_-;_-@_-">
                  <c:v>50649516378.670189</c:v>
                </c:pt>
                <c:pt idx="4">
                  <c:v>100204717801.01483</c:v>
                </c:pt>
                <c:pt idx="5">
                  <c:v>287140620370.69159</c:v>
                </c:pt>
                <c:pt idx="6">
                  <c:v>804116651844.98926</c:v>
                </c:pt>
                <c:pt idx="7">
                  <c:v>949716593900.38049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45268</c:v>
                </c:pt>
                <c:pt idx="1">
                  <c:v>45275</c:v>
                </c:pt>
                <c:pt idx="2">
                  <c:v>45282</c:v>
                </c:pt>
                <c:pt idx="3">
                  <c:v>45289</c:v>
                </c:pt>
                <c:pt idx="4">
                  <c:v>45296</c:v>
                </c:pt>
                <c:pt idx="5">
                  <c:v>45303</c:v>
                </c:pt>
                <c:pt idx="6">
                  <c:v>45310</c:v>
                </c:pt>
                <c:pt idx="7">
                  <c:v>45317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2247.7796819935202</c:v>
                </c:pt>
                <c:pt idx="1">
                  <c:v>2080.2043714910401</c:v>
                </c:pt>
                <c:pt idx="2">
                  <c:v>2101.7818089925099</c:v>
                </c:pt>
                <c:pt idx="3">
                  <c:v>2134.0445986879599</c:v>
                </c:pt>
                <c:pt idx="4">
                  <c:v>2137.5250442199799</c:v>
                </c:pt>
                <c:pt idx="5">
                  <c:v>2218.2047771558</c:v>
                </c:pt>
                <c:pt idx="6">
                  <c:v>2215.4714039116297</c:v>
                </c:pt>
                <c:pt idx="7">
                  <c:v>2278.1721966806804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24</xdr:col>
      <xdr:colOff>574432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24</xdr:col>
      <xdr:colOff>574432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6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2" t="s">
        <v>264</v>
      </c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5"/>
    </row>
    <row r="2" spans="1:25" ht="15" customHeight="1">
      <c r="A2" s="1"/>
      <c r="B2" s="1"/>
      <c r="C2" s="1"/>
      <c r="D2" s="149" t="s">
        <v>258</v>
      </c>
      <c r="E2" s="150"/>
      <c r="F2" s="150"/>
      <c r="G2" s="150"/>
      <c r="H2" s="150"/>
      <c r="I2" s="150"/>
      <c r="J2" s="151"/>
      <c r="K2" s="149" t="s">
        <v>260</v>
      </c>
      <c r="L2" s="150"/>
      <c r="M2" s="150"/>
      <c r="N2" s="150"/>
      <c r="O2" s="150"/>
      <c r="P2" s="150"/>
      <c r="Q2" s="151"/>
      <c r="R2" s="149" t="s">
        <v>0</v>
      </c>
      <c r="S2" s="150"/>
      <c r="T2" s="151"/>
      <c r="U2" s="146" t="s">
        <v>1</v>
      </c>
      <c r="V2" s="146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7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</row>
    <row r="5" spans="1:25" ht="15" customHeight="1">
      <c r="A5" s="148" t="s">
        <v>15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</row>
    <row r="6" spans="1:25">
      <c r="A6" s="75">
        <v>1</v>
      </c>
      <c r="B6" s="113" t="s">
        <v>16</v>
      </c>
      <c r="C6" s="114" t="s">
        <v>17</v>
      </c>
      <c r="D6" s="2">
        <v>1171201493.78</v>
      </c>
      <c r="E6" s="3">
        <f t="shared" ref="E6:E21" si="0">(D6/$D$22)</f>
        <v>3.8772539314864886E-2</v>
      </c>
      <c r="F6" s="8">
        <v>370.4425</v>
      </c>
      <c r="G6" s="8">
        <v>372.5333</v>
      </c>
      <c r="H6" s="60">
        <v>1727</v>
      </c>
      <c r="I6" s="5">
        <v>6.6799999999999998E-2</v>
      </c>
      <c r="J6" s="5">
        <v>0.19539999999999999</v>
      </c>
      <c r="K6" s="2">
        <v>1270222236.74</v>
      </c>
      <c r="L6" s="3">
        <f>(K6/$K$22)</f>
        <v>4.0778203786337529E-2</v>
      </c>
      <c r="M6" s="8">
        <v>370.05810000000002</v>
      </c>
      <c r="N6" s="8">
        <v>372.13389999999998</v>
      </c>
      <c r="O6" s="60">
        <v>1727</v>
      </c>
      <c r="P6" s="5">
        <v>1E-3</v>
      </c>
      <c r="Q6" s="5">
        <v>0.19420000000000001</v>
      </c>
      <c r="R6" s="80">
        <f>((K6-D6)/D6)</f>
        <v>8.4546291552630326E-2</v>
      </c>
      <c r="S6" s="80">
        <f>((N6-G6)/G6)</f>
        <v>-1.0721189219863412E-3</v>
      </c>
      <c r="T6" s="80">
        <f>((O6-H6)/H6)</f>
        <v>0</v>
      </c>
      <c r="U6" s="81">
        <f>P6-I6</f>
        <v>-6.5799999999999997E-2</v>
      </c>
      <c r="V6" s="83">
        <f>Q6-J6</f>
        <v>-1.1999999999999789E-3</v>
      </c>
    </row>
    <row r="7" spans="1:25">
      <c r="A7" s="75">
        <v>2</v>
      </c>
      <c r="B7" s="113" t="s">
        <v>18</v>
      </c>
      <c r="C7" s="114" t="s">
        <v>19</v>
      </c>
      <c r="D7" s="4">
        <v>679126269.62</v>
      </c>
      <c r="E7" s="3">
        <f t="shared" si="0"/>
        <v>2.2482425209017973E-2</v>
      </c>
      <c r="F7" s="4">
        <v>243.91409999999999</v>
      </c>
      <c r="G7" s="4">
        <v>246.9572</v>
      </c>
      <c r="H7" s="60">
        <v>381</v>
      </c>
      <c r="I7" s="5">
        <v>2.2702E-2</v>
      </c>
      <c r="J7" s="5">
        <v>0.26079999999999998</v>
      </c>
      <c r="K7" s="4">
        <v>699678435.66999996</v>
      </c>
      <c r="L7" s="3">
        <f t="shared" ref="L7:L21" si="1">(K7/$K$22)</f>
        <v>2.2461919662092336E-2</v>
      </c>
      <c r="M7" s="4">
        <v>251.00200000000001</v>
      </c>
      <c r="N7" s="4">
        <v>253.9393</v>
      </c>
      <c r="O7" s="60">
        <v>384</v>
      </c>
      <c r="P7" s="5">
        <v>6.032E-3</v>
      </c>
      <c r="Q7" s="5">
        <v>0.29749999999999999</v>
      </c>
      <c r="R7" s="80">
        <f t="shared" ref="R7:R22" si="2">((K7-D7)/D7)</f>
        <v>3.0262658020134846E-2</v>
      </c>
      <c r="S7" s="80">
        <f t="shared" ref="S7:S22" si="3">((N7-G7)/G7)</f>
        <v>2.8272510378316577E-2</v>
      </c>
      <c r="T7" s="80">
        <f t="shared" ref="T7:T22" si="4">((O7-H7)/H7)</f>
        <v>7.874015748031496E-3</v>
      </c>
      <c r="U7" s="81">
        <f t="shared" ref="U7:U22" si="5">P7-I7</f>
        <v>-1.6670000000000001E-2</v>
      </c>
      <c r="V7" s="83">
        <f t="shared" ref="V7:V22" si="6">Q7-J7</f>
        <v>3.670000000000001E-2</v>
      </c>
    </row>
    <row r="8" spans="1:25">
      <c r="A8" s="75">
        <v>3</v>
      </c>
      <c r="B8" s="113" t="s">
        <v>20</v>
      </c>
      <c r="C8" s="114" t="s">
        <v>21</v>
      </c>
      <c r="D8" s="4">
        <v>4033168062.5300002</v>
      </c>
      <c r="E8" s="3">
        <f t="shared" si="0"/>
        <v>0.13351773208827189</v>
      </c>
      <c r="F8" s="4">
        <v>36.953899999999997</v>
      </c>
      <c r="G8" s="4">
        <v>38.068100000000001</v>
      </c>
      <c r="H8" s="62">
        <v>6354</v>
      </c>
      <c r="I8" s="6">
        <v>5.8619000000000003</v>
      </c>
      <c r="J8" s="6">
        <v>4.0385999999999997</v>
      </c>
      <c r="K8" s="4">
        <v>4323705808.2299995</v>
      </c>
      <c r="L8" s="3">
        <f t="shared" si="1"/>
        <v>0.13880481026113808</v>
      </c>
      <c r="M8" s="4">
        <v>39.506399999999999</v>
      </c>
      <c r="N8" s="4">
        <v>40.697499999999998</v>
      </c>
      <c r="O8" s="62">
        <v>6358</v>
      </c>
      <c r="P8" s="6">
        <v>3.6114000000000002</v>
      </c>
      <c r="Q8" s="6">
        <v>4.1273999999999997</v>
      </c>
      <c r="R8" s="80">
        <f t="shared" si="2"/>
        <v>7.2037103635533964E-2</v>
      </c>
      <c r="S8" s="80">
        <f t="shared" si="3"/>
        <v>6.9070954421155684E-2</v>
      </c>
      <c r="T8" s="80">
        <f t="shared" si="4"/>
        <v>6.2952470884482215E-4</v>
      </c>
      <c r="U8" s="81">
        <f t="shared" si="5"/>
        <v>-2.2505000000000002</v>
      </c>
      <c r="V8" s="83">
        <f t="shared" si="6"/>
        <v>8.879999999999999E-2</v>
      </c>
      <c r="X8" s="102"/>
      <c r="Y8" s="102"/>
    </row>
    <row r="9" spans="1:25">
      <c r="A9" s="75">
        <v>4</v>
      </c>
      <c r="B9" s="113" t="s">
        <v>22</v>
      </c>
      <c r="C9" s="114" t="s">
        <v>23</v>
      </c>
      <c r="D9" s="4">
        <v>719826929.90999997</v>
      </c>
      <c r="E9" s="3">
        <f t="shared" si="0"/>
        <v>2.3829817574563754E-2</v>
      </c>
      <c r="F9" s="4">
        <v>247.26419999999999</v>
      </c>
      <c r="G9" s="4">
        <v>247.26419999999999</v>
      </c>
      <c r="H9" s="60">
        <v>1748</v>
      </c>
      <c r="I9" s="5">
        <v>0.10348019227344918</v>
      </c>
      <c r="J9" s="5">
        <v>0.2135732015522982</v>
      </c>
      <c r="K9" s="4">
        <v>775494876.00999999</v>
      </c>
      <c r="L9" s="3">
        <f t="shared" si="1"/>
        <v>2.4895870324516498E-2</v>
      </c>
      <c r="M9" s="4">
        <v>253.77</v>
      </c>
      <c r="N9" s="4">
        <v>253.77</v>
      </c>
      <c r="O9" s="60">
        <v>1752</v>
      </c>
      <c r="P9" s="5">
        <v>2.63E-2</v>
      </c>
      <c r="Q9" s="5">
        <v>0.2455</v>
      </c>
      <c r="R9" s="80">
        <f t="shared" si="2"/>
        <v>7.7335181259417726E-2</v>
      </c>
      <c r="S9" s="80">
        <f t="shared" si="3"/>
        <v>2.6311127935220797E-2</v>
      </c>
      <c r="T9" s="80">
        <f t="shared" si="4"/>
        <v>2.2883295194508009E-3</v>
      </c>
      <c r="U9" s="81">
        <f t="shared" si="5"/>
        <v>-7.7180192273449175E-2</v>
      </c>
      <c r="V9" s="83">
        <f t="shared" si="6"/>
        <v>3.1926798447701799E-2</v>
      </c>
    </row>
    <row r="10" spans="1:25">
      <c r="A10" s="75">
        <v>5</v>
      </c>
      <c r="B10" s="113" t="s">
        <v>24</v>
      </c>
      <c r="C10" s="114" t="s">
        <v>25</v>
      </c>
      <c r="D10" s="7">
        <v>94822589.780000001</v>
      </c>
      <c r="E10" s="3">
        <f t="shared" si="0"/>
        <v>3.1390948608822013E-3</v>
      </c>
      <c r="F10" s="4">
        <v>162.68010000000001</v>
      </c>
      <c r="G10" s="4">
        <v>163.56229999999999</v>
      </c>
      <c r="H10" s="62">
        <v>74</v>
      </c>
      <c r="I10" s="6">
        <v>5.7019999999999996E-3</v>
      </c>
      <c r="J10" s="6">
        <v>0.38429999999999997</v>
      </c>
      <c r="K10" s="7">
        <v>97959862.540000007</v>
      </c>
      <c r="L10" s="3">
        <f t="shared" si="1"/>
        <v>3.1448254659671706E-3</v>
      </c>
      <c r="M10" s="4">
        <v>166.5181</v>
      </c>
      <c r="N10" s="4">
        <v>167.42269999999999</v>
      </c>
      <c r="O10" s="62">
        <v>79</v>
      </c>
      <c r="P10" s="6">
        <v>4.561E-3</v>
      </c>
      <c r="Q10" s="6">
        <v>0.39789999999999998</v>
      </c>
      <c r="R10" s="80">
        <f t="shared" si="2"/>
        <v>3.308571055988728E-2</v>
      </c>
      <c r="S10" s="80">
        <f t="shared" si="3"/>
        <v>2.3602015867959784E-2</v>
      </c>
      <c r="T10" s="80">
        <f t="shared" si="4"/>
        <v>6.7567567567567571E-2</v>
      </c>
      <c r="U10" s="81">
        <f t="shared" si="5"/>
        <v>-1.1409999999999997E-3</v>
      </c>
      <c r="V10" s="83">
        <f t="shared" si="6"/>
        <v>1.3600000000000001E-2</v>
      </c>
    </row>
    <row r="11" spans="1:25">
      <c r="A11" s="75">
        <v>6</v>
      </c>
      <c r="B11" s="113" t="s">
        <v>26</v>
      </c>
      <c r="C11" s="114" t="s">
        <v>27</v>
      </c>
      <c r="D11" s="4">
        <v>1195866886.6600001</v>
      </c>
      <c r="E11" s="3">
        <f t="shared" si="0"/>
        <v>3.9589085332126052E-2</v>
      </c>
      <c r="F11" s="4">
        <v>297.83999999999997</v>
      </c>
      <c r="G11" s="4">
        <v>302.39</v>
      </c>
      <c r="H11" s="62">
        <v>1594</v>
      </c>
      <c r="I11" s="6">
        <v>8.6199999999999999E-2</v>
      </c>
      <c r="J11" s="6">
        <v>0.19769999999999999</v>
      </c>
      <c r="K11" s="4">
        <v>1260512026.8499999</v>
      </c>
      <c r="L11" s="3">
        <f t="shared" si="1"/>
        <v>4.0466474935865845E-2</v>
      </c>
      <c r="M11" s="4">
        <v>299.48</v>
      </c>
      <c r="N11" s="4">
        <v>303.83999999999997</v>
      </c>
      <c r="O11" s="62">
        <v>1604</v>
      </c>
      <c r="P11" s="6">
        <v>5.1999999999999998E-3</v>
      </c>
      <c r="Q11" s="6">
        <v>0.20430000000000001</v>
      </c>
      <c r="R11" s="80">
        <f t="shared" si="2"/>
        <v>5.4057137053565095E-2</v>
      </c>
      <c r="S11" s="80">
        <f t="shared" si="3"/>
        <v>4.7951321141571765E-3</v>
      </c>
      <c r="T11" s="80">
        <f t="shared" si="4"/>
        <v>6.2735257214554582E-3</v>
      </c>
      <c r="U11" s="81">
        <f t="shared" si="5"/>
        <v>-8.1000000000000003E-2</v>
      </c>
      <c r="V11" s="83">
        <f t="shared" si="6"/>
        <v>6.6000000000000225E-3</v>
      </c>
    </row>
    <row r="12" spans="1:25">
      <c r="A12" s="75">
        <v>7</v>
      </c>
      <c r="B12" s="113" t="s">
        <v>28</v>
      </c>
      <c r="C12" s="114" t="s">
        <v>29</v>
      </c>
      <c r="D12" s="2">
        <v>367410182.85000002</v>
      </c>
      <c r="E12" s="3">
        <f t="shared" si="0"/>
        <v>1.2163087081845202E-2</v>
      </c>
      <c r="F12" s="4">
        <v>184.81</v>
      </c>
      <c r="G12" s="4">
        <v>189.92</v>
      </c>
      <c r="H12" s="60">
        <v>2379</v>
      </c>
      <c r="I12" s="5">
        <v>1.9199999999999998E-2</v>
      </c>
      <c r="J12" s="5">
        <v>0.10143000000000001</v>
      </c>
      <c r="K12" s="2">
        <v>367410182.85000002</v>
      </c>
      <c r="L12" s="3">
        <f t="shared" si="1"/>
        <v>1.1795044108096137E-2</v>
      </c>
      <c r="M12" s="4">
        <v>184.81</v>
      </c>
      <c r="N12" s="4">
        <v>189.92</v>
      </c>
      <c r="O12" s="60">
        <v>2379</v>
      </c>
      <c r="P12" s="5">
        <v>1.9199999999999998E-2</v>
      </c>
      <c r="Q12" s="5">
        <v>0.10143000000000001</v>
      </c>
      <c r="R12" s="80">
        <f t="shared" si="2"/>
        <v>0</v>
      </c>
      <c r="S12" s="80">
        <f t="shared" si="3"/>
        <v>0</v>
      </c>
      <c r="T12" s="80">
        <f t="shared" si="4"/>
        <v>0</v>
      </c>
      <c r="U12" s="81">
        <f t="shared" si="5"/>
        <v>0</v>
      </c>
      <c r="V12" s="83">
        <f t="shared" si="6"/>
        <v>0</v>
      </c>
    </row>
    <row r="13" spans="1:25">
      <c r="A13" s="75">
        <v>8</v>
      </c>
      <c r="B13" s="113" t="s">
        <v>30</v>
      </c>
      <c r="C13" s="114" t="s">
        <v>31</v>
      </c>
      <c r="D13" s="7">
        <v>54516533.380000003</v>
      </c>
      <c r="E13" s="3">
        <f t="shared" si="0"/>
        <v>1.8047658280934897E-3</v>
      </c>
      <c r="F13" s="4">
        <v>216.4</v>
      </c>
      <c r="G13" s="4">
        <v>204.78</v>
      </c>
      <c r="H13" s="60">
        <v>4</v>
      </c>
      <c r="I13" s="5">
        <v>4.7300000000000002E-2</v>
      </c>
      <c r="J13" s="5">
        <v>0.1464</v>
      </c>
      <c r="K13" s="7">
        <v>55814726.119999997</v>
      </c>
      <c r="L13" s="3">
        <f t="shared" si="1"/>
        <v>1.791831547400199E-3</v>
      </c>
      <c r="M13" s="4">
        <v>221.29</v>
      </c>
      <c r="N13" s="4">
        <v>208.9</v>
      </c>
      <c r="O13" s="60">
        <v>6</v>
      </c>
      <c r="P13" s="5">
        <v>2.3800000000000002E-2</v>
      </c>
      <c r="Q13" s="5">
        <v>0.17369999999999999</v>
      </c>
      <c r="R13" s="80">
        <f t="shared" si="2"/>
        <v>2.3812826302639617E-2</v>
      </c>
      <c r="S13" s="80">
        <f t="shared" si="3"/>
        <v>2.0119152260963006E-2</v>
      </c>
      <c r="T13" s="80">
        <f t="shared" si="4"/>
        <v>0.5</v>
      </c>
      <c r="U13" s="81">
        <f t="shared" si="5"/>
        <v>-2.35E-2</v>
      </c>
      <c r="V13" s="83">
        <f t="shared" si="6"/>
        <v>2.7299999999999991E-2</v>
      </c>
    </row>
    <row r="14" spans="1:25" ht="14.25" customHeight="1">
      <c r="A14" s="75">
        <v>9</v>
      </c>
      <c r="B14" s="113" t="s">
        <v>238</v>
      </c>
      <c r="C14" s="114" t="s">
        <v>32</v>
      </c>
      <c r="D14" s="2">
        <v>567524887.11489999</v>
      </c>
      <c r="E14" s="3">
        <f t="shared" si="0"/>
        <v>1.8787869648977794E-2</v>
      </c>
      <c r="F14" s="4">
        <v>1.8065</v>
      </c>
      <c r="G14" s="4">
        <v>1.8666</v>
      </c>
      <c r="H14" s="60">
        <v>404</v>
      </c>
      <c r="I14" s="5">
        <v>1.68871376301718E-2</v>
      </c>
      <c r="J14" s="5">
        <v>0.45579821097590467</v>
      </c>
      <c r="K14" s="2">
        <v>556675815.60930002</v>
      </c>
      <c r="L14" s="3">
        <f t="shared" si="1"/>
        <v>1.7871077355803029E-2</v>
      </c>
      <c r="M14" s="4">
        <v>1.7705</v>
      </c>
      <c r="N14" s="4">
        <v>1.829</v>
      </c>
      <c r="O14" s="60">
        <v>412</v>
      </c>
      <c r="P14" s="5">
        <v>-1.9928037641848917E-2</v>
      </c>
      <c r="Q14" s="5">
        <v>0.42678700942864056</v>
      </c>
      <c r="R14" s="80">
        <f t="shared" si="2"/>
        <v>-1.9116468285211064E-2</v>
      </c>
      <c r="S14" s="80">
        <f t="shared" si="3"/>
        <v>-2.0143576556305623E-2</v>
      </c>
      <c r="T14" s="80">
        <f t="shared" si="4"/>
        <v>1.9801980198019802E-2</v>
      </c>
      <c r="U14" s="81">
        <f t="shared" si="5"/>
        <v>-3.6815175272020717E-2</v>
      </c>
      <c r="V14" s="83">
        <f t="shared" si="6"/>
        <v>-2.9011201547264109E-2</v>
      </c>
    </row>
    <row r="15" spans="1:25">
      <c r="A15" s="75">
        <v>10</v>
      </c>
      <c r="B15" s="113" t="s">
        <v>33</v>
      </c>
      <c r="C15" s="114" t="s">
        <v>34</v>
      </c>
      <c r="D15" s="2">
        <v>1677308634.4400001</v>
      </c>
      <c r="E15" s="3">
        <f t="shared" si="0"/>
        <v>5.5527178984458511E-2</v>
      </c>
      <c r="F15" s="4">
        <v>3.37</v>
      </c>
      <c r="G15" s="4">
        <v>3.45</v>
      </c>
      <c r="H15" s="60">
        <v>3668</v>
      </c>
      <c r="I15" s="5">
        <v>0.1104</v>
      </c>
      <c r="J15" s="5">
        <v>0.21820000000000001</v>
      </c>
      <c r="K15" s="2">
        <v>1791451910.03</v>
      </c>
      <c r="L15" s="3">
        <f t="shared" si="1"/>
        <v>5.7511346398811225E-2</v>
      </c>
      <c r="M15" s="4">
        <v>3.6</v>
      </c>
      <c r="N15" s="4">
        <v>3.68</v>
      </c>
      <c r="O15" s="60">
        <v>3668</v>
      </c>
      <c r="P15" s="5">
        <v>5.6500000000000002E-2</v>
      </c>
      <c r="Q15" s="5">
        <v>0.30109999999999998</v>
      </c>
      <c r="R15" s="80">
        <f t="shared" si="2"/>
        <v>6.8051444585872964E-2</v>
      </c>
      <c r="S15" s="80">
        <f t="shared" si="3"/>
        <v>6.6666666666666652E-2</v>
      </c>
      <c r="T15" s="80">
        <f t="shared" si="4"/>
        <v>0</v>
      </c>
      <c r="U15" s="81">
        <f t="shared" si="5"/>
        <v>-5.3899999999999997E-2</v>
      </c>
      <c r="V15" s="83">
        <f t="shared" si="6"/>
        <v>8.2899999999999974E-2</v>
      </c>
    </row>
    <row r="16" spans="1:25">
      <c r="A16" s="75">
        <v>11</v>
      </c>
      <c r="B16" s="113" t="s">
        <v>35</v>
      </c>
      <c r="C16" s="114" t="s">
        <v>36</v>
      </c>
      <c r="D16" s="4">
        <v>679032393.79999995</v>
      </c>
      <c r="E16" s="3">
        <f t="shared" si="0"/>
        <v>2.2479317456901026E-2</v>
      </c>
      <c r="F16" s="4">
        <v>21.498815</v>
      </c>
      <c r="G16" s="4">
        <v>21.663440000000001</v>
      </c>
      <c r="H16" s="60">
        <v>303</v>
      </c>
      <c r="I16" s="5">
        <v>0.05</v>
      </c>
      <c r="J16" s="5">
        <v>0.17100000000000001</v>
      </c>
      <c r="K16" s="4">
        <v>685774643.14999998</v>
      </c>
      <c r="L16" s="3">
        <f t="shared" si="1"/>
        <v>2.201556337231533E-2</v>
      </c>
      <c r="M16" s="4">
        <v>21.454302999999999</v>
      </c>
      <c r="N16" s="4">
        <v>21.623659</v>
      </c>
      <c r="O16" s="60">
        <v>312</v>
      </c>
      <c r="P16" s="5">
        <v>-2.0704396963274752E-3</v>
      </c>
      <c r="Q16" s="5">
        <v>0.16855519782122586</v>
      </c>
      <c r="R16" s="80">
        <f t="shared" si="2"/>
        <v>9.9292013334872867E-3</v>
      </c>
      <c r="S16" s="80">
        <f t="shared" si="3"/>
        <v>-1.8363196242148707E-3</v>
      </c>
      <c r="T16" s="80">
        <f t="shared" si="4"/>
        <v>2.9702970297029702E-2</v>
      </c>
      <c r="U16" s="81">
        <f t="shared" si="5"/>
        <v>-5.2070439696327478E-2</v>
      </c>
      <c r="V16" s="83">
        <f t="shared" si="6"/>
        <v>-2.4448021787741581E-3</v>
      </c>
    </row>
    <row r="17" spans="1:22">
      <c r="A17" s="75">
        <v>12</v>
      </c>
      <c r="B17" s="113" t="s">
        <v>37</v>
      </c>
      <c r="C17" s="114" t="s">
        <v>38</v>
      </c>
      <c r="D17" s="4">
        <v>373588950.63</v>
      </c>
      <c r="E17" s="3">
        <f t="shared" si="0"/>
        <v>1.236763473478089E-2</v>
      </c>
      <c r="F17" s="4">
        <v>2.6916220000000002</v>
      </c>
      <c r="G17" s="4">
        <v>2.7193290000000001</v>
      </c>
      <c r="H17" s="60">
        <v>17</v>
      </c>
      <c r="I17" s="5">
        <v>2.0000000000000001E-4</v>
      </c>
      <c r="J17" s="5">
        <v>2.5000000000000001E-3</v>
      </c>
      <c r="K17" s="4">
        <v>382133975.35000002</v>
      </c>
      <c r="L17" s="3">
        <f t="shared" si="1"/>
        <v>1.2267725024636923E-2</v>
      </c>
      <c r="M17" s="4">
        <v>2.7531870000000001</v>
      </c>
      <c r="N17" s="4">
        <v>2.7818209999999999</v>
      </c>
      <c r="O17" s="60">
        <v>17</v>
      </c>
      <c r="P17" s="5">
        <v>3.0999999999999999E-3</v>
      </c>
      <c r="Q17" s="5">
        <v>0.27489999999999998</v>
      </c>
      <c r="R17" s="80">
        <f t="shared" si="2"/>
        <v>2.2872798313735364E-2</v>
      </c>
      <c r="S17" s="80">
        <f t="shared" si="3"/>
        <v>2.2980669128303256E-2</v>
      </c>
      <c r="T17" s="80">
        <f t="shared" si="4"/>
        <v>0</v>
      </c>
      <c r="U17" s="81">
        <f t="shared" si="5"/>
        <v>2.8999999999999998E-3</v>
      </c>
      <c r="V17" s="83">
        <f t="shared" si="6"/>
        <v>0.27239999999999998</v>
      </c>
    </row>
    <row r="18" spans="1:22">
      <c r="A18" s="75">
        <v>13</v>
      </c>
      <c r="B18" s="113" t="s">
        <v>39</v>
      </c>
      <c r="C18" s="114" t="s">
        <v>40</v>
      </c>
      <c r="D18" s="2">
        <v>1318960102.26</v>
      </c>
      <c r="E18" s="3">
        <f t="shared" si="0"/>
        <v>4.3664077181599086E-2</v>
      </c>
      <c r="F18" s="4">
        <v>29.63</v>
      </c>
      <c r="G18" s="4">
        <v>30.31</v>
      </c>
      <c r="H18" s="60">
        <v>8829</v>
      </c>
      <c r="I18" s="5">
        <v>5.8099999999999999E-2</v>
      </c>
      <c r="J18" s="5">
        <v>0.17910000000000001</v>
      </c>
      <c r="K18" s="2">
        <v>1326199777.9100001</v>
      </c>
      <c r="L18" s="3">
        <f t="shared" si="1"/>
        <v>4.2575262218527136E-2</v>
      </c>
      <c r="M18" s="4">
        <v>29.81</v>
      </c>
      <c r="N18" s="4">
        <v>30.45</v>
      </c>
      <c r="O18" s="60">
        <v>8831</v>
      </c>
      <c r="P18" s="5">
        <v>5.1000000000000004E-3</v>
      </c>
      <c r="Q18" s="5">
        <v>0.18509999999999999</v>
      </c>
      <c r="R18" s="80">
        <f t="shared" si="2"/>
        <v>5.4889269490374431E-3</v>
      </c>
      <c r="S18" s="80">
        <f t="shared" si="3"/>
        <v>4.6189376443418204E-3</v>
      </c>
      <c r="T18" s="80">
        <f t="shared" si="4"/>
        <v>2.2652622041001246E-4</v>
      </c>
      <c r="U18" s="81">
        <f t="shared" si="5"/>
        <v>-5.2999999999999999E-2</v>
      </c>
      <c r="V18" s="83">
        <f t="shared" si="6"/>
        <v>5.9999999999999776E-3</v>
      </c>
    </row>
    <row r="19" spans="1:22" ht="12.75" customHeight="1">
      <c r="A19" s="75">
        <v>14</v>
      </c>
      <c r="B19" s="113" t="s">
        <v>41</v>
      </c>
      <c r="C19" s="114" t="s">
        <v>42</v>
      </c>
      <c r="D19" s="2">
        <v>724691913.55999994</v>
      </c>
      <c r="E19" s="3">
        <f t="shared" si="0"/>
        <v>2.3990872500498837E-2</v>
      </c>
      <c r="F19" s="4">
        <v>6617.62</v>
      </c>
      <c r="G19" s="4">
        <v>6700.79</v>
      </c>
      <c r="H19" s="60">
        <v>1135</v>
      </c>
      <c r="I19" s="5">
        <v>6.5699999999999995E-2</v>
      </c>
      <c r="J19" s="5">
        <v>0.23</v>
      </c>
      <c r="K19" s="2">
        <v>718136976.96000004</v>
      </c>
      <c r="L19" s="3">
        <f t="shared" si="1"/>
        <v>2.3054497981500405E-2</v>
      </c>
      <c r="M19" s="4">
        <v>6558.18</v>
      </c>
      <c r="N19" s="4">
        <v>6639.9</v>
      </c>
      <c r="O19" s="60">
        <v>1136</v>
      </c>
      <c r="P19" s="5">
        <v>-9.1000000000000004E-3</v>
      </c>
      <c r="Q19" s="5">
        <v>0.21879999999999999</v>
      </c>
      <c r="R19" s="80">
        <f t="shared" si="2"/>
        <v>-9.0451355636069156E-3</v>
      </c>
      <c r="S19" s="80">
        <f t="shared" si="3"/>
        <v>-9.0869882506391525E-3</v>
      </c>
      <c r="T19" s="80">
        <f t="shared" si="4"/>
        <v>8.81057268722467E-4</v>
      </c>
      <c r="U19" s="81">
        <f t="shared" si="5"/>
        <v>-7.4799999999999991E-2</v>
      </c>
      <c r="V19" s="83">
        <f t="shared" si="6"/>
        <v>-1.1200000000000015E-2</v>
      </c>
    </row>
    <row r="20" spans="1:22">
      <c r="A20" s="75">
        <v>15</v>
      </c>
      <c r="B20" s="113" t="s">
        <v>43</v>
      </c>
      <c r="C20" s="114" t="s">
        <v>42</v>
      </c>
      <c r="D20" s="4">
        <v>13072320107.1</v>
      </c>
      <c r="E20" s="3">
        <f t="shared" si="0"/>
        <v>0.43275819573385921</v>
      </c>
      <c r="F20" s="4">
        <v>21952.85</v>
      </c>
      <c r="G20" s="4">
        <v>22226.67</v>
      </c>
      <c r="H20" s="60">
        <v>29596</v>
      </c>
      <c r="I20" s="5">
        <v>5.96E-2</v>
      </c>
      <c r="J20" s="5">
        <v>0.2104</v>
      </c>
      <c r="K20" s="4">
        <v>13200126548.91</v>
      </c>
      <c r="L20" s="3">
        <f t="shared" si="1"/>
        <v>0.42376635745125563</v>
      </c>
      <c r="M20" s="4">
        <v>22011.14</v>
      </c>
      <c r="N20" s="4">
        <v>22277.14</v>
      </c>
      <c r="O20" s="60">
        <v>29643</v>
      </c>
      <c r="P20" s="5">
        <v>2.3E-3</v>
      </c>
      <c r="Q20" s="5">
        <v>0.2132</v>
      </c>
      <c r="R20" s="80">
        <f t="shared" si="2"/>
        <v>9.7768751654561808E-3</v>
      </c>
      <c r="S20" s="80">
        <f t="shared" si="3"/>
        <v>2.2706955202916662E-3</v>
      </c>
      <c r="T20" s="80">
        <f t="shared" si="4"/>
        <v>1.588052439518854E-3</v>
      </c>
      <c r="U20" s="81">
        <f t="shared" si="5"/>
        <v>-5.7300000000000004E-2</v>
      </c>
      <c r="V20" s="83">
        <f t="shared" si="6"/>
        <v>2.7999999999999969E-3</v>
      </c>
    </row>
    <row r="21" spans="1:22">
      <c r="A21" s="75">
        <v>16</v>
      </c>
      <c r="B21" s="114" t="s">
        <v>44</v>
      </c>
      <c r="C21" s="114" t="s">
        <v>45</v>
      </c>
      <c r="D21" s="4">
        <v>3477618554.0799999</v>
      </c>
      <c r="E21" s="3">
        <f t="shared" si="0"/>
        <v>0.11512630646925913</v>
      </c>
      <c r="F21" s="4">
        <v>1.6909000000000001</v>
      </c>
      <c r="G21" s="8">
        <v>1.7102999999999999</v>
      </c>
      <c r="H21" s="60">
        <v>3576</v>
      </c>
      <c r="I21" s="5">
        <v>7.6100000000000001E-2</v>
      </c>
      <c r="J21" s="5">
        <v>0.2442</v>
      </c>
      <c r="K21" s="4">
        <v>3638240891.6999998</v>
      </c>
      <c r="L21" s="3">
        <f t="shared" si="1"/>
        <v>0.11679919010573639</v>
      </c>
      <c r="M21" s="4">
        <v>1.7577</v>
      </c>
      <c r="N21" s="8">
        <v>1.7779</v>
      </c>
      <c r="O21" s="60">
        <v>3611</v>
      </c>
      <c r="P21" s="5">
        <v>3.95E-2</v>
      </c>
      <c r="Q21" s="5">
        <v>0.29339999999999999</v>
      </c>
      <c r="R21" s="80">
        <f t="shared" si="2"/>
        <v>4.6187451303868587E-2</v>
      </c>
      <c r="S21" s="80">
        <f t="shared" si="3"/>
        <v>3.952522949190207E-2</v>
      </c>
      <c r="T21" s="80">
        <f t="shared" si="4"/>
        <v>9.7874720357941838E-3</v>
      </c>
      <c r="U21" s="81">
        <f t="shared" si="5"/>
        <v>-3.6600000000000001E-2</v>
      </c>
      <c r="V21" s="83">
        <f t="shared" si="6"/>
        <v>4.9199999999999994E-2</v>
      </c>
    </row>
    <row r="22" spans="1:22">
      <c r="A22" s="75"/>
      <c r="B22" s="19"/>
      <c r="C22" s="71" t="s">
        <v>46</v>
      </c>
      <c r="D22" s="58">
        <f>SUM(D6:D21)</f>
        <v>30206984491.494904</v>
      </c>
      <c r="E22" s="100">
        <f>(D22/$D$181)</f>
        <v>1.3634563027155985E-2</v>
      </c>
      <c r="F22" s="30"/>
      <c r="G22" s="31"/>
      <c r="H22" s="65">
        <f>SUM(H6:H21)</f>
        <v>61789</v>
      </c>
      <c r="I22" s="28"/>
      <c r="J22" s="60">
        <v>0</v>
      </c>
      <c r="K22" s="58">
        <f>SUM(K6:K21)</f>
        <v>31149538694.629303</v>
      </c>
      <c r="L22" s="100">
        <f>(K22/$K$181)</f>
        <v>1.3673039614834445E-2</v>
      </c>
      <c r="M22" s="30"/>
      <c r="N22" s="31"/>
      <c r="O22" s="65">
        <f>SUM(O6:O21)</f>
        <v>61919</v>
      </c>
      <c r="P22" s="28"/>
      <c r="Q22" s="65"/>
      <c r="R22" s="80">
        <f t="shared" si="2"/>
        <v>3.1203187574045516E-2</v>
      </c>
      <c r="S22" s="80" t="e">
        <f t="shared" si="3"/>
        <v>#DIV/0!</v>
      </c>
      <c r="T22" s="80">
        <f t="shared" si="4"/>
        <v>2.1039343572480541E-3</v>
      </c>
      <c r="U22" s="81">
        <f t="shared" si="5"/>
        <v>0</v>
      </c>
      <c r="V22" s="83">
        <f t="shared" si="6"/>
        <v>0</v>
      </c>
    </row>
    <row r="23" spans="1:22" ht="9" customHeight="1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</row>
    <row r="24" spans="1:22" ht="15" customHeight="1">
      <c r="A24" s="148" t="s">
        <v>47</v>
      </c>
      <c r="B24" s="148"/>
      <c r="C24" s="148"/>
      <c r="D24" s="148"/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2">
      <c r="A25" s="75">
        <v>17</v>
      </c>
      <c r="B25" s="113" t="s">
        <v>48</v>
      </c>
      <c r="C25" s="114" t="s">
        <v>17</v>
      </c>
      <c r="D25" s="9">
        <v>967369195.13</v>
      </c>
      <c r="E25" s="3">
        <f>(D25/$K$55)</f>
        <v>1.0185872304885421E-3</v>
      </c>
      <c r="F25" s="8">
        <v>100</v>
      </c>
      <c r="G25" s="8">
        <v>100</v>
      </c>
      <c r="H25" s="60">
        <v>747</v>
      </c>
      <c r="I25" s="5">
        <v>0.1028</v>
      </c>
      <c r="J25" s="5">
        <v>0.1028</v>
      </c>
      <c r="K25" s="9">
        <v>977409822.83000004</v>
      </c>
      <c r="L25" s="3">
        <f t="shared" ref="L25:L54" si="7">(K25/$K$55)</f>
        <v>1.0291594662107425E-3</v>
      </c>
      <c r="M25" s="8">
        <v>100</v>
      </c>
      <c r="N25" s="8">
        <v>100</v>
      </c>
      <c r="O25" s="60">
        <v>747</v>
      </c>
      <c r="P25" s="5">
        <v>0.1043</v>
      </c>
      <c r="Q25" s="5">
        <v>0.1043</v>
      </c>
      <c r="R25" s="80">
        <f>((K25-D25)/D25)</f>
        <v>1.0379313038442098E-2</v>
      </c>
      <c r="S25" s="80">
        <f>((N25-G25)/G25)</f>
        <v>0</v>
      </c>
      <c r="T25" s="80">
        <f>((O25-H25)/H25)</f>
        <v>0</v>
      </c>
      <c r="U25" s="81">
        <f>P25-I25</f>
        <v>1.5000000000000013E-3</v>
      </c>
      <c r="V25" s="83">
        <f>Q25-J25</f>
        <v>1.5000000000000013E-3</v>
      </c>
    </row>
    <row r="26" spans="1:22">
      <c r="A26" s="75">
        <v>18</v>
      </c>
      <c r="B26" s="113" t="s">
        <v>49</v>
      </c>
      <c r="C26" s="114" t="s">
        <v>50</v>
      </c>
      <c r="D26" s="9">
        <v>4729008501.9899998</v>
      </c>
      <c r="E26" s="3">
        <f t="shared" ref="E26:E54" si="8">(D26/$K$55)</f>
        <v>4.979389148681174E-3</v>
      </c>
      <c r="F26" s="8">
        <v>100</v>
      </c>
      <c r="G26" s="8">
        <v>100</v>
      </c>
      <c r="H26" s="60">
        <v>1187</v>
      </c>
      <c r="I26" s="5">
        <v>-4.5149999999999999E-3</v>
      </c>
      <c r="J26" s="5">
        <v>6.7879999999999998E-3</v>
      </c>
      <c r="K26" s="9">
        <v>4848136847.7600002</v>
      </c>
      <c r="L26" s="3">
        <f t="shared" si="7"/>
        <v>5.1048248276354116E-3</v>
      </c>
      <c r="M26" s="8">
        <v>100</v>
      </c>
      <c r="N26" s="8">
        <v>100</v>
      </c>
      <c r="O26" s="60">
        <v>1192</v>
      </c>
      <c r="P26" s="5">
        <v>0.13109299999999999</v>
      </c>
      <c r="Q26" s="5">
        <v>0.13109299999999999</v>
      </c>
      <c r="R26" s="80">
        <f t="shared" ref="R26:R55" si="9">((K26-D26)/D26)</f>
        <v>2.5190977288340764E-2</v>
      </c>
      <c r="S26" s="80">
        <f t="shared" ref="S26:S55" si="10">((N26-G26)/G26)</f>
        <v>0</v>
      </c>
      <c r="T26" s="80">
        <f t="shared" ref="T26:T55" si="11">((O26-H26)/H26)</f>
        <v>4.2122999157540014E-3</v>
      </c>
      <c r="U26" s="81">
        <f t="shared" ref="U26:U55" si="12">P26-I26</f>
        <v>0.13560799999999998</v>
      </c>
      <c r="V26" s="83">
        <f t="shared" ref="V26:V55" si="13">Q26-J26</f>
        <v>0.12430499999999998</v>
      </c>
    </row>
    <row r="27" spans="1:22">
      <c r="A27" s="75">
        <v>19</v>
      </c>
      <c r="B27" s="113" t="s">
        <v>51</v>
      </c>
      <c r="C27" s="114" t="s">
        <v>19</v>
      </c>
      <c r="D27" s="9">
        <v>347195231.79000002</v>
      </c>
      <c r="E27" s="3">
        <f t="shared" si="8"/>
        <v>3.6557772499699913E-4</v>
      </c>
      <c r="F27" s="8">
        <v>100</v>
      </c>
      <c r="G27" s="8">
        <v>100</v>
      </c>
      <c r="H27" s="60">
        <v>1357</v>
      </c>
      <c r="I27" s="5">
        <v>9.7500000000000003E-2</v>
      </c>
      <c r="J27" s="5">
        <v>9.7500000000000003E-2</v>
      </c>
      <c r="K27" s="9">
        <v>372385342.16000003</v>
      </c>
      <c r="L27" s="3">
        <f t="shared" si="7"/>
        <v>3.9210154329372599E-4</v>
      </c>
      <c r="M27" s="8">
        <v>100</v>
      </c>
      <c r="N27" s="8">
        <v>100</v>
      </c>
      <c r="O27" s="60">
        <v>1362</v>
      </c>
      <c r="P27" s="5">
        <v>0.1033</v>
      </c>
      <c r="Q27" s="5">
        <v>0.1033</v>
      </c>
      <c r="R27" s="80">
        <f t="shared" si="9"/>
        <v>7.2553157599918205E-2</v>
      </c>
      <c r="S27" s="80">
        <f t="shared" si="10"/>
        <v>0</v>
      </c>
      <c r="T27" s="80">
        <f t="shared" si="11"/>
        <v>3.6845983787767134E-3</v>
      </c>
      <c r="U27" s="81">
        <f t="shared" si="12"/>
        <v>5.7999999999999996E-3</v>
      </c>
      <c r="V27" s="83">
        <f t="shared" si="13"/>
        <v>5.7999999999999996E-3</v>
      </c>
    </row>
    <row r="28" spans="1:22">
      <c r="A28" s="75">
        <v>20</v>
      </c>
      <c r="B28" s="113" t="s">
        <v>52</v>
      </c>
      <c r="C28" s="114" t="s">
        <v>21</v>
      </c>
      <c r="D28" s="9">
        <v>84403233836.100006</v>
      </c>
      <c r="E28" s="3">
        <f t="shared" si="8"/>
        <v>8.8872021799119363E-2</v>
      </c>
      <c r="F28" s="8">
        <v>1</v>
      </c>
      <c r="G28" s="8">
        <v>1</v>
      </c>
      <c r="H28" s="60">
        <v>55367</v>
      </c>
      <c r="I28" s="5">
        <v>9.8900000000000002E-2</v>
      </c>
      <c r="J28" s="5">
        <v>9.8900000000000002E-2</v>
      </c>
      <c r="K28" s="9">
        <v>84539536036.839996</v>
      </c>
      <c r="L28" s="3">
        <f t="shared" si="7"/>
        <v>8.9015540614748576E-2</v>
      </c>
      <c r="M28" s="8">
        <v>1</v>
      </c>
      <c r="N28" s="8">
        <v>1</v>
      </c>
      <c r="O28" s="60">
        <v>55526</v>
      </c>
      <c r="P28" s="5">
        <v>9.9699999999999997E-2</v>
      </c>
      <c r="Q28" s="5">
        <v>9.9699999999999997E-2</v>
      </c>
      <c r="R28" s="80">
        <f t="shared" si="9"/>
        <v>1.6148931094828807E-3</v>
      </c>
      <c r="S28" s="80">
        <f t="shared" si="10"/>
        <v>0</v>
      </c>
      <c r="T28" s="80">
        <f t="shared" si="11"/>
        <v>2.8717467083280656E-3</v>
      </c>
      <c r="U28" s="81">
        <f t="shared" si="12"/>
        <v>7.9999999999999516E-4</v>
      </c>
      <c r="V28" s="83">
        <f t="shared" si="13"/>
        <v>7.9999999999999516E-4</v>
      </c>
    </row>
    <row r="29" spans="1:22">
      <c r="A29" s="75">
        <v>21</v>
      </c>
      <c r="B29" s="113" t="s">
        <v>53</v>
      </c>
      <c r="C29" s="114" t="s">
        <v>23</v>
      </c>
      <c r="D29" s="9">
        <v>49676513754.360001</v>
      </c>
      <c r="E29" s="3">
        <f t="shared" si="8"/>
        <v>5.2306671351654579E-2</v>
      </c>
      <c r="F29" s="8">
        <v>1</v>
      </c>
      <c r="G29" s="8">
        <v>1</v>
      </c>
      <c r="H29" s="60">
        <v>26490</v>
      </c>
      <c r="I29" s="5">
        <v>0.1147</v>
      </c>
      <c r="J29" s="5">
        <v>0.1147</v>
      </c>
      <c r="K29" s="9">
        <v>49438038283.279999</v>
      </c>
      <c r="L29" s="3">
        <f t="shared" si="7"/>
        <v>5.2055569630771084E-2</v>
      </c>
      <c r="M29" s="8">
        <v>1</v>
      </c>
      <c r="N29" s="8">
        <v>1</v>
      </c>
      <c r="O29" s="60">
        <v>26539</v>
      </c>
      <c r="P29" s="5">
        <v>0.112</v>
      </c>
      <c r="Q29" s="5">
        <v>0.112</v>
      </c>
      <c r="R29" s="80">
        <f t="shared" si="9"/>
        <v>-4.8005677745264754E-3</v>
      </c>
      <c r="S29" s="80">
        <f t="shared" si="10"/>
        <v>0</v>
      </c>
      <c r="T29" s="80">
        <f t="shared" si="11"/>
        <v>1.849754624386561E-3</v>
      </c>
      <c r="U29" s="81">
        <f t="shared" si="12"/>
        <v>-2.6999999999999941E-3</v>
      </c>
      <c r="V29" s="83">
        <f t="shared" si="13"/>
        <v>-2.6999999999999941E-3</v>
      </c>
    </row>
    <row r="30" spans="1:22" ht="15" customHeight="1">
      <c r="A30" s="75">
        <v>22</v>
      </c>
      <c r="B30" s="113" t="s">
        <v>54</v>
      </c>
      <c r="C30" s="114" t="s">
        <v>40</v>
      </c>
      <c r="D30" s="9">
        <v>7592217337.4899998</v>
      </c>
      <c r="E30" s="3">
        <f t="shared" si="8"/>
        <v>7.9941925688689994E-3</v>
      </c>
      <c r="F30" s="8">
        <v>100</v>
      </c>
      <c r="G30" s="8">
        <v>100</v>
      </c>
      <c r="H30" s="60">
        <v>2876</v>
      </c>
      <c r="I30" s="5">
        <v>0.123</v>
      </c>
      <c r="J30" s="5">
        <v>0.123</v>
      </c>
      <c r="K30" s="9">
        <v>7694807766.5500002</v>
      </c>
      <c r="L30" s="3">
        <f t="shared" si="7"/>
        <v>8.1022147196020654E-3</v>
      </c>
      <c r="M30" s="8">
        <v>100</v>
      </c>
      <c r="N30" s="8">
        <v>100</v>
      </c>
      <c r="O30" s="60">
        <v>2875</v>
      </c>
      <c r="P30" s="5">
        <v>0.121</v>
      </c>
      <c r="Q30" s="5">
        <v>0.121</v>
      </c>
      <c r="R30" s="80">
        <f t="shared" si="9"/>
        <v>1.3512578012409349E-2</v>
      </c>
      <c r="S30" s="80">
        <f t="shared" si="10"/>
        <v>0</v>
      </c>
      <c r="T30" s="80">
        <f t="shared" si="11"/>
        <v>-3.4770514603616132E-4</v>
      </c>
      <c r="U30" s="81">
        <f t="shared" si="12"/>
        <v>-2.0000000000000018E-3</v>
      </c>
      <c r="V30" s="83">
        <f t="shared" si="13"/>
        <v>-2.0000000000000018E-3</v>
      </c>
    </row>
    <row r="31" spans="1:22">
      <c r="A31" s="75">
        <v>23</v>
      </c>
      <c r="B31" s="113" t="s">
        <v>55</v>
      </c>
      <c r="C31" s="114" t="s">
        <v>56</v>
      </c>
      <c r="D31" s="9">
        <v>14356839861.709999</v>
      </c>
      <c r="E31" s="3">
        <f t="shared" si="8"/>
        <v>1.5116972741044834E-2</v>
      </c>
      <c r="F31" s="8">
        <v>100</v>
      </c>
      <c r="G31" s="8">
        <v>100</v>
      </c>
      <c r="H31" s="60">
        <v>1895</v>
      </c>
      <c r="I31" s="5">
        <v>0.11840000000000001</v>
      </c>
      <c r="J31" s="5">
        <v>0.11840000000000001</v>
      </c>
      <c r="K31" s="9">
        <v>14803581268.889999</v>
      </c>
      <c r="L31" s="3">
        <f t="shared" si="7"/>
        <v>1.5587367182975435E-2</v>
      </c>
      <c r="M31" s="8">
        <v>100</v>
      </c>
      <c r="N31" s="8">
        <v>100</v>
      </c>
      <c r="O31" s="60">
        <v>1926</v>
      </c>
      <c r="P31" s="5">
        <v>0.118097235633292</v>
      </c>
      <c r="Q31" s="5">
        <v>0.118097235633292</v>
      </c>
      <c r="R31" s="80">
        <f t="shared" si="9"/>
        <v>3.1116973615584392E-2</v>
      </c>
      <c r="S31" s="80">
        <f t="shared" si="10"/>
        <v>0</v>
      </c>
      <c r="T31" s="80">
        <f t="shared" si="11"/>
        <v>1.6358839050131926E-2</v>
      </c>
      <c r="U31" s="81">
        <f t="shared" si="12"/>
        <v>-3.0276436670800821E-4</v>
      </c>
      <c r="V31" s="83">
        <f t="shared" si="13"/>
        <v>-3.0276436670800821E-4</v>
      </c>
    </row>
    <row r="32" spans="1:22">
      <c r="A32" s="75">
        <v>24</v>
      </c>
      <c r="B32" s="113" t="s">
        <v>57</v>
      </c>
      <c r="C32" s="114" t="s">
        <v>58</v>
      </c>
      <c r="D32" s="9">
        <v>6209419841.4300003</v>
      </c>
      <c r="E32" s="3">
        <f t="shared" si="8"/>
        <v>6.5381818969052685E-3</v>
      </c>
      <c r="F32" s="8">
        <v>100</v>
      </c>
      <c r="G32" s="8">
        <v>100</v>
      </c>
      <c r="H32" s="60">
        <v>5752</v>
      </c>
      <c r="I32" s="5">
        <v>0.10440000000000001</v>
      </c>
      <c r="J32" s="5">
        <v>0.10440000000000001</v>
      </c>
      <c r="K32" s="9">
        <v>6403399574.6199999</v>
      </c>
      <c r="L32" s="3">
        <f t="shared" si="7"/>
        <v>6.742432022085609E-3</v>
      </c>
      <c r="M32" s="8">
        <v>100</v>
      </c>
      <c r="N32" s="8">
        <v>100</v>
      </c>
      <c r="O32" s="60">
        <v>5768</v>
      </c>
      <c r="P32" s="5">
        <v>0.1002</v>
      </c>
      <c r="Q32" s="5">
        <v>0.1002</v>
      </c>
      <c r="R32" s="80">
        <f t="shared" si="9"/>
        <v>3.1239590516289998E-2</v>
      </c>
      <c r="S32" s="80">
        <f t="shared" si="10"/>
        <v>0</v>
      </c>
      <c r="T32" s="80">
        <f t="shared" si="11"/>
        <v>2.7816411682892906E-3</v>
      </c>
      <c r="U32" s="81">
        <f t="shared" si="12"/>
        <v>-4.2000000000000093E-3</v>
      </c>
      <c r="V32" s="83">
        <f t="shared" si="13"/>
        <v>-4.2000000000000093E-3</v>
      </c>
    </row>
    <row r="33" spans="1:22">
      <c r="A33" s="75">
        <v>25</v>
      </c>
      <c r="B33" s="113" t="s">
        <v>59</v>
      </c>
      <c r="C33" s="114" t="s">
        <v>60</v>
      </c>
      <c r="D33" s="9">
        <v>44514190.369999997</v>
      </c>
      <c r="E33" s="3">
        <f t="shared" si="8"/>
        <v>4.6871025162554195E-5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4.6871025162554195E-5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13" t="s">
        <v>61</v>
      </c>
      <c r="C34" s="114" t="s">
        <v>62</v>
      </c>
      <c r="D34" s="9">
        <v>5739996278.0600004</v>
      </c>
      <c r="E34" s="3">
        <f t="shared" si="8"/>
        <v>6.0439043762376245E-3</v>
      </c>
      <c r="F34" s="8">
        <v>1</v>
      </c>
      <c r="G34" s="8">
        <v>1</v>
      </c>
      <c r="H34" s="60">
        <v>2098</v>
      </c>
      <c r="I34" s="5">
        <v>0.1081</v>
      </c>
      <c r="J34" s="5">
        <v>0.1081</v>
      </c>
      <c r="K34" s="9">
        <v>5485861805.6800003</v>
      </c>
      <c r="L34" s="3">
        <f t="shared" si="7"/>
        <v>5.7763145773310912E-3</v>
      </c>
      <c r="M34" s="8">
        <v>1</v>
      </c>
      <c r="N34" s="8">
        <v>1</v>
      </c>
      <c r="O34" s="60">
        <v>2113</v>
      </c>
      <c r="P34" s="5">
        <v>9.4700000000000006E-2</v>
      </c>
      <c r="Q34" s="5">
        <v>9.4700000000000006E-2</v>
      </c>
      <c r="R34" s="80">
        <f t="shared" si="9"/>
        <v>-4.4274327032471923E-2</v>
      </c>
      <c r="S34" s="80">
        <f t="shared" si="10"/>
        <v>0</v>
      </c>
      <c r="T34" s="80">
        <f t="shared" si="11"/>
        <v>7.1496663489037183E-3</v>
      </c>
      <c r="U34" s="81">
        <f t="shared" si="12"/>
        <v>-1.3399999999999995E-2</v>
      </c>
      <c r="V34" s="83">
        <f t="shared" si="13"/>
        <v>-1.3399999999999995E-2</v>
      </c>
    </row>
    <row r="35" spans="1:22">
      <c r="A35" s="75">
        <v>27</v>
      </c>
      <c r="B35" s="113" t="s">
        <v>63</v>
      </c>
      <c r="C35" s="114" t="s">
        <v>64</v>
      </c>
      <c r="D35" s="9">
        <v>13851396347.809999</v>
      </c>
      <c r="E35" s="3">
        <f t="shared" si="8"/>
        <v>1.458476816849525E-2</v>
      </c>
      <c r="F35" s="11">
        <v>100</v>
      </c>
      <c r="G35" s="11">
        <v>100</v>
      </c>
      <c r="H35" s="60">
        <v>2586</v>
      </c>
      <c r="I35" s="5">
        <v>0.10199999999999999</v>
      </c>
      <c r="J35" s="5">
        <v>0.10199999999999999</v>
      </c>
      <c r="K35" s="9">
        <v>14225888891.209999</v>
      </c>
      <c r="L35" s="3">
        <f t="shared" si="7"/>
        <v>1.4979088480265312E-2</v>
      </c>
      <c r="M35" s="11">
        <v>100</v>
      </c>
      <c r="N35" s="11">
        <v>100</v>
      </c>
      <c r="O35" s="60">
        <v>2607</v>
      </c>
      <c r="P35" s="5">
        <v>9.8199999999999996E-2</v>
      </c>
      <c r="Q35" s="5">
        <v>9.8199999999999996E-2</v>
      </c>
      <c r="R35" s="80">
        <f t="shared" si="9"/>
        <v>2.7036447012016188E-2</v>
      </c>
      <c r="S35" s="80">
        <f t="shared" si="10"/>
        <v>0</v>
      </c>
      <c r="T35" s="80">
        <f t="shared" si="11"/>
        <v>8.1206496519721574E-3</v>
      </c>
      <c r="U35" s="81">
        <f t="shared" si="12"/>
        <v>-3.7999999999999978E-3</v>
      </c>
      <c r="V35" s="83">
        <f t="shared" si="13"/>
        <v>-3.7999999999999978E-3</v>
      </c>
    </row>
    <row r="36" spans="1:22">
      <c r="A36" s="75">
        <v>28</v>
      </c>
      <c r="B36" s="113" t="s">
        <v>65</v>
      </c>
      <c r="C36" s="114" t="s">
        <v>64</v>
      </c>
      <c r="D36" s="9">
        <v>1224104373.45</v>
      </c>
      <c r="E36" s="3">
        <f t="shared" si="8"/>
        <v>1.2889154315212494E-3</v>
      </c>
      <c r="F36" s="11">
        <v>1000000</v>
      </c>
      <c r="G36" s="11">
        <v>1000000</v>
      </c>
      <c r="H36" s="60">
        <v>7</v>
      </c>
      <c r="I36" s="5">
        <v>0.10639999999999999</v>
      </c>
      <c r="J36" s="5">
        <v>0.10639999999999999</v>
      </c>
      <c r="K36" s="9">
        <v>1226553220.1199999</v>
      </c>
      <c r="L36" s="3">
        <f t="shared" si="7"/>
        <v>1.2914939340826742E-3</v>
      </c>
      <c r="M36" s="11">
        <v>1000000</v>
      </c>
      <c r="N36" s="11">
        <v>1000000</v>
      </c>
      <c r="O36" s="60">
        <v>7</v>
      </c>
      <c r="P36" s="5">
        <v>0.1051</v>
      </c>
      <c r="Q36" s="5">
        <v>0.1051</v>
      </c>
      <c r="R36" s="80">
        <f t="shared" si="9"/>
        <v>2.0005211345647264E-3</v>
      </c>
      <c r="S36" s="80">
        <f t="shared" si="10"/>
        <v>0</v>
      </c>
      <c r="T36" s="80">
        <f t="shared" si="11"/>
        <v>0</v>
      </c>
      <c r="U36" s="81">
        <f t="shared" si="12"/>
        <v>-1.2999999999999956E-3</v>
      </c>
      <c r="V36" s="83">
        <f t="shared" si="13"/>
        <v>-1.2999999999999956E-3</v>
      </c>
    </row>
    <row r="37" spans="1:22">
      <c r="A37" s="75">
        <v>29</v>
      </c>
      <c r="B37" s="113" t="s">
        <v>66</v>
      </c>
      <c r="C37" s="114" t="s">
        <v>67</v>
      </c>
      <c r="D37" s="9">
        <v>3710582199.2399998</v>
      </c>
      <c r="E37" s="3">
        <f t="shared" si="8"/>
        <v>3.90704155647218E-3</v>
      </c>
      <c r="F37" s="8">
        <v>1</v>
      </c>
      <c r="G37" s="8">
        <v>1</v>
      </c>
      <c r="H37" s="60">
        <v>426</v>
      </c>
      <c r="I37" s="5">
        <v>0.1263</v>
      </c>
      <c r="J37" s="5">
        <v>0.1263</v>
      </c>
      <c r="K37" s="9">
        <v>3701890478.6700001</v>
      </c>
      <c r="L37" s="3">
        <f t="shared" si="7"/>
        <v>3.8978896467068637E-3</v>
      </c>
      <c r="M37" s="8">
        <v>1</v>
      </c>
      <c r="N37" s="8">
        <v>1</v>
      </c>
      <c r="O37" s="60">
        <v>428</v>
      </c>
      <c r="P37" s="5">
        <v>0.13089999999999999</v>
      </c>
      <c r="Q37" s="5">
        <v>0.13089999999999999</v>
      </c>
      <c r="R37" s="80">
        <f t="shared" si="9"/>
        <v>-2.3424142367146402E-3</v>
      </c>
      <c r="S37" s="80">
        <f t="shared" si="10"/>
        <v>0</v>
      </c>
      <c r="T37" s="80">
        <f t="shared" si="11"/>
        <v>4.6948356807511738E-3</v>
      </c>
      <c r="U37" s="81">
        <f t="shared" si="12"/>
        <v>4.599999999999993E-3</v>
      </c>
      <c r="V37" s="83">
        <f t="shared" si="13"/>
        <v>4.599999999999993E-3</v>
      </c>
    </row>
    <row r="38" spans="1:22">
      <c r="A38" s="75">
        <v>30</v>
      </c>
      <c r="B38" s="113" t="s">
        <v>68</v>
      </c>
      <c r="C38" s="114" t="s">
        <v>27</v>
      </c>
      <c r="D38" s="9">
        <v>206237983080.97</v>
      </c>
      <c r="E38" s="3">
        <f t="shared" si="8"/>
        <v>0.21715739664395409</v>
      </c>
      <c r="F38" s="8">
        <v>100</v>
      </c>
      <c r="G38" s="8">
        <v>100</v>
      </c>
      <c r="H38" s="60">
        <v>14767</v>
      </c>
      <c r="I38" s="5">
        <v>0.11600000000000001</v>
      </c>
      <c r="J38" s="5">
        <v>0.11600000000000001</v>
      </c>
      <c r="K38" s="9">
        <v>209933092074.94</v>
      </c>
      <c r="L38" s="3">
        <f t="shared" si="7"/>
        <v>0.22104814575553336</v>
      </c>
      <c r="M38" s="8">
        <v>100</v>
      </c>
      <c r="N38" s="8">
        <v>100</v>
      </c>
      <c r="O38" s="60">
        <v>14899</v>
      </c>
      <c r="P38" s="5">
        <v>0.11360000000000001</v>
      </c>
      <c r="Q38" s="5">
        <v>0.11360000000000001</v>
      </c>
      <c r="R38" s="80">
        <f t="shared" si="9"/>
        <v>1.7916723868072758E-2</v>
      </c>
      <c r="S38" s="80">
        <f t="shared" si="10"/>
        <v>0</v>
      </c>
      <c r="T38" s="80">
        <f t="shared" si="11"/>
        <v>8.9388501388230519E-3</v>
      </c>
      <c r="U38" s="81">
        <f t="shared" si="12"/>
        <v>-2.3999999999999994E-3</v>
      </c>
      <c r="V38" s="83">
        <f t="shared" si="13"/>
        <v>-2.3999999999999994E-3</v>
      </c>
    </row>
    <row r="39" spans="1:22">
      <c r="A39" s="75">
        <v>31</v>
      </c>
      <c r="B39" s="113" t="s">
        <v>69</v>
      </c>
      <c r="C39" s="114" t="s">
        <v>70</v>
      </c>
      <c r="D39" s="9">
        <v>279684253.06</v>
      </c>
      <c r="E39" s="3">
        <f t="shared" si="8"/>
        <v>2.9449233050816547E-4</v>
      </c>
      <c r="F39" s="8">
        <v>1</v>
      </c>
      <c r="G39" s="8">
        <v>1</v>
      </c>
      <c r="H39" s="61">
        <v>439</v>
      </c>
      <c r="I39" s="12">
        <v>7.8799999999999995E-2</v>
      </c>
      <c r="J39" s="12">
        <v>7.8799999999999995E-2</v>
      </c>
      <c r="K39" s="9">
        <v>282944272.88999999</v>
      </c>
      <c r="L39" s="3">
        <f t="shared" si="7"/>
        <v>2.9792495435715122E-4</v>
      </c>
      <c r="M39" s="8">
        <v>1</v>
      </c>
      <c r="N39" s="8">
        <v>1</v>
      </c>
      <c r="O39" s="61">
        <v>440</v>
      </c>
      <c r="P39" s="12">
        <v>1.38E-2</v>
      </c>
      <c r="Q39" s="12">
        <v>1.6299999999999999E-2</v>
      </c>
      <c r="R39" s="80">
        <f t="shared" si="9"/>
        <v>1.165607213968038E-2</v>
      </c>
      <c r="S39" s="80">
        <f t="shared" si="10"/>
        <v>0</v>
      </c>
      <c r="T39" s="80">
        <f t="shared" si="11"/>
        <v>2.2779043280182231E-3</v>
      </c>
      <c r="U39" s="81">
        <f t="shared" si="12"/>
        <v>-6.5000000000000002E-2</v>
      </c>
      <c r="V39" s="83">
        <f t="shared" si="13"/>
        <v>-6.25E-2</v>
      </c>
    </row>
    <row r="40" spans="1:22">
      <c r="A40" s="75">
        <v>32</v>
      </c>
      <c r="B40" s="113" t="s">
        <v>71</v>
      </c>
      <c r="C40" s="114" t="s">
        <v>72</v>
      </c>
      <c r="D40" s="9">
        <v>703079200.70000005</v>
      </c>
      <c r="E40" s="3">
        <f t="shared" si="8"/>
        <v>7.4030421834847798E-4</v>
      </c>
      <c r="F40" s="8">
        <v>10</v>
      </c>
      <c r="G40" s="8">
        <v>10</v>
      </c>
      <c r="H40" s="60">
        <v>362</v>
      </c>
      <c r="I40" s="5">
        <v>9.7900000000000001E-2</v>
      </c>
      <c r="J40" s="5">
        <v>9.7900000000000001E-2</v>
      </c>
      <c r="K40" s="9">
        <v>687784536.28999996</v>
      </c>
      <c r="L40" s="3">
        <f t="shared" si="7"/>
        <v>7.2419976728567556E-4</v>
      </c>
      <c r="M40" s="8">
        <v>10</v>
      </c>
      <c r="N40" s="8">
        <v>10</v>
      </c>
      <c r="O40" s="60">
        <v>361</v>
      </c>
      <c r="P40" s="5">
        <v>9.7199999999999995E-2</v>
      </c>
      <c r="Q40" s="5">
        <v>9.7199999999999995E-2</v>
      </c>
      <c r="R40" s="80">
        <f t="shared" si="9"/>
        <v>-2.175382857972815E-2</v>
      </c>
      <c r="S40" s="80">
        <f t="shared" si="10"/>
        <v>0</v>
      </c>
      <c r="T40" s="80">
        <f t="shared" si="11"/>
        <v>-2.7624309392265192E-3</v>
      </c>
      <c r="U40" s="81">
        <f t="shared" si="12"/>
        <v>-7.0000000000000617E-4</v>
      </c>
      <c r="V40" s="83">
        <f t="shared" si="13"/>
        <v>-7.0000000000000617E-4</v>
      </c>
    </row>
    <row r="41" spans="1:22">
      <c r="A41" s="75">
        <v>33</v>
      </c>
      <c r="B41" s="113" t="s">
        <v>73</v>
      </c>
      <c r="C41" s="114" t="s">
        <v>74</v>
      </c>
      <c r="D41" s="9">
        <v>3003281372.3099999</v>
      </c>
      <c r="E41" s="3">
        <f t="shared" si="8"/>
        <v>3.162292194954557E-3</v>
      </c>
      <c r="F41" s="8">
        <v>100</v>
      </c>
      <c r="G41" s="8">
        <v>100</v>
      </c>
      <c r="H41" s="60">
        <v>1390</v>
      </c>
      <c r="I41" s="5">
        <v>0.1032</v>
      </c>
      <c r="J41" s="5">
        <v>0.1032</v>
      </c>
      <c r="K41" s="9">
        <v>3052889423.5578532</v>
      </c>
      <c r="L41" s="3">
        <f t="shared" si="7"/>
        <v>3.2145267790046456E-3</v>
      </c>
      <c r="M41" s="8">
        <v>100</v>
      </c>
      <c r="N41" s="8">
        <v>100</v>
      </c>
      <c r="O41" s="60">
        <v>1390</v>
      </c>
      <c r="P41" s="5">
        <v>9.64E-2</v>
      </c>
      <c r="Q41" s="5">
        <v>9.64E-2</v>
      </c>
      <c r="R41" s="80">
        <f t="shared" si="9"/>
        <v>1.6517949901476203E-2</v>
      </c>
      <c r="S41" s="80">
        <f t="shared" si="10"/>
        <v>0</v>
      </c>
      <c r="T41" s="80">
        <f t="shared" si="11"/>
        <v>0</v>
      </c>
      <c r="U41" s="81">
        <f t="shared" si="12"/>
        <v>-6.8000000000000005E-3</v>
      </c>
      <c r="V41" s="83">
        <f t="shared" si="13"/>
        <v>-6.8000000000000005E-3</v>
      </c>
    </row>
    <row r="42" spans="1:22" ht="15.75" customHeight="1">
      <c r="A42" s="75">
        <v>34</v>
      </c>
      <c r="B42" s="113" t="s">
        <v>239</v>
      </c>
      <c r="C42" s="114" t="s">
        <v>32</v>
      </c>
      <c r="D42" s="9">
        <v>21475813441.234699</v>
      </c>
      <c r="E42" s="3">
        <f t="shared" si="8"/>
        <v>2.2612865331789054E-2</v>
      </c>
      <c r="F42" s="8">
        <v>1</v>
      </c>
      <c r="G42" s="8">
        <v>1</v>
      </c>
      <c r="H42" s="60">
        <v>11245</v>
      </c>
      <c r="I42" s="5">
        <v>0.1085542053382597</v>
      </c>
      <c r="J42" s="5">
        <v>0.1085542053382597</v>
      </c>
      <c r="K42" s="9">
        <v>21555653356.912701</v>
      </c>
      <c r="L42" s="3">
        <f t="shared" si="7"/>
        <v>2.2696932427373969E-2</v>
      </c>
      <c r="M42" s="8">
        <v>1</v>
      </c>
      <c r="N42" s="8">
        <v>1</v>
      </c>
      <c r="O42" s="60">
        <v>11313</v>
      </c>
      <c r="P42" s="5">
        <v>0.1061084359933825</v>
      </c>
      <c r="Q42" s="5">
        <v>0.1061084359933825</v>
      </c>
      <c r="R42" s="80">
        <f t="shared" si="9"/>
        <v>3.7176666623814367E-3</v>
      </c>
      <c r="S42" s="80">
        <f t="shared" si="10"/>
        <v>0</v>
      </c>
      <c r="T42" s="80">
        <f t="shared" si="11"/>
        <v>6.0471320586927522E-3</v>
      </c>
      <c r="U42" s="81">
        <f t="shared" si="12"/>
        <v>-2.4457693448771967E-3</v>
      </c>
      <c r="V42" s="83">
        <f t="shared" si="13"/>
        <v>-2.4457693448771967E-3</v>
      </c>
    </row>
    <row r="43" spans="1:22">
      <c r="A43" s="75">
        <v>35</v>
      </c>
      <c r="B43" s="113" t="s">
        <v>75</v>
      </c>
      <c r="C43" s="114" t="s">
        <v>34</v>
      </c>
      <c r="D43" s="9">
        <v>3275791634.3699999</v>
      </c>
      <c r="E43" s="3">
        <f t="shared" si="8"/>
        <v>3.449230702515882E-3</v>
      </c>
      <c r="F43" s="8">
        <v>1</v>
      </c>
      <c r="G43" s="8">
        <v>1</v>
      </c>
      <c r="H43" s="60">
        <v>826</v>
      </c>
      <c r="I43" s="5">
        <v>8.09E-2</v>
      </c>
      <c r="J43" s="5">
        <v>8.09E-2</v>
      </c>
      <c r="K43" s="9">
        <v>3332366675.8000002</v>
      </c>
      <c r="L43" s="3">
        <f t="shared" si="7"/>
        <v>3.5088011488925773E-3</v>
      </c>
      <c r="M43" s="8">
        <v>1</v>
      </c>
      <c r="N43" s="8">
        <v>1</v>
      </c>
      <c r="O43" s="60">
        <v>826</v>
      </c>
      <c r="P43" s="5">
        <v>7.8700000000000006E-2</v>
      </c>
      <c r="Q43" s="5">
        <v>7.8600000000000003E-2</v>
      </c>
      <c r="R43" s="80">
        <f t="shared" si="9"/>
        <v>1.7270647142635133E-2</v>
      </c>
      <c r="S43" s="80">
        <f t="shared" si="10"/>
        <v>0</v>
      </c>
      <c r="T43" s="80">
        <f t="shared" si="11"/>
        <v>0</v>
      </c>
      <c r="U43" s="81">
        <f t="shared" si="12"/>
        <v>-2.1999999999999936E-3</v>
      </c>
      <c r="V43" s="83">
        <f t="shared" si="13"/>
        <v>-2.2999999999999965E-3</v>
      </c>
    </row>
    <row r="44" spans="1:22">
      <c r="A44" s="75">
        <v>36</v>
      </c>
      <c r="B44" s="113" t="s">
        <v>76</v>
      </c>
      <c r="C44" s="114" t="s">
        <v>36</v>
      </c>
      <c r="D44" s="13">
        <v>4068616645.04</v>
      </c>
      <c r="E44" s="3">
        <f t="shared" si="8"/>
        <v>4.2840323852094062E-3</v>
      </c>
      <c r="F44" s="8">
        <v>10</v>
      </c>
      <c r="G44" s="8">
        <v>10</v>
      </c>
      <c r="H44" s="60">
        <v>1928</v>
      </c>
      <c r="I44" s="5">
        <v>0.1202</v>
      </c>
      <c r="J44" s="5">
        <v>0.1202</v>
      </c>
      <c r="K44" s="13">
        <v>4204214107.9200001</v>
      </c>
      <c r="L44" s="3">
        <f t="shared" si="7"/>
        <v>4.4268091501421074E-3</v>
      </c>
      <c r="M44" s="8">
        <v>10</v>
      </c>
      <c r="N44" s="8">
        <v>10</v>
      </c>
      <c r="O44" s="60">
        <v>1951</v>
      </c>
      <c r="P44" s="5">
        <v>0.11940000000000001</v>
      </c>
      <c r="Q44" s="5">
        <v>0.11940000000000001</v>
      </c>
      <c r="R44" s="80">
        <f t="shared" si="9"/>
        <v>3.3327657705305144E-2</v>
      </c>
      <c r="S44" s="80">
        <f t="shared" si="10"/>
        <v>0</v>
      </c>
      <c r="T44" s="80">
        <f t="shared" si="11"/>
        <v>1.1929460580912862E-2</v>
      </c>
      <c r="U44" s="81">
        <f t="shared" si="12"/>
        <v>-7.9999999999999516E-4</v>
      </c>
      <c r="V44" s="83">
        <f t="shared" si="13"/>
        <v>-7.9999999999999516E-4</v>
      </c>
    </row>
    <row r="45" spans="1:22">
      <c r="A45" s="75">
        <v>37</v>
      </c>
      <c r="B45" s="113" t="s">
        <v>77</v>
      </c>
      <c r="C45" s="114" t="s">
        <v>78</v>
      </c>
      <c r="D45" s="9">
        <v>4623412259.4700003</v>
      </c>
      <c r="E45" s="3">
        <f t="shared" si="8"/>
        <v>4.86820203960232E-3</v>
      </c>
      <c r="F45" s="8">
        <v>100</v>
      </c>
      <c r="G45" s="8">
        <v>100</v>
      </c>
      <c r="H45" s="60">
        <v>2005</v>
      </c>
      <c r="I45" s="5">
        <v>0.125</v>
      </c>
      <c r="J45" s="5">
        <v>0.125</v>
      </c>
      <c r="K45" s="9">
        <v>4502697621.46</v>
      </c>
      <c r="L45" s="3">
        <f t="shared" si="7"/>
        <v>4.741096081061321E-3</v>
      </c>
      <c r="M45" s="8">
        <v>100</v>
      </c>
      <c r="N45" s="8">
        <v>100</v>
      </c>
      <c r="O45" s="60">
        <v>2016</v>
      </c>
      <c r="P45" s="5">
        <v>0.11509999999999999</v>
      </c>
      <c r="Q45" s="5">
        <v>0.11509999999999999</v>
      </c>
      <c r="R45" s="80">
        <f t="shared" si="9"/>
        <v>-2.6109425514184673E-2</v>
      </c>
      <c r="S45" s="80">
        <f t="shared" si="10"/>
        <v>0</v>
      </c>
      <c r="T45" s="80">
        <f t="shared" si="11"/>
        <v>5.4862842892768084E-3</v>
      </c>
      <c r="U45" s="81">
        <f t="shared" si="12"/>
        <v>-9.900000000000006E-3</v>
      </c>
      <c r="V45" s="83">
        <f t="shared" si="13"/>
        <v>-9.900000000000006E-3</v>
      </c>
    </row>
    <row r="46" spans="1:22">
      <c r="A46" s="75">
        <v>38</v>
      </c>
      <c r="B46" s="113" t="s">
        <v>79</v>
      </c>
      <c r="C46" s="114" t="s">
        <v>80</v>
      </c>
      <c r="D46" s="9">
        <v>151286903.44999999</v>
      </c>
      <c r="E46" s="3">
        <f t="shared" si="8"/>
        <v>1.5929689385407229E-4</v>
      </c>
      <c r="F46" s="8">
        <v>1</v>
      </c>
      <c r="G46" s="8">
        <v>1</v>
      </c>
      <c r="H46" s="60">
        <v>61</v>
      </c>
      <c r="I46" s="5">
        <v>6.6500000000000004E-2</v>
      </c>
      <c r="J46" s="5">
        <v>6.6500000000000004E-2</v>
      </c>
      <c r="K46" s="9">
        <v>152101897.36000001</v>
      </c>
      <c r="L46" s="3">
        <f t="shared" si="7"/>
        <v>1.6015503818390118E-4</v>
      </c>
      <c r="M46" s="8">
        <v>1</v>
      </c>
      <c r="N46" s="8">
        <v>1</v>
      </c>
      <c r="O46" s="60">
        <v>61</v>
      </c>
      <c r="P46" s="5">
        <v>6.8699999999999997E-2</v>
      </c>
      <c r="Q46" s="5">
        <v>6.8699999999999997E-2</v>
      </c>
      <c r="R46" s="80">
        <f t="shared" si="9"/>
        <v>5.3870750964863266E-3</v>
      </c>
      <c r="S46" s="80">
        <f t="shared" si="10"/>
        <v>0</v>
      </c>
      <c r="T46" s="80">
        <f t="shared" si="11"/>
        <v>0</v>
      </c>
      <c r="U46" s="81">
        <f t="shared" si="12"/>
        <v>2.1999999999999936E-3</v>
      </c>
      <c r="V46" s="83">
        <f t="shared" si="13"/>
        <v>2.1999999999999936E-3</v>
      </c>
    </row>
    <row r="47" spans="1:22">
      <c r="A47" s="75">
        <v>39</v>
      </c>
      <c r="B47" s="113" t="s">
        <v>81</v>
      </c>
      <c r="C47" s="114" t="s">
        <v>38</v>
      </c>
      <c r="D47" s="13">
        <v>683237874.95000005</v>
      </c>
      <c r="E47" s="3">
        <f t="shared" si="8"/>
        <v>7.1941237979639594E-4</v>
      </c>
      <c r="F47" s="8">
        <v>10</v>
      </c>
      <c r="G47" s="8">
        <v>10</v>
      </c>
      <c r="H47" s="60">
        <v>640</v>
      </c>
      <c r="I47" s="5">
        <v>0</v>
      </c>
      <c r="J47" s="5">
        <v>0</v>
      </c>
      <c r="K47" s="13">
        <v>761032830.13</v>
      </c>
      <c r="L47" s="3">
        <f t="shared" si="7"/>
        <v>8.0132624302637777E-4</v>
      </c>
      <c r="M47" s="8">
        <v>10</v>
      </c>
      <c r="N47" s="8">
        <v>10</v>
      </c>
      <c r="O47" s="60">
        <v>643</v>
      </c>
      <c r="P47" s="5">
        <v>0</v>
      </c>
      <c r="Q47" s="5">
        <v>0</v>
      </c>
      <c r="R47" s="80">
        <f t="shared" si="9"/>
        <v>0.1138621818728844</v>
      </c>
      <c r="S47" s="80">
        <f t="shared" si="10"/>
        <v>0</v>
      </c>
      <c r="T47" s="80">
        <f t="shared" si="11"/>
        <v>4.6874999999999998E-3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13" t="s">
        <v>247</v>
      </c>
      <c r="C48" s="114" t="s">
        <v>248</v>
      </c>
      <c r="D48" s="13">
        <v>573463049.63999999</v>
      </c>
      <c r="E48" s="3">
        <f t="shared" si="8"/>
        <v>6.0382544995328654E-4</v>
      </c>
      <c r="F48" s="8">
        <v>1</v>
      </c>
      <c r="G48" s="8">
        <v>1</v>
      </c>
      <c r="H48" s="60">
        <v>36</v>
      </c>
      <c r="I48" s="5">
        <v>0.1246</v>
      </c>
      <c r="J48" s="5">
        <v>0.1246</v>
      </c>
      <c r="K48" s="13">
        <v>573463049.63999999</v>
      </c>
      <c r="L48" s="3">
        <f t="shared" si="7"/>
        <v>6.0382544995328654E-4</v>
      </c>
      <c r="M48" s="8">
        <v>1</v>
      </c>
      <c r="N48" s="8">
        <v>1</v>
      </c>
      <c r="O48" s="60">
        <v>36</v>
      </c>
      <c r="P48" s="5">
        <v>0.1246</v>
      </c>
      <c r="Q48" s="5">
        <v>0.1246</v>
      </c>
      <c r="R48" s="80">
        <f t="shared" si="9"/>
        <v>0</v>
      </c>
      <c r="S48" s="80">
        <f t="shared" si="10"/>
        <v>0</v>
      </c>
      <c r="T48" s="80">
        <f t="shared" si="11"/>
        <v>0</v>
      </c>
      <c r="U48" s="81">
        <f t="shared" si="12"/>
        <v>0</v>
      </c>
      <c r="V48" s="83">
        <f t="shared" si="13"/>
        <v>0</v>
      </c>
    </row>
    <row r="49" spans="1:22">
      <c r="A49" s="75">
        <v>41</v>
      </c>
      <c r="B49" s="113" t="s">
        <v>82</v>
      </c>
      <c r="C49" s="114" t="s">
        <v>42</v>
      </c>
      <c r="D49" s="9">
        <v>412279094099.73999</v>
      </c>
      <c r="E49" s="3">
        <f t="shared" si="8"/>
        <v>0.43410749769734525</v>
      </c>
      <c r="F49" s="8">
        <v>100</v>
      </c>
      <c r="G49" s="8">
        <v>100</v>
      </c>
      <c r="H49" s="60">
        <v>134655</v>
      </c>
      <c r="I49" s="5">
        <v>0.11119999999999999</v>
      </c>
      <c r="J49" s="5">
        <v>0.11119999999999999</v>
      </c>
      <c r="K49" s="9">
        <v>425244926494.66998</v>
      </c>
      <c r="L49" s="3">
        <f t="shared" si="7"/>
        <v>0.44775981511309215</v>
      </c>
      <c r="M49" s="8">
        <v>100</v>
      </c>
      <c r="N49" s="8">
        <v>100</v>
      </c>
      <c r="O49" s="60">
        <v>135271</v>
      </c>
      <c r="P49" s="5">
        <v>0.1125</v>
      </c>
      <c r="Q49" s="5">
        <v>0.1125</v>
      </c>
      <c r="R49" s="80">
        <f t="shared" si="9"/>
        <v>3.1449162910485232E-2</v>
      </c>
      <c r="S49" s="80">
        <f t="shared" si="10"/>
        <v>0</v>
      </c>
      <c r="T49" s="80">
        <f t="shared" si="11"/>
        <v>4.5746537447551149E-3</v>
      </c>
      <c r="U49" s="81">
        <f t="shared" si="12"/>
        <v>1.3000000000000095E-3</v>
      </c>
      <c r="V49" s="83">
        <f t="shared" si="13"/>
        <v>1.3000000000000095E-3</v>
      </c>
    </row>
    <row r="50" spans="1:22">
      <c r="A50" s="75">
        <v>42</v>
      </c>
      <c r="B50" s="113" t="s">
        <v>83</v>
      </c>
      <c r="C50" s="114" t="s">
        <v>84</v>
      </c>
      <c r="D50" s="9">
        <v>3039253589.79</v>
      </c>
      <c r="E50" s="3">
        <f t="shared" si="8"/>
        <v>3.2001689865269419E-3</v>
      </c>
      <c r="F50" s="8">
        <v>1</v>
      </c>
      <c r="G50" s="8">
        <v>1</v>
      </c>
      <c r="H50" s="60">
        <v>335</v>
      </c>
      <c r="I50" s="5">
        <v>0.13700340861642871</v>
      </c>
      <c r="J50" s="5">
        <v>0.13700340861642871</v>
      </c>
      <c r="K50" s="9">
        <v>3033619892.4899998</v>
      </c>
      <c r="L50" s="3">
        <f t="shared" si="7"/>
        <v>3.1942370092021455E-3</v>
      </c>
      <c r="M50" s="8">
        <v>1</v>
      </c>
      <c r="N50" s="8">
        <v>1</v>
      </c>
      <c r="O50" s="60">
        <v>335</v>
      </c>
      <c r="P50" s="5">
        <v>0.13796411136957928</v>
      </c>
      <c r="Q50" s="5">
        <v>0.13796411136957928</v>
      </c>
      <c r="R50" s="80">
        <f t="shared" si="9"/>
        <v>-1.8536450261754749E-3</v>
      </c>
      <c r="S50" s="80">
        <f t="shared" si="10"/>
        <v>0</v>
      </c>
      <c r="T50" s="80">
        <f t="shared" si="11"/>
        <v>0</v>
      </c>
      <c r="U50" s="81">
        <f t="shared" si="12"/>
        <v>9.607027531505774E-4</v>
      </c>
      <c r="V50" s="83">
        <f t="shared" si="13"/>
        <v>9.607027531505774E-4</v>
      </c>
    </row>
    <row r="51" spans="1:22">
      <c r="A51" s="75">
        <v>43</v>
      </c>
      <c r="B51" s="113" t="s">
        <v>85</v>
      </c>
      <c r="C51" s="114" t="s">
        <v>45</v>
      </c>
      <c r="D51" s="9">
        <v>45306887361.349998</v>
      </c>
      <c r="E51" s="3">
        <f t="shared" si="8"/>
        <v>4.7705692047855713E-2</v>
      </c>
      <c r="F51" s="8">
        <v>1</v>
      </c>
      <c r="G51" s="8">
        <v>1</v>
      </c>
      <c r="H51" s="60">
        <v>19181</v>
      </c>
      <c r="I51" s="5">
        <v>0.1</v>
      </c>
      <c r="J51" s="5">
        <v>0.1</v>
      </c>
      <c r="K51" s="9">
        <v>46235161152.330002</v>
      </c>
      <c r="L51" s="3">
        <f t="shared" si="7"/>
        <v>4.8683113940809791E-2</v>
      </c>
      <c r="M51" s="8">
        <v>1</v>
      </c>
      <c r="N51" s="8">
        <v>1</v>
      </c>
      <c r="O51" s="60">
        <v>19281</v>
      </c>
      <c r="P51" s="5">
        <v>0.1086</v>
      </c>
      <c r="Q51" s="5">
        <v>0.1086</v>
      </c>
      <c r="R51" s="80">
        <f t="shared" si="9"/>
        <v>2.048858010431074E-2</v>
      </c>
      <c r="S51" s="80">
        <f t="shared" si="10"/>
        <v>0</v>
      </c>
      <c r="T51" s="80">
        <f t="shared" si="11"/>
        <v>5.2134925186382358E-3</v>
      </c>
      <c r="U51" s="81">
        <f t="shared" si="12"/>
        <v>8.5999999999999965E-3</v>
      </c>
      <c r="V51" s="83">
        <f t="shared" si="13"/>
        <v>8.5999999999999965E-3</v>
      </c>
    </row>
    <row r="52" spans="1:22">
      <c r="A52" s="75">
        <v>44</v>
      </c>
      <c r="B52" s="113" t="s">
        <v>86</v>
      </c>
      <c r="C52" s="114" t="s">
        <v>87</v>
      </c>
      <c r="D52" s="9">
        <v>1463767977.24</v>
      </c>
      <c r="E52" s="3">
        <f t="shared" si="8"/>
        <v>1.5412681916280599E-3</v>
      </c>
      <c r="F52" s="8">
        <v>1</v>
      </c>
      <c r="G52" s="8">
        <v>1</v>
      </c>
      <c r="H52" s="60">
        <v>53</v>
      </c>
      <c r="I52" s="5">
        <v>8.9399999999999993E-2</v>
      </c>
      <c r="J52" s="5">
        <v>8.9399999999999993E-2</v>
      </c>
      <c r="K52" s="9">
        <v>1474967894.04</v>
      </c>
      <c r="L52" s="3">
        <f t="shared" si="7"/>
        <v>1.553061095818565E-3</v>
      </c>
      <c r="M52" s="8">
        <v>1</v>
      </c>
      <c r="N52" s="8">
        <v>1</v>
      </c>
      <c r="O52" s="60">
        <v>55</v>
      </c>
      <c r="P52" s="5">
        <v>8.4599999999999995E-2</v>
      </c>
      <c r="Q52" s="5">
        <v>8.4599999999999995E-2</v>
      </c>
      <c r="R52" s="80">
        <f t="shared" si="9"/>
        <v>7.6514290339360315E-3</v>
      </c>
      <c r="S52" s="80">
        <f t="shared" si="10"/>
        <v>0</v>
      </c>
      <c r="T52" s="80">
        <f t="shared" si="11"/>
        <v>3.7735849056603772E-2</v>
      </c>
      <c r="U52" s="81">
        <f t="shared" si="12"/>
        <v>-4.7999999999999987E-3</v>
      </c>
      <c r="V52" s="83">
        <f t="shared" si="13"/>
        <v>-4.7999999999999987E-3</v>
      </c>
    </row>
    <row r="53" spans="1:22">
      <c r="A53" s="75">
        <v>45</v>
      </c>
      <c r="B53" s="113" t="s">
        <v>88</v>
      </c>
      <c r="C53" s="114" t="s">
        <v>89</v>
      </c>
      <c r="D53" s="9">
        <v>988730765.04999995</v>
      </c>
      <c r="E53" s="3">
        <f t="shared" si="8"/>
        <v>1.0410798035963471E-3</v>
      </c>
      <c r="F53" s="8">
        <v>1</v>
      </c>
      <c r="G53" s="8">
        <v>1</v>
      </c>
      <c r="H53" s="60">
        <v>212</v>
      </c>
      <c r="I53" s="5">
        <v>9.6199999999999994E-2</v>
      </c>
      <c r="J53" s="5">
        <v>9.6199999999999994E-2</v>
      </c>
      <c r="K53" s="9">
        <v>1097802655.45</v>
      </c>
      <c r="L53" s="3">
        <f t="shared" si="7"/>
        <v>1.1559265811513797E-3</v>
      </c>
      <c r="M53" s="8">
        <v>1</v>
      </c>
      <c r="N53" s="8">
        <v>1</v>
      </c>
      <c r="O53" s="60">
        <v>211</v>
      </c>
      <c r="P53" s="5">
        <v>0.1051</v>
      </c>
      <c r="Q53" s="5">
        <v>0.1051</v>
      </c>
      <c r="R53" s="80">
        <f t="shared" si="9"/>
        <v>0.11031505669238921</v>
      </c>
      <c r="S53" s="80">
        <f t="shared" si="10"/>
        <v>0</v>
      </c>
      <c r="T53" s="80">
        <f t="shared" si="11"/>
        <v>-4.7169811320754715E-3</v>
      </c>
      <c r="U53" s="81">
        <f t="shared" si="12"/>
        <v>8.9000000000000051E-3</v>
      </c>
      <c r="V53" s="83">
        <f t="shared" si="13"/>
        <v>8.9000000000000051E-3</v>
      </c>
    </row>
    <row r="54" spans="1:22">
      <c r="A54" s="75">
        <v>46</v>
      </c>
      <c r="B54" s="113" t="s">
        <v>90</v>
      </c>
      <c r="C54" s="114" t="s">
        <v>91</v>
      </c>
      <c r="D54" s="9">
        <v>29004594161.650002</v>
      </c>
      <c r="E54" s="3">
        <f t="shared" si="8"/>
        <v>3.0540262587738259E-2</v>
      </c>
      <c r="F54" s="8">
        <v>1</v>
      </c>
      <c r="G54" s="8">
        <v>1</v>
      </c>
      <c r="H54" s="60">
        <v>3205</v>
      </c>
      <c r="I54" s="5">
        <v>0.1176</v>
      </c>
      <c r="J54" s="5">
        <v>0.1176</v>
      </c>
      <c r="K54" s="9">
        <v>29829872435.52</v>
      </c>
      <c r="L54" s="3">
        <f t="shared" si="7"/>
        <v>3.14092357942405E-2</v>
      </c>
      <c r="M54" s="8">
        <v>1</v>
      </c>
      <c r="N54" s="8">
        <v>1</v>
      </c>
      <c r="O54" s="60">
        <v>3227</v>
      </c>
      <c r="P54" s="5">
        <v>0.11609999999999999</v>
      </c>
      <c r="Q54" s="5">
        <v>0.11609999999999999</v>
      </c>
      <c r="R54" s="80">
        <f t="shared" si="9"/>
        <v>2.8453363948845917E-2</v>
      </c>
      <c r="S54" s="80">
        <f t="shared" si="10"/>
        <v>0</v>
      </c>
      <c r="T54" s="80">
        <f t="shared" si="11"/>
        <v>6.8642745709828392E-3</v>
      </c>
      <c r="U54" s="81">
        <f t="shared" si="12"/>
        <v>-1.5000000000000013E-3</v>
      </c>
      <c r="V54" s="83">
        <f t="shared" si="13"/>
        <v>-1.5000000000000013E-3</v>
      </c>
    </row>
    <row r="55" spans="1:22">
      <c r="A55" s="75"/>
      <c r="B55" s="19"/>
      <c r="C55" s="71" t="s">
        <v>46</v>
      </c>
      <c r="D55" s="59">
        <f>SUM(D25:D54)</f>
        <v>930010368618.9447</v>
      </c>
      <c r="E55" s="100">
        <f>(D55/$D$181)</f>
        <v>0.41977990191023007</v>
      </c>
      <c r="F55" s="30"/>
      <c r="G55" s="11"/>
      <c r="H55" s="65">
        <f>SUM(H25:H54)</f>
        <v>292128</v>
      </c>
      <c r="I55" s="32"/>
      <c r="J55" s="32"/>
      <c r="K55" s="59">
        <f>SUM(K25:K54)</f>
        <v>949716593900.38049</v>
      </c>
      <c r="L55" s="100">
        <f>(K55/$K$181)</f>
        <v>0.41687656239687615</v>
      </c>
      <c r="M55" s="30"/>
      <c r="N55" s="11"/>
      <c r="O55" s="65">
        <f>SUM(O25:O54)</f>
        <v>293406</v>
      </c>
      <c r="P55" s="32"/>
      <c r="Q55" s="32"/>
      <c r="R55" s="80">
        <f t="shared" si="9"/>
        <v>2.1189253309830642E-2</v>
      </c>
      <c r="S55" s="80" t="e">
        <f t="shared" si="10"/>
        <v>#DIV/0!</v>
      </c>
      <c r="T55" s="80">
        <f t="shared" si="11"/>
        <v>4.3747946105816629E-3</v>
      </c>
      <c r="U55" s="81">
        <f t="shared" si="12"/>
        <v>0</v>
      </c>
      <c r="V55" s="83">
        <f t="shared" si="13"/>
        <v>0</v>
      </c>
    </row>
    <row r="56" spans="1:22" ht="9" customHeight="1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</row>
    <row r="57" spans="1:22" ht="15" customHeight="1">
      <c r="A57" s="148" t="s">
        <v>92</v>
      </c>
      <c r="B57" s="148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</row>
    <row r="58" spans="1:22">
      <c r="A58" s="75">
        <v>47</v>
      </c>
      <c r="B58" s="113" t="s">
        <v>93</v>
      </c>
      <c r="C58" s="114" t="s">
        <v>19</v>
      </c>
      <c r="D58" s="2">
        <v>487789697.77999997</v>
      </c>
      <c r="E58" s="3">
        <f>(D58/$D$90)</f>
        <v>1.6935543039266008E-3</v>
      </c>
      <c r="F58" s="14">
        <v>1.3085</v>
      </c>
      <c r="G58" s="14">
        <v>1.3085</v>
      </c>
      <c r="H58" s="60">
        <v>396</v>
      </c>
      <c r="I58" s="5">
        <v>2.6050000000000001E-3</v>
      </c>
      <c r="J58" s="5">
        <v>2.2200000000000001E-2</v>
      </c>
      <c r="K58" s="2">
        <v>487929610.31</v>
      </c>
      <c r="L58" s="3">
        <f t="shared" ref="L58:L77" si="14">(K58/$K$90)</f>
        <v>1.6992705862378325E-3</v>
      </c>
      <c r="M58" s="14">
        <v>1.3087</v>
      </c>
      <c r="N58" s="14">
        <v>1.3087</v>
      </c>
      <c r="O58" s="60">
        <v>396</v>
      </c>
      <c r="P58" s="5">
        <v>-5.9249999999999997E-3</v>
      </c>
      <c r="Q58" s="5">
        <v>2.23E-2</v>
      </c>
      <c r="R58" s="80">
        <f>((K58-D58)/D58)</f>
        <v>2.8682961250881835E-4</v>
      </c>
      <c r="S58" s="80">
        <f>((N58-G58)/G58)</f>
        <v>1.5284677111194342E-4</v>
      </c>
      <c r="T58" s="80">
        <f>((O58-H58)/H58)</f>
        <v>0</v>
      </c>
      <c r="U58" s="81">
        <f>P58-I58</f>
        <v>-8.5299999999999994E-3</v>
      </c>
      <c r="V58" s="83">
        <f>Q58-J58</f>
        <v>9.9999999999999395E-5</v>
      </c>
    </row>
    <row r="59" spans="1:22">
      <c r="A59" s="75">
        <v>48</v>
      </c>
      <c r="B59" s="113" t="s">
        <v>94</v>
      </c>
      <c r="C59" s="114" t="s">
        <v>21</v>
      </c>
      <c r="D59" s="2">
        <v>1380427178.0799999</v>
      </c>
      <c r="E59" s="3">
        <f>(D59/$D$90)</f>
        <v>4.79269734341341E-3</v>
      </c>
      <c r="F59" s="14">
        <v>1.1049</v>
      </c>
      <c r="G59" s="14">
        <v>1.1049</v>
      </c>
      <c r="H59" s="60">
        <v>568</v>
      </c>
      <c r="I59" s="5">
        <v>-9.9199999999999997E-2</v>
      </c>
      <c r="J59" s="5">
        <v>-0.91820000000000002</v>
      </c>
      <c r="K59" s="2">
        <v>1366424649.8900001</v>
      </c>
      <c r="L59" s="3">
        <f t="shared" si="14"/>
        <v>4.7587298798964037E-3</v>
      </c>
      <c r="M59" s="14">
        <v>1.1049</v>
      </c>
      <c r="N59" s="14">
        <v>1.1049</v>
      </c>
      <c r="O59" s="60">
        <v>578</v>
      </c>
      <c r="P59" s="5">
        <v>-4.7300000000000002E-2</v>
      </c>
      <c r="Q59" s="5">
        <v>-0.68310000000000004</v>
      </c>
      <c r="R59" s="80">
        <f t="shared" ref="R59:R90" si="15">((K59-D59)/D59)</f>
        <v>-1.0143619607283862E-2</v>
      </c>
      <c r="S59" s="80">
        <f t="shared" ref="S59:S90" si="16">((N59-G59)/G59)</f>
        <v>0</v>
      </c>
      <c r="T59" s="80">
        <f t="shared" ref="T59:T90" si="17">((O59-H59)/H59)</f>
        <v>1.7605633802816902E-2</v>
      </c>
      <c r="U59" s="81">
        <f t="shared" ref="U59:U90" si="18">P59-I59</f>
        <v>5.1899999999999995E-2</v>
      </c>
      <c r="V59" s="83">
        <f t="shared" ref="V59:V90" si="19">Q59-J59</f>
        <v>0.23509999999999998</v>
      </c>
    </row>
    <row r="60" spans="1:22">
      <c r="A60" s="75">
        <v>49</v>
      </c>
      <c r="B60" s="113" t="s">
        <v>95</v>
      </c>
      <c r="C60" s="114" t="s">
        <v>21</v>
      </c>
      <c r="D60" s="2">
        <v>985263249.14999998</v>
      </c>
      <c r="E60" s="3">
        <f>(D60/$D$90)</f>
        <v>3.4207299245816582E-3</v>
      </c>
      <c r="F60" s="14">
        <v>1.0076000000000001</v>
      </c>
      <c r="G60" s="14">
        <v>1.0076000000000001</v>
      </c>
      <c r="H60" s="60">
        <v>145</v>
      </c>
      <c r="I60" s="5">
        <v>8.3199999999999996E-2</v>
      </c>
      <c r="J60" s="5">
        <v>-1.1268</v>
      </c>
      <c r="K60" s="2">
        <v>1012844152.61</v>
      </c>
      <c r="L60" s="3">
        <f t="shared" si="14"/>
        <v>3.5273454215653736E-3</v>
      </c>
      <c r="M60" s="14">
        <v>1.0091000000000001</v>
      </c>
      <c r="N60" s="14">
        <v>1.0091000000000001</v>
      </c>
      <c r="O60" s="60">
        <v>146</v>
      </c>
      <c r="P60" s="5">
        <v>7.7799999999999994E-2</v>
      </c>
      <c r="Q60" s="5">
        <v>-0.80369999999999997</v>
      </c>
      <c r="R60" s="80">
        <f t="shared" si="15"/>
        <v>2.7993435748054601E-2</v>
      </c>
      <c r="S60" s="80">
        <f t="shared" si="16"/>
        <v>1.4886859865026367E-3</v>
      </c>
      <c r="T60" s="80">
        <f t="shared" si="17"/>
        <v>6.8965517241379309E-3</v>
      </c>
      <c r="U60" s="81">
        <f t="shared" si="18"/>
        <v>-5.400000000000002E-3</v>
      </c>
      <c r="V60" s="83">
        <f t="shared" si="19"/>
        <v>0.32310000000000005</v>
      </c>
    </row>
    <row r="61" spans="1:22">
      <c r="A61" s="75">
        <v>50</v>
      </c>
      <c r="B61" s="113" t="s">
        <v>96</v>
      </c>
      <c r="C61" s="114" t="s">
        <v>97</v>
      </c>
      <c r="D61" s="2">
        <v>279474173.41000003</v>
      </c>
      <c r="E61" s="3">
        <f>(D61/$D$90)</f>
        <v>9.7030480834037994E-4</v>
      </c>
      <c r="F61" s="7">
        <v>1187.79</v>
      </c>
      <c r="G61" s="7">
        <v>1187.79</v>
      </c>
      <c r="H61" s="60">
        <v>116</v>
      </c>
      <c r="I61" s="5">
        <v>1.2500000000000001E-2</v>
      </c>
      <c r="J61" s="5">
        <v>0.1139</v>
      </c>
      <c r="K61" s="2">
        <v>275627275.94</v>
      </c>
      <c r="L61" s="3">
        <f t="shared" si="14"/>
        <v>9.5990346327235712E-4</v>
      </c>
      <c r="M61" s="7">
        <v>1171.49</v>
      </c>
      <c r="N61" s="7">
        <v>1171.49</v>
      </c>
      <c r="O61" s="60">
        <v>116</v>
      </c>
      <c r="P61" s="5">
        <v>-1.2999999999999999E-2</v>
      </c>
      <c r="Q61" s="5">
        <v>9.9400000000000002E-2</v>
      </c>
      <c r="R61" s="80">
        <f t="shared" si="15"/>
        <v>-1.3764769112874244E-2</v>
      </c>
      <c r="S61" s="80">
        <f t="shared" si="16"/>
        <v>-1.3722964497091199E-2</v>
      </c>
      <c r="T61" s="80">
        <f t="shared" si="17"/>
        <v>0</v>
      </c>
      <c r="U61" s="81">
        <f t="shared" si="18"/>
        <v>-2.5500000000000002E-2</v>
      </c>
      <c r="V61" s="83">
        <f t="shared" si="19"/>
        <v>-1.4499999999999999E-2</v>
      </c>
    </row>
    <row r="62" spans="1:22" ht="15" customHeight="1">
      <c r="A62" s="75">
        <v>51</v>
      </c>
      <c r="B62" s="113" t="s">
        <v>98</v>
      </c>
      <c r="C62" s="114" t="s">
        <v>99</v>
      </c>
      <c r="D62" s="2">
        <v>1422557453.5</v>
      </c>
      <c r="E62" s="3">
        <f>(D62/$K$90)</f>
        <v>4.9542187784630152E-3</v>
      </c>
      <c r="F62" s="7">
        <v>1.0210999999999999</v>
      </c>
      <c r="G62" s="7">
        <v>1.0210999999999999</v>
      </c>
      <c r="H62" s="60">
        <v>810</v>
      </c>
      <c r="I62" s="5">
        <v>1.6000000000000001E-3</v>
      </c>
      <c r="J62" s="5">
        <v>4.5999999999999999E-3</v>
      </c>
      <c r="K62" s="2">
        <v>1426332605.6199999</v>
      </c>
      <c r="L62" s="3">
        <f t="shared" si="14"/>
        <v>4.9673661768183091E-3</v>
      </c>
      <c r="M62" s="7">
        <v>1.0226</v>
      </c>
      <c r="N62" s="7">
        <v>1.0226</v>
      </c>
      <c r="O62" s="60">
        <v>816</v>
      </c>
      <c r="P62" s="5">
        <v>1.5E-3</v>
      </c>
      <c r="Q62" s="5">
        <v>6.0000000000000001E-3</v>
      </c>
      <c r="R62" s="80">
        <f t="shared" si="15"/>
        <v>2.653778313636234E-3</v>
      </c>
      <c r="S62" s="80">
        <f t="shared" si="16"/>
        <v>1.4690040152776976E-3</v>
      </c>
      <c r="T62" s="80">
        <f t="shared" si="17"/>
        <v>7.4074074074074077E-3</v>
      </c>
      <c r="U62" s="81">
        <f t="shared" si="18"/>
        <v>-1.0000000000000005E-4</v>
      </c>
      <c r="V62" s="83">
        <v>7.87</v>
      </c>
    </row>
    <row r="63" spans="1:22">
      <c r="A63" s="75">
        <v>52</v>
      </c>
      <c r="B63" s="113" t="s">
        <v>100</v>
      </c>
      <c r="C63" s="114" t="s">
        <v>101</v>
      </c>
      <c r="D63" s="2">
        <v>396454429.45999998</v>
      </c>
      <c r="E63" s="3">
        <f t="shared" ref="E63:E77" si="20">(D63/$D$90)</f>
        <v>1.3764479003522672E-3</v>
      </c>
      <c r="F63" s="7">
        <v>2.2490999999999999</v>
      </c>
      <c r="G63" s="7">
        <v>2.2490999999999999</v>
      </c>
      <c r="H63" s="60">
        <v>1398</v>
      </c>
      <c r="I63" s="5">
        <v>0.10249999999999999</v>
      </c>
      <c r="J63" s="5">
        <v>0.1033</v>
      </c>
      <c r="K63" s="2">
        <v>397319465.88972551</v>
      </c>
      <c r="L63" s="3">
        <f t="shared" si="14"/>
        <v>1.3837104112152286E-3</v>
      </c>
      <c r="M63" s="7">
        <v>2.254</v>
      </c>
      <c r="N63" s="7">
        <v>2.254</v>
      </c>
      <c r="O63" s="60">
        <v>1398</v>
      </c>
      <c r="P63" s="5">
        <v>0.1139</v>
      </c>
      <c r="Q63" s="5">
        <v>0.10630000000000001</v>
      </c>
      <c r="R63" s="80">
        <f t="shared" si="15"/>
        <v>2.181931554917348E-3</v>
      </c>
      <c r="S63" s="80">
        <f t="shared" si="16"/>
        <v>2.178649237472823E-3</v>
      </c>
      <c r="T63" s="80">
        <f t="shared" si="17"/>
        <v>0</v>
      </c>
      <c r="U63" s="81">
        <f t="shared" si="18"/>
        <v>1.1400000000000007E-2</v>
      </c>
      <c r="V63" s="83">
        <f t="shared" si="19"/>
        <v>3.0000000000000027E-3</v>
      </c>
    </row>
    <row r="64" spans="1:22">
      <c r="A64" s="75">
        <v>53</v>
      </c>
      <c r="B64" s="113" t="s">
        <v>102</v>
      </c>
      <c r="C64" s="114" t="s">
        <v>56</v>
      </c>
      <c r="D64" s="2">
        <v>2596128057.1455898</v>
      </c>
      <c r="E64" s="3">
        <f t="shared" si="20"/>
        <v>9.013482377207737E-3</v>
      </c>
      <c r="F64" s="2">
        <v>4015.36762711661</v>
      </c>
      <c r="G64" s="2">
        <v>4015.36762711661</v>
      </c>
      <c r="H64" s="60">
        <v>1054</v>
      </c>
      <c r="I64" s="5">
        <v>8.128020295334866E-2</v>
      </c>
      <c r="J64" s="5">
        <v>8.0371775165198667E-2</v>
      </c>
      <c r="K64" s="2">
        <v>2598637282.1704402</v>
      </c>
      <c r="L64" s="3">
        <f t="shared" si="14"/>
        <v>9.0500510823430785E-3</v>
      </c>
      <c r="M64" s="2">
        <v>4021.6430216839999</v>
      </c>
      <c r="N64" s="2">
        <v>4021.6430216839999</v>
      </c>
      <c r="O64" s="60">
        <v>1053</v>
      </c>
      <c r="P64" s="5">
        <v>8.1714432612558757E-2</v>
      </c>
      <c r="Q64" s="5">
        <v>8.0825050743476623E-2</v>
      </c>
      <c r="R64" s="80">
        <f t="shared" si="15"/>
        <v>9.6652590689583694E-4</v>
      </c>
      <c r="S64" s="80">
        <f t="shared" si="16"/>
        <v>1.5628443395844572E-3</v>
      </c>
      <c r="T64" s="80">
        <f t="shared" si="17"/>
        <v>-9.4876660341555979E-4</v>
      </c>
      <c r="U64" s="81">
        <f t="shared" si="18"/>
        <v>4.3422965921009749E-4</v>
      </c>
      <c r="V64" s="83">
        <f t="shared" si="19"/>
        <v>4.5327557827795628E-4</v>
      </c>
    </row>
    <row r="65" spans="1:22">
      <c r="A65" s="75">
        <v>54</v>
      </c>
      <c r="B65" s="113" t="s">
        <v>103</v>
      </c>
      <c r="C65" s="114" t="s">
        <v>58</v>
      </c>
      <c r="D65" s="2">
        <v>348337728.06</v>
      </c>
      <c r="E65" s="3">
        <f t="shared" si="20"/>
        <v>1.2093917958105238E-3</v>
      </c>
      <c r="F65" s="14">
        <v>108.16</v>
      </c>
      <c r="G65" s="14">
        <v>108.16</v>
      </c>
      <c r="H65" s="60">
        <v>122</v>
      </c>
      <c r="I65" s="5">
        <v>2.3E-3</v>
      </c>
      <c r="J65" s="5">
        <v>8.09E-2</v>
      </c>
      <c r="K65" s="2">
        <v>356223316.88999999</v>
      </c>
      <c r="L65" s="3">
        <f t="shared" si="14"/>
        <v>1.2405883794153691E-3</v>
      </c>
      <c r="M65" s="14">
        <v>108.29</v>
      </c>
      <c r="N65" s="14">
        <v>108.29</v>
      </c>
      <c r="O65" s="60">
        <v>122</v>
      </c>
      <c r="P65" s="5">
        <v>1.1999999999999999E-3</v>
      </c>
      <c r="Q65" s="5">
        <v>7.6499999999999999E-2</v>
      </c>
      <c r="R65" s="80">
        <f t="shared" si="15"/>
        <v>2.2637768449364513E-2</v>
      </c>
      <c r="S65" s="80">
        <f t="shared" si="16"/>
        <v>1.2019230769231663E-3</v>
      </c>
      <c r="T65" s="80">
        <f t="shared" si="17"/>
        <v>0</v>
      </c>
      <c r="U65" s="81">
        <f t="shared" si="18"/>
        <v>-1.1000000000000001E-3</v>
      </c>
      <c r="V65" s="83">
        <f t="shared" si="19"/>
        <v>-4.4000000000000011E-3</v>
      </c>
    </row>
    <row r="66" spans="1:22">
      <c r="A66" s="75">
        <v>55</v>
      </c>
      <c r="B66" s="113" t="s">
        <v>104</v>
      </c>
      <c r="C66" s="114" t="s">
        <v>105</v>
      </c>
      <c r="D66" s="2">
        <v>334091942.87</v>
      </c>
      <c r="E66" s="3">
        <f t="shared" si="20"/>
        <v>1.1599319344581024E-3</v>
      </c>
      <c r="F66" s="14">
        <v>1.4354</v>
      </c>
      <c r="G66" s="14">
        <v>1.4354</v>
      </c>
      <c r="H66" s="60">
        <v>311</v>
      </c>
      <c r="I66" s="5">
        <v>-4.0000000000000001E-3</v>
      </c>
      <c r="J66" s="5">
        <v>7.2599999999999998E-2</v>
      </c>
      <c r="K66" s="2">
        <v>331452649.22000003</v>
      </c>
      <c r="L66" s="3">
        <f t="shared" si="14"/>
        <v>1.154321700608234E-3</v>
      </c>
      <c r="M66" s="14">
        <v>1.4226000000000001</v>
      </c>
      <c r="N66" s="14">
        <v>1.4226000000000001</v>
      </c>
      <c r="O66" s="60">
        <v>312</v>
      </c>
      <c r="P66" s="5">
        <v>-8.91737494774969E-3</v>
      </c>
      <c r="Q66" s="5">
        <v>6.3432151111803781E-2</v>
      </c>
      <c r="R66" s="80">
        <f t="shared" si="15"/>
        <v>-7.8999021267237308E-3</v>
      </c>
      <c r="S66" s="80">
        <f t="shared" si="16"/>
        <v>-8.9173749477497021E-3</v>
      </c>
      <c r="T66" s="80">
        <f t="shared" si="17"/>
        <v>3.2154340836012861E-3</v>
      </c>
      <c r="U66" s="81">
        <f t="shared" si="18"/>
        <v>-4.9173749477496899E-3</v>
      </c>
      <c r="V66" s="83">
        <f t="shared" si="19"/>
        <v>-9.1678488881962172E-3</v>
      </c>
    </row>
    <row r="67" spans="1:22">
      <c r="A67" s="75">
        <v>56</v>
      </c>
      <c r="B67" s="113" t="s">
        <v>106</v>
      </c>
      <c r="C67" s="114" t="s">
        <v>25</v>
      </c>
      <c r="D67" s="2">
        <v>74175665.569999993</v>
      </c>
      <c r="E67" s="3">
        <f t="shared" si="20"/>
        <v>2.5753007544933901E-4</v>
      </c>
      <c r="F67" s="14">
        <v>113.0003</v>
      </c>
      <c r="G67" s="14">
        <v>113.0003</v>
      </c>
      <c r="H67" s="60">
        <v>89</v>
      </c>
      <c r="I67" s="5">
        <v>2.6499999999999999E-4</v>
      </c>
      <c r="J67" s="5">
        <v>0.1216</v>
      </c>
      <c r="K67" s="2">
        <v>74341610.459999993</v>
      </c>
      <c r="L67" s="3">
        <f t="shared" si="14"/>
        <v>2.5890314774700555E-4</v>
      </c>
      <c r="M67" s="14">
        <v>113.2231</v>
      </c>
      <c r="N67" s="14">
        <v>113.2231</v>
      </c>
      <c r="O67" s="60">
        <v>90</v>
      </c>
      <c r="P67" s="5">
        <v>3.2600000000000001E-4</v>
      </c>
      <c r="Q67" s="5">
        <v>0.12859999999999999</v>
      </c>
      <c r="R67" s="80">
        <f t="shared" si="15"/>
        <v>2.2371877451291284E-3</v>
      </c>
      <c r="S67" s="80">
        <f t="shared" si="16"/>
        <v>1.971676181390727E-3</v>
      </c>
      <c r="T67" s="80">
        <f t="shared" si="17"/>
        <v>1.1235955056179775E-2</v>
      </c>
      <c r="U67" s="81">
        <f t="shared" si="18"/>
        <v>6.1000000000000019E-5</v>
      </c>
      <c r="V67" s="83">
        <f t="shared" si="19"/>
        <v>6.9999999999999923E-3</v>
      </c>
    </row>
    <row r="68" spans="1:22">
      <c r="A68" s="75">
        <v>57</v>
      </c>
      <c r="B68" s="113" t="s">
        <v>107</v>
      </c>
      <c r="C68" s="114" t="s">
        <v>108</v>
      </c>
      <c r="D68" s="2">
        <v>1136983558.0800002</v>
      </c>
      <c r="E68" s="3">
        <f t="shared" si="20"/>
        <v>3.9474868104914587E-3</v>
      </c>
      <c r="F68" s="7">
        <v>1000</v>
      </c>
      <c r="G68" s="7">
        <v>1000</v>
      </c>
      <c r="H68" s="60">
        <v>272</v>
      </c>
      <c r="I68" s="5">
        <v>1.2726519377679999E-4</v>
      </c>
      <c r="J68" s="5">
        <v>0.14680000000000001</v>
      </c>
      <c r="K68" s="2">
        <v>1138251622.1400001</v>
      </c>
      <c r="L68" s="3">
        <f t="shared" si="14"/>
        <v>3.964091254906898E-3</v>
      </c>
      <c r="M68" s="7">
        <v>1000</v>
      </c>
      <c r="N68" s="7">
        <v>1000</v>
      </c>
      <c r="O68" s="60">
        <v>276</v>
      </c>
      <c r="P68" s="5">
        <v>1.1152879485270001E-5</v>
      </c>
      <c r="Q68" s="5">
        <v>0.14480000000000001</v>
      </c>
      <c r="R68" s="80">
        <f t="shared" si="15"/>
        <v>1.1152879485269737E-3</v>
      </c>
      <c r="S68" s="80">
        <f t="shared" si="16"/>
        <v>0</v>
      </c>
      <c r="T68" s="80">
        <f t="shared" si="17"/>
        <v>1.4705882352941176E-2</v>
      </c>
      <c r="U68" s="81">
        <f t="shared" si="18"/>
        <v>-1.1611231429152999E-4</v>
      </c>
      <c r="V68" s="83">
        <f t="shared" si="19"/>
        <v>-2.0000000000000018E-3</v>
      </c>
    </row>
    <row r="69" spans="1:22">
      <c r="A69" s="75">
        <v>58</v>
      </c>
      <c r="B69" s="113" t="s">
        <v>109</v>
      </c>
      <c r="C69" s="114" t="s">
        <v>64</v>
      </c>
      <c r="D69" s="2">
        <v>219996732.08000001</v>
      </c>
      <c r="E69" s="3">
        <f t="shared" si="20"/>
        <v>7.6380541483249713E-4</v>
      </c>
      <c r="F69" s="7">
        <v>1069.78</v>
      </c>
      <c r="G69" s="7">
        <v>1071.44</v>
      </c>
      <c r="H69" s="60">
        <v>78</v>
      </c>
      <c r="I69" s="5">
        <v>-4.0000000000000002E-4</v>
      </c>
      <c r="J69" s="5">
        <v>1.14E-2</v>
      </c>
      <c r="K69" s="2">
        <v>217236651.41999999</v>
      </c>
      <c r="L69" s="3">
        <f t="shared" si="14"/>
        <v>7.5655144555846095E-4</v>
      </c>
      <c r="M69" s="7">
        <v>1067.69</v>
      </c>
      <c r="N69" s="7">
        <v>1069.99</v>
      </c>
      <c r="O69" s="60">
        <v>78</v>
      </c>
      <c r="P69" s="5">
        <v>-1.6999999999999999E-3</v>
      </c>
      <c r="Q69" s="5">
        <v>9.7000000000000003E-3</v>
      </c>
      <c r="R69" s="80">
        <f t="shared" si="15"/>
        <v>-1.2546007542495428E-2</v>
      </c>
      <c r="S69" s="80">
        <f t="shared" si="16"/>
        <v>-1.3533188979317978E-3</v>
      </c>
      <c r="T69" s="80">
        <f t="shared" si="17"/>
        <v>0</v>
      </c>
      <c r="U69" s="81">
        <f t="shared" si="18"/>
        <v>-1.2999999999999999E-3</v>
      </c>
      <c r="V69" s="83">
        <f t="shared" si="19"/>
        <v>-1.7000000000000001E-3</v>
      </c>
    </row>
    <row r="70" spans="1:22">
      <c r="A70" s="75">
        <v>59</v>
      </c>
      <c r="B70" s="113" t="s">
        <v>110</v>
      </c>
      <c r="C70" s="114" t="s">
        <v>67</v>
      </c>
      <c r="D70" s="2">
        <v>758352905.90999997</v>
      </c>
      <c r="E70" s="3">
        <f t="shared" si="20"/>
        <v>2.6329211821082121E-3</v>
      </c>
      <c r="F70" s="15">
        <v>1.1136999999999999</v>
      </c>
      <c r="G70" s="15">
        <v>1.1136999999999999</v>
      </c>
      <c r="H70" s="60">
        <v>35</v>
      </c>
      <c r="I70" s="5">
        <v>9.8867517526503583E-4</v>
      </c>
      <c r="J70" s="5">
        <v>2.7861492458827852E-2</v>
      </c>
      <c r="K70" s="2">
        <v>758618289.29999995</v>
      </c>
      <c r="L70" s="3">
        <f t="shared" si="14"/>
        <v>2.6419748216767176E-3</v>
      </c>
      <c r="M70" s="15">
        <v>1.1137999999999999</v>
      </c>
      <c r="N70" s="15">
        <v>1.1137999999999999</v>
      </c>
      <c r="O70" s="60">
        <v>35</v>
      </c>
      <c r="P70" s="5">
        <v>8.9790787465196192E-5</v>
      </c>
      <c r="Q70" s="5">
        <v>2.8201849947888658E-2</v>
      </c>
      <c r="R70" s="80">
        <f t="shared" si="15"/>
        <v>3.4994708655007242E-4</v>
      </c>
      <c r="S70" s="80">
        <f t="shared" si="16"/>
        <v>8.9790787465196192E-5</v>
      </c>
      <c r="T70" s="80">
        <f t="shared" si="17"/>
        <v>0</v>
      </c>
      <c r="U70" s="81">
        <f t="shared" si="18"/>
        <v>-8.9888438779983963E-4</v>
      </c>
      <c r="V70" s="83">
        <f t="shared" si="19"/>
        <v>3.4035748906080521E-4</v>
      </c>
    </row>
    <row r="71" spans="1:22">
      <c r="A71" s="75">
        <v>60</v>
      </c>
      <c r="B71" s="113" t="s">
        <v>111</v>
      </c>
      <c r="C71" s="114" t="s">
        <v>27</v>
      </c>
      <c r="D71" s="2">
        <v>65323820882.150002</v>
      </c>
      <c r="E71" s="3">
        <f t="shared" si="20"/>
        <v>0.2267974057414204</v>
      </c>
      <c r="F71" s="15">
        <v>1556.6</v>
      </c>
      <c r="G71" s="2">
        <v>1556.6</v>
      </c>
      <c r="H71" s="60">
        <v>2453</v>
      </c>
      <c r="I71" s="5">
        <v>2.2000000000000001E-3</v>
      </c>
      <c r="J71" s="5">
        <v>0.11899999999999999</v>
      </c>
      <c r="K71" s="2">
        <v>65201840998.709999</v>
      </c>
      <c r="L71" s="3">
        <f t="shared" si="14"/>
        <v>0.22707285689686119</v>
      </c>
      <c r="M71" s="15">
        <v>1560.2</v>
      </c>
      <c r="N71" s="2">
        <v>1560.2</v>
      </c>
      <c r="O71" s="60">
        <v>2459</v>
      </c>
      <c r="P71" s="5">
        <v>2.3E-3</v>
      </c>
      <c r="Q71" s="5">
        <v>0.1187</v>
      </c>
      <c r="R71" s="80">
        <f t="shared" si="15"/>
        <v>-1.8673109103655315E-3</v>
      </c>
      <c r="S71" s="80">
        <f t="shared" si="16"/>
        <v>2.3127328793525227E-3</v>
      </c>
      <c r="T71" s="80">
        <f t="shared" si="17"/>
        <v>2.4459845087647777E-3</v>
      </c>
      <c r="U71" s="81">
        <f t="shared" si="18"/>
        <v>9.9999999999999829E-5</v>
      </c>
      <c r="V71" s="83">
        <f t="shared" si="19"/>
        <v>-2.9999999999999472E-4</v>
      </c>
    </row>
    <row r="72" spans="1:22">
      <c r="A72" s="75">
        <v>61</v>
      </c>
      <c r="B72" s="113" t="s">
        <v>112</v>
      </c>
      <c r="C72" s="114" t="s">
        <v>72</v>
      </c>
      <c r="D72" s="2">
        <v>25220821.539999999</v>
      </c>
      <c r="E72" s="3">
        <f t="shared" si="20"/>
        <v>8.7564028231887359E-5</v>
      </c>
      <c r="F72" s="2">
        <v>0.76829999999999998</v>
      </c>
      <c r="G72" s="2">
        <v>0.76829999999999998</v>
      </c>
      <c r="H72" s="60">
        <v>747</v>
      </c>
      <c r="I72" s="5">
        <v>2.0999999999999999E-3</v>
      </c>
      <c r="J72" s="5">
        <v>5.1000000000000004E-3</v>
      </c>
      <c r="K72" s="2">
        <v>25267586.43</v>
      </c>
      <c r="L72" s="3">
        <f t="shared" si="14"/>
        <v>8.7997255133669892E-5</v>
      </c>
      <c r="M72" s="2">
        <v>0.76970000000000005</v>
      </c>
      <c r="N72" s="2">
        <v>0.76970000000000005</v>
      </c>
      <c r="O72" s="60">
        <v>747</v>
      </c>
      <c r="P72" s="5">
        <v>1.8E-3</v>
      </c>
      <c r="Q72" s="5">
        <v>6.8999999999999999E-3</v>
      </c>
      <c r="R72" s="80">
        <f t="shared" si="15"/>
        <v>1.854217552978276E-3</v>
      </c>
      <c r="S72" s="80">
        <f t="shared" si="16"/>
        <v>1.8222048678902354E-3</v>
      </c>
      <c r="T72" s="80">
        <f t="shared" si="17"/>
        <v>0</v>
      </c>
      <c r="U72" s="81">
        <f t="shared" si="18"/>
        <v>-2.9999999999999992E-4</v>
      </c>
      <c r="V72" s="83">
        <f t="shared" si="19"/>
        <v>1.7999999999999995E-3</v>
      </c>
    </row>
    <row r="73" spans="1:22">
      <c r="A73" s="75">
        <v>62</v>
      </c>
      <c r="B73" s="113" t="s">
        <v>251</v>
      </c>
      <c r="C73" s="114" t="s">
        <v>32</v>
      </c>
      <c r="D73" s="2">
        <v>8855725759.1993446</v>
      </c>
      <c r="E73" s="3">
        <f t="shared" si="20"/>
        <v>3.0746144377673729E-2</v>
      </c>
      <c r="F73" s="14">
        <v>1</v>
      </c>
      <c r="G73" s="14">
        <v>1</v>
      </c>
      <c r="H73" s="60">
        <v>5526</v>
      </c>
      <c r="I73" s="5">
        <v>0.06</v>
      </c>
      <c r="J73" s="5">
        <v>0.06</v>
      </c>
      <c r="K73" s="2">
        <v>8794401298.1613998</v>
      </c>
      <c r="L73" s="3">
        <f t="shared" si="14"/>
        <v>3.0627506783289807E-2</v>
      </c>
      <c r="M73" s="14">
        <v>1</v>
      </c>
      <c r="N73" s="14">
        <v>1</v>
      </c>
      <c r="O73" s="60">
        <v>5528</v>
      </c>
      <c r="P73" s="5">
        <v>0.06</v>
      </c>
      <c r="Q73" s="5">
        <v>0.06</v>
      </c>
      <c r="R73" s="80">
        <f>((K73-D73)/D73)</f>
        <v>-6.924837410896654E-3</v>
      </c>
      <c r="S73" s="80">
        <f>((N73-G73)/G73)</f>
        <v>0</v>
      </c>
      <c r="T73" s="80">
        <f>((O73-H73)/H73)</f>
        <v>3.6192544335866811E-4</v>
      </c>
      <c r="U73" s="81">
        <f>P73-I73</f>
        <v>0</v>
      </c>
      <c r="V73" s="83">
        <f>Q73-J73</f>
        <v>0</v>
      </c>
    </row>
    <row r="74" spans="1:22">
      <c r="A74" s="75">
        <v>63</v>
      </c>
      <c r="B74" s="113" t="s">
        <v>113</v>
      </c>
      <c r="C74" s="114" t="s">
        <v>114</v>
      </c>
      <c r="D74" s="2">
        <v>1065410039.3099999</v>
      </c>
      <c r="E74" s="3">
        <f t="shared" si="20"/>
        <v>3.698991113858738E-3</v>
      </c>
      <c r="F74" s="2">
        <v>216.055466</v>
      </c>
      <c r="G74" s="2">
        <v>218.06644</v>
      </c>
      <c r="H74" s="60">
        <v>488</v>
      </c>
      <c r="I74" s="5">
        <v>8.0000000000000004E-4</v>
      </c>
      <c r="J74" s="5">
        <v>4.4000000000000003E-3</v>
      </c>
      <c r="K74" s="2">
        <v>1087919566.5599999</v>
      </c>
      <c r="L74" s="3">
        <f t="shared" si="14"/>
        <v>3.7888041237618074E-3</v>
      </c>
      <c r="M74" s="2">
        <v>216.35178099999999</v>
      </c>
      <c r="N74" s="2">
        <v>218.40220199999999</v>
      </c>
      <c r="O74" s="60">
        <v>488</v>
      </c>
      <c r="P74" s="5">
        <v>5.0000000000000001E-4</v>
      </c>
      <c r="Q74" s="5">
        <v>5.8999999999999999E-3</v>
      </c>
      <c r="R74" s="80">
        <f t="shared" si="15"/>
        <v>2.1127571938948524E-2</v>
      </c>
      <c r="S74" s="80">
        <f t="shared" si="16"/>
        <v>1.5397233980615648E-3</v>
      </c>
      <c r="T74" s="80">
        <f t="shared" si="17"/>
        <v>0</v>
      </c>
      <c r="U74" s="81">
        <f t="shared" si="18"/>
        <v>-3.0000000000000003E-4</v>
      </c>
      <c r="V74" s="83">
        <f t="shared" si="19"/>
        <v>1.4999999999999996E-3</v>
      </c>
    </row>
    <row r="75" spans="1:22">
      <c r="A75" s="75">
        <v>64</v>
      </c>
      <c r="B75" s="113" t="s">
        <v>115</v>
      </c>
      <c r="C75" s="114" t="s">
        <v>34</v>
      </c>
      <c r="D75" s="2">
        <v>1222544369</v>
      </c>
      <c r="E75" s="3">
        <f t="shared" si="20"/>
        <v>4.2445449079471544E-3</v>
      </c>
      <c r="F75" s="14">
        <v>3.59</v>
      </c>
      <c r="G75" s="14">
        <v>3.59</v>
      </c>
      <c r="H75" s="61">
        <v>780</v>
      </c>
      <c r="I75" s="12">
        <v>1.1000000000000001E-3</v>
      </c>
      <c r="J75" s="12">
        <v>2.7699999999999999E-2</v>
      </c>
      <c r="K75" s="2">
        <v>1223970069.72</v>
      </c>
      <c r="L75" s="3">
        <f t="shared" si="14"/>
        <v>4.2626155370838314E-3</v>
      </c>
      <c r="M75" s="14">
        <v>3.59</v>
      </c>
      <c r="N75" s="14">
        <v>3.59</v>
      </c>
      <c r="O75" s="61">
        <v>780</v>
      </c>
      <c r="P75" s="12">
        <v>1.1000000000000001E-3</v>
      </c>
      <c r="Q75" s="12">
        <v>3.5499999999999997E-2</v>
      </c>
      <c r="R75" s="80">
        <f t="shared" si="15"/>
        <v>1.1661750331124618E-3</v>
      </c>
      <c r="S75" s="80">
        <f t="shared" si="16"/>
        <v>0</v>
      </c>
      <c r="T75" s="80">
        <f t="shared" si="17"/>
        <v>0</v>
      </c>
      <c r="U75" s="81">
        <f t="shared" si="18"/>
        <v>0</v>
      </c>
      <c r="V75" s="83">
        <f t="shared" si="19"/>
        <v>7.7999999999999979E-3</v>
      </c>
    </row>
    <row r="76" spans="1:22">
      <c r="A76" s="75">
        <v>65</v>
      </c>
      <c r="B76" s="114" t="s">
        <v>116</v>
      </c>
      <c r="C76" s="136" t="s">
        <v>40</v>
      </c>
      <c r="D76" s="2">
        <v>1632689386.2</v>
      </c>
      <c r="E76" s="3">
        <f t="shared" si="20"/>
        <v>5.6685250827527029E-3</v>
      </c>
      <c r="F76" s="14">
        <v>99.07</v>
      </c>
      <c r="G76" s="14">
        <v>99.07</v>
      </c>
      <c r="H76" s="60">
        <v>124</v>
      </c>
      <c r="I76" s="5">
        <v>1.9E-3</v>
      </c>
      <c r="J76" s="5">
        <v>5.7000000000000002E-3</v>
      </c>
      <c r="K76" s="2">
        <v>1634433907.6500001</v>
      </c>
      <c r="L76" s="3">
        <f t="shared" si="14"/>
        <v>5.6921027249296373E-3</v>
      </c>
      <c r="M76" s="14">
        <v>99.24</v>
      </c>
      <c r="N76" s="14">
        <v>99.24</v>
      </c>
      <c r="O76" s="60">
        <v>180</v>
      </c>
      <c r="P76" s="5">
        <v>1.9E-3</v>
      </c>
      <c r="Q76" s="5">
        <v>6.4999999999999997E-3</v>
      </c>
      <c r="R76" s="80">
        <f t="shared" si="15"/>
        <v>1.068495615115335E-3</v>
      </c>
      <c r="S76" s="80">
        <f t="shared" si="16"/>
        <v>1.7159584132431787E-3</v>
      </c>
      <c r="T76" s="80">
        <f t="shared" si="17"/>
        <v>0.45161290322580644</v>
      </c>
      <c r="U76" s="81">
        <f t="shared" si="18"/>
        <v>0</v>
      </c>
      <c r="V76" s="83">
        <f t="shared" si="19"/>
        <v>7.999999999999995E-4</v>
      </c>
    </row>
    <row r="77" spans="1:22">
      <c r="A77" s="75">
        <v>66</v>
      </c>
      <c r="B77" s="113" t="s">
        <v>117</v>
      </c>
      <c r="C77" s="114" t="s">
        <v>17</v>
      </c>
      <c r="D77" s="2">
        <v>1220701393.3699999</v>
      </c>
      <c r="E77" s="3">
        <f t="shared" si="20"/>
        <v>4.2381462912391274E-3</v>
      </c>
      <c r="F77" s="14">
        <v>328.56299999999999</v>
      </c>
      <c r="G77" s="14">
        <v>328.56299999999999</v>
      </c>
      <c r="H77" s="60">
        <v>103</v>
      </c>
      <c r="I77" s="5">
        <v>2.0999999999999999E-3</v>
      </c>
      <c r="J77" s="5">
        <v>5.7999999999999996E-3</v>
      </c>
      <c r="K77" s="2">
        <v>1232352402.75</v>
      </c>
      <c r="L77" s="3">
        <f t="shared" si="14"/>
        <v>4.2918079690677791E-3</v>
      </c>
      <c r="M77" s="14">
        <v>331.67910000000001</v>
      </c>
      <c r="N77" s="14">
        <v>331.67910000000001</v>
      </c>
      <c r="O77" s="60">
        <v>103</v>
      </c>
      <c r="P77" s="5">
        <v>9.4999999999999998E-3</v>
      </c>
      <c r="Q77" s="5">
        <v>1.49E-2</v>
      </c>
      <c r="R77" s="80">
        <f t="shared" si="15"/>
        <v>9.5445204234879105E-3</v>
      </c>
      <c r="S77" s="80">
        <f t="shared" si="16"/>
        <v>9.4840258945773481E-3</v>
      </c>
      <c r="T77" s="80">
        <f t="shared" si="17"/>
        <v>0</v>
      </c>
      <c r="U77" s="81">
        <f t="shared" si="18"/>
        <v>7.4000000000000003E-3</v>
      </c>
      <c r="V77" s="83">
        <f t="shared" si="19"/>
        <v>9.1000000000000004E-3</v>
      </c>
    </row>
    <row r="78" spans="1:22">
      <c r="A78" s="75">
        <v>67</v>
      </c>
      <c r="B78" s="113" t="s">
        <v>252</v>
      </c>
      <c r="C78" s="114" t="s">
        <v>78</v>
      </c>
      <c r="D78" s="9">
        <v>1325815535.5599999</v>
      </c>
      <c r="E78" s="3">
        <f>(D78/$K$55)</f>
        <v>1.3960117619036462E-3</v>
      </c>
      <c r="F78" s="8">
        <v>100.88</v>
      </c>
      <c r="G78" s="8">
        <v>100.88</v>
      </c>
      <c r="H78" s="60">
        <v>243</v>
      </c>
      <c r="I78" s="5">
        <v>2.5000000000000001E-3</v>
      </c>
      <c r="J78" s="5">
        <v>6.4000000000000003E-3</v>
      </c>
      <c r="K78" s="9">
        <v>1382062482.1500001</v>
      </c>
      <c r="L78" s="3">
        <f>(K78/$K$55)</f>
        <v>1.4552367422306723E-3</v>
      </c>
      <c r="M78" s="14">
        <v>101.13</v>
      </c>
      <c r="N78" s="14">
        <v>101.13</v>
      </c>
      <c r="O78" s="60">
        <v>267</v>
      </c>
      <c r="P78" s="5">
        <v>2.5000000000000001E-3</v>
      </c>
      <c r="Q78" s="5">
        <v>8.8999999999999999E-3</v>
      </c>
      <c r="R78" s="80">
        <f t="shared" si="15"/>
        <v>4.2424413563869189E-2</v>
      </c>
      <c r="S78" s="80">
        <f t="shared" si="16"/>
        <v>2.4781919111816022E-3</v>
      </c>
      <c r="T78" s="80">
        <f t="shared" si="17"/>
        <v>9.8765432098765427E-2</v>
      </c>
      <c r="U78" s="81">
        <f t="shared" si="18"/>
        <v>0</v>
      </c>
      <c r="V78" s="83">
        <f t="shared" si="19"/>
        <v>2.4999999999999996E-3</v>
      </c>
    </row>
    <row r="79" spans="1:22">
      <c r="A79" s="75">
        <v>68</v>
      </c>
      <c r="B79" s="113" t="s">
        <v>118</v>
      </c>
      <c r="C79" s="114" t="s">
        <v>38</v>
      </c>
      <c r="D79" s="2">
        <v>55926069.329999998</v>
      </c>
      <c r="E79" s="3">
        <f t="shared" ref="E79:E89" si="21">(D79/$D$90)</f>
        <v>1.941694050665175E-4</v>
      </c>
      <c r="F79" s="14">
        <v>12.201504</v>
      </c>
      <c r="G79" s="2">
        <v>12.448191</v>
      </c>
      <c r="H79" s="60">
        <v>55</v>
      </c>
      <c r="I79" s="5">
        <v>4.7899999999999998E-2</v>
      </c>
      <c r="J79" s="5">
        <v>2.1499999999999998E-2</v>
      </c>
      <c r="K79" s="2">
        <v>56010776.060000002</v>
      </c>
      <c r="L79" s="3">
        <f t="shared" ref="L79:L89" si="22">(K79/$K$90)</f>
        <v>1.9506392368899756E-4</v>
      </c>
      <c r="M79" s="14">
        <v>12.217387</v>
      </c>
      <c r="N79" s="2">
        <v>12.470675</v>
      </c>
      <c r="O79" s="60">
        <v>55</v>
      </c>
      <c r="P79" s="5">
        <v>2.3999999999999998E-3</v>
      </c>
      <c r="Q79" s="5">
        <v>7.7799999999999994E-2</v>
      </c>
      <c r="R79" s="80">
        <f t="shared" si="15"/>
        <v>1.5146197652507931E-3</v>
      </c>
      <c r="S79" s="80">
        <f t="shared" si="16"/>
        <v>1.8062062190402118E-3</v>
      </c>
      <c r="T79" s="80">
        <f t="shared" si="17"/>
        <v>0</v>
      </c>
      <c r="U79" s="81">
        <f t="shared" si="18"/>
        <v>-4.5499999999999999E-2</v>
      </c>
      <c r="V79" s="83">
        <f t="shared" si="19"/>
        <v>5.6299999999999996E-2</v>
      </c>
    </row>
    <row r="80" spans="1:22">
      <c r="A80" s="75">
        <v>69</v>
      </c>
      <c r="B80" s="113" t="s">
        <v>236</v>
      </c>
      <c r="C80" s="114" t="s">
        <v>237</v>
      </c>
      <c r="D80" s="2">
        <v>204506024.87</v>
      </c>
      <c r="E80" s="3">
        <f t="shared" si="21"/>
        <v>7.1002331573167849E-4</v>
      </c>
      <c r="F80" s="2">
        <v>114.54</v>
      </c>
      <c r="G80" s="2">
        <v>114.54</v>
      </c>
      <c r="H80" s="60">
        <v>74</v>
      </c>
      <c r="I80" s="5">
        <v>0.26150000000000001</v>
      </c>
      <c r="J80" s="5">
        <v>0.5867</v>
      </c>
      <c r="K80" s="2">
        <v>205713064.96000001</v>
      </c>
      <c r="L80" s="3">
        <f t="shared" si="22"/>
        <v>7.1641923979417967E-4</v>
      </c>
      <c r="M80" s="2">
        <v>114.86</v>
      </c>
      <c r="N80" s="2">
        <v>114.86</v>
      </c>
      <c r="O80" s="60">
        <v>75</v>
      </c>
      <c r="P80" s="5">
        <v>0.16980000000000001</v>
      </c>
      <c r="Q80" s="5">
        <v>0.45729999999999998</v>
      </c>
      <c r="R80" s="80">
        <f>((K80-D80)/D80)</f>
        <v>5.9022226399798854E-3</v>
      </c>
      <c r="S80" s="80">
        <f>((N80-G80)/G80)</f>
        <v>2.7937838309760187E-3</v>
      </c>
      <c r="T80" s="80">
        <f>((O80-H80)/H80)</f>
        <v>1.3513513513513514E-2</v>
      </c>
      <c r="U80" s="81">
        <f t="shared" si="18"/>
        <v>-9.1700000000000004E-2</v>
      </c>
      <c r="V80" s="83">
        <f t="shared" si="19"/>
        <v>-0.12940000000000002</v>
      </c>
    </row>
    <row r="81" spans="1:28">
      <c r="A81" s="75">
        <v>70</v>
      </c>
      <c r="B81" s="113" t="s">
        <v>119</v>
      </c>
      <c r="C81" s="114" t="s">
        <v>120</v>
      </c>
      <c r="D81" s="2">
        <v>6808249497.8500004</v>
      </c>
      <c r="E81" s="3">
        <f t="shared" si="21"/>
        <v>2.3637523079649465E-2</v>
      </c>
      <c r="F81" s="14">
        <v>1.01</v>
      </c>
      <c r="G81" s="14">
        <v>1.01</v>
      </c>
      <c r="H81" s="60">
        <v>3797</v>
      </c>
      <c r="I81" s="5">
        <v>0</v>
      </c>
      <c r="J81" s="5">
        <v>0.1104</v>
      </c>
      <c r="K81" s="2">
        <v>6900977318.1000004</v>
      </c>
      <c r="L81" s="3">
        <f t="shared" si="22"/>
        <v>2.4033441556234731E-2</v>
      </c>
      <c r="M81" s="14">
        <v>1.01</v>
      </c>
      <c r="N81" s="14">
        <v>1.01</v>
      </c>
      <c r="O81" s="60">
        <v>3842</v>
      </c>
      <c r="P81" s="5">
        <v>0</v>
      </c>
      <c r="Q81" s="5">
        <v>0.1101</v>
      </c>
      <c r="R81" s="80">
        <f t="shared" si="15"/>
        <v>1.3619920991333061E-2</v>
      </c>
      <c r="S81" s="80">
        <f t="shared" si="16"/>
        <v>0</v>
      </c>
      <c r="T81" s="80">
        <f t="shared" si="17"/>
        <v>1.18514616802739E-2</v>
      </c>
      <c r="U81" s="81">
        <f t="shared" si="18"/>
        <v>0</v>
      </c>
      <c r="V81" s="83">
        <f t="shared" si="19"/>
        <v>-2.9999999999999472E-4</v>
      </c>
    </row>
    <row r="82" spans="1:28" ht="14.25" customHeight="1">
      <c r="A82" s="75">
        <v>71</v>
      </c>
      <c r="B82" s="113" t="s">
        <v>121</v>
      </c>
      <c r="C82" s="114" t="s">
        <v>42</v>
      </c>
      <c r="D82" s="2">
        <v>22415707378.330002</v>
      </c>
      <c r="E82" s="3">
        <f t="shared" si="21"/>
        <v>7.7824968175632794E-2</v>
      </c>
      <c r="F82" s="2">
        <v>5035.3500000000004</v>
      </c>
      <c r="G82" s="2">
        <v>5035.3500000000004</v>
      </c>
      <c r="H82" s="60">
        <v>1136</v>
      </c>
      <c r="I82" s="5">
        <v>1.9E-3</v>
      </c>
      <c r="J82" s="5">
        <v>4.7000000000000002E-3</v>
      </c>
      <c r="K82" s="2">
        <v>22449601876.049999</v>
      </c>
      <c r="L82" s="3">
        <f t="shared" si="22"/>
        <v>7.8183302129347307E-2</v>
      </c>
      <c r="M82" s="2">
        <v>5045.67</v>
      </c>
      <c r="N82" s="2">
        <v>5045.67</v>
      </c>
      <c r="O82" s="60">
        <v>1137</v>
      </c>
      <c r="P82" s="5">
        <v>2E-3</v>
      </c>
      <c r="Q82" s="5">
        <v>7.1000000000000004E-3</v>
      </c>
      <c r="R82" s="80">
        <f t="shared" si="15"/>
        <v>1.5120869106617766E-3</v>
      </c>
      <c r="S82" s="80">
        <f t="shared" si="16"/>
        <v>2.0495099645505693E-3</v>
      </c>
      <c r="T82" s="80">
        <f t="shared" si="17"/>
        <v>8.8028169014084509E-4</v>
      </c>
      <c r="U82" s="81">
        <f t="shared" si="18"/>
        <v>1.0000000000000005E-4</v>
      </c>
      <c r="V82" s="83">
        <f t="shared" si="19"/>
        <v>2.4000000000000002E-3</v>
      </c>
    </row>
    <row r="83" spans="1:28">
      <c r="A83" s="75">
        <v>72</v>
      </c>
      <c r="B83" s="113" t="s">
        <v>122</v>
      </c>
      <c r="C83" s="114" t="s">
        <v>42</v>
      </c>
      <c r="D83" s="2">
        <v>35844537311.540001</v>
      </c>
      <c r="E83" s="3">
        <f t="shared" si="21"/>
        <v>0.12444844717404191</v>
      </c>
      <c r="F83" s="14">
        <v>256.33999999999997</v>
      </c>
      <c r="G83" s="14">
        <v>256.33999999999997</v>
      </c>
      <c r="H83" s="60">
        <v>11788</v>
      </c>
      <c r="I83" s="5">
        <v>8.9999999999999998E-4</v>
      </c>
      <c r="J83" s="5">
        <v>2.0999999999999999E-3</v>
      </c>
      <c r="K83" s="2">
        <v>35768722372.330002</v>
      </c>
      <c r="L83" s="3">
        <f t="shared" si="22"/>
        <v>0.12456866021308113</v>
      </c>
      <c r="M83" s="14">
        <v>256.67</v>
      </c>
      <c r="N83" s="14">
        <v>256.67</v>
      </c>
      <c r="O83" s="60">
        <v>11791</v>
      </c>
      <c r="P83" s="5">
        <v>1.2999999999999999E-3</v>
      </c>
      <c r="Q83" s="5">
        <v>3.3999999999999998E-3</v>
      </c>
      <c r="R83" s="80">
        <f t="shared" si="15"/>
        <v>-2.1151044174753729E-3</v>
      </c>
      <c r="S83" s="80">
        <f t="shared" si="16"/>
        <v>1.2873527346494538E-3</v>
      </c>
      <c r="T83" s="80">
        <f t="shared" si="17"/>
        <v>2.5449609772650153E-4</v>
      </c>
      <c r="U83" s="81">
        <f t="shared" si="18"/>
        <v>3.9999999999999996E-4</v>
      </c>
      <c r="V83" s="83">
        <f t="shared" si="19"/>
        <v>1.2999999999999999E-3</v>
      </c>
    </row>
    <row r="84" spans="1:28" ht="12.75" customHeight="1">
      <c r="A84" s="75">
        <v>73</v>
      </c>
      <c r="B84" s="113" t="s">
        <v>123</v>
      </c>
      <c r="C84" s="114" t="s">
        <v>42</v>
      </c>
      <c r="D84" s="2">
        <v>326706518.73000002</v>
      </c>
      <c r="E84" s="3">
        <f t="shared" si="21"/>
        <v>1.1342905219896876E-3</v>
      </c>
      <c r="F84" s="2">
        <v>5776.58</v>
      </c>
      <c r="G84" s="7">
        <v>5807.74</v>
      </c>
      <c r="H84" s="60">
        <v>1132</v>
      </c>
      <c r="I84" s="5">
        <v>2.8000000000000001E-2</v>
      </c>
      <c r="J84" s="5">
        <v>9.3899999999999997E-2</v>
      </c>
      <c r="K84" s="2">
        <v>326630695.13999999</v>
      </c>
      <c r="L84" s="3">
        <f t="shared" si="22"/>
        <v>1.1375286948893809E-3</v>
      </c>
      <c r="M84" s="2">
        <v>5775.35</v>
      </c>
      <c r="N84" s="7">
        <v>5806.31</v>
      </c>
      <c r="O84" s="60">
        <v>1132</v>
      </c>
      <c r="P84" s="5">
        <v>-2.0000000000000001E-4</v>
      </c>
      <c r="Q84" s="5">
        <v>9.3700000000000006E-2</v>
      </c>
      <c r="R84" s="80">
        <f t="shared" si="15"/>
        <v>-2.3208471717913975E-4</v>
      </c>
      <c r="S84" s="80">
        <f t="shared" si="16"/>
        <v>-2.4622314359791958E-4</v>
      </c>
      <c r="T84" s="80">
        <f t="shared" si="17"/>
        <v>0</v>
      </c>
      <c r="U84" s="81">
        <f t="shared" si="18"/>
        <v>-2.8199999999999999E-2</v>
      </c>
      <c r="V84" s="83">
        <f t="shared" si="19"/>
        <v>-1.9999999999999185E-4</v>
      </c>
    </row>
    <row r="85" spans="1:28" ht="12.75" customHeight="1">
      <c r="A85" s="75">
        <v>74</v>
      </c>
      <c r="B85" s="113" t="s">
        <v>124</v>
      </c>
      <c r="C85" s="114" t="s">
        <v>42</v>
      </c>
      <c r="D85" s="2">
        <v>17977507853.889999</v>
      </c>
      <c r="E85" s="3">
        <f t="shared" si="21"/>
        <v>6.2416008247802725E-2</v>
      </c>
      <c r="F85" s="14">
        <v>126.56</v>
      </c>
      <c r="G85" s="14">
        <v>126.56</v>
      </c>
      <c r="H85" s="60">
        <v>5780</v>
      </c>
      <c r="I85" s="5">
        <v>2E-3</v>
      </c>
      <c r="J85" s="5">
        <v>5.1000000000000004E-3</v>
      </c>
      <c r="K85" s="2">
        <v>17238474840.91</v>
      </c>
      <c r="L85" s="3">
        <f t="shared" si="22"/>
        <v>6.003495715324271E-2</v>
      </c>
      <c r="M85" s="14">
        <v>126.81</v>
      </c>
      <c r="N85" s="14">
        <v>126.81</v>
      </c>
      <c r="O85" s="60">
        <v>5800</v>
      </c>
      <c r="P85" s="5">
        <v>2E-3</v>
      </c>
      <c r="Q85" s="5">
        <v>7.1000000000000004E-3</v>
      </c>
      <c r="R85" s="80">
        <f t="shared" si="15"/>
        <v>-4.1108757620155145E-2</v>
      </c>
      <c r="S85" s="80">
        <f t="shared" si="16"/>
        <v>1.9753476611883689E-3</v>
      </c>
      <c r="T85" s="80">
        <f t="shared" si="17"/>
        <v>3.4602076124567475E-3</v>
      </c>
      <c r="U85" s="81">
        <f t="shared" si="18"/>
        <v>0</v>
      </c>
      <c r="V85" s="83">
        <f t="shared" si="19"/>
        <v>2E-3</v>
      </c>
    </row>
    <row r="86" spans="1:28" ht="12.75" customHeight="1">
      <c r="A86" s="75">
        <v>75</v>
      </c>
      <c r="B86" s="113" t="s">
        <v>125</v>
      </c>
      <c r="C86" s="114" t="s">
        <v>42</v>
      </c>
      <c r="D86" s="2">
        <v>14068618212.530001</v>
      </c>
      <c r="E86" s="3">
        <f t="shared" si="21"/>
        <v>4.8844756321352628E-2</v>
      </c>
      <c r="F86" s="14">
        <v>355.98</v>
      </c>
      <c r="G86" s="14">
        <v>356.25</v>
      </c>
      <c r="H86" s="60">
        <v>17592</v>
      </c>
      <c r="I86" s="5">
        <v>1.2999999999999999E-3</v>
      </c>
      <c r="J86" s="5">
        <v>8.2000000000000007E-3</v>
      </c>
      <c r="K86" s="2">
        <v>14040671349.67</v>
      </c>
      <c r="L86" s="3">
        <f t="shared" si="22"/>
        <v>4.8898241326998014E-2</v>
      </c>
      <c r="M86" s="14">
        <v>356</v>
      </c>
      <c r="N86" s="14">
        <v>356.26</v>
      </c>
      <c r="O86" s="60">
        <v>17605</v>
      </c>
      <c r="P86" s="5">
        <v>0</v>
      </c>
      <c r="Q86" s="5">
        <v>8.2000000000000007E-3</v>
      </c>
      <c r="R86" s="80">
        <f t="shared" si="15"/>
        <v>-1.9864682115767534E-3</v>
      </c>
      <c r="S86" s="80">
        <f t="shared" si="16"/>
        <v>2.8070175438570962E-5</v>
      </c>
      <c r="T86" s="80">
        <f t="shared" si="17"/>
        <v>7.3897226011823561E-4</v>
      </c>
      <c r="U86" s="81">
        <f t="shared" si="18"/>
        <v>-1.2999999999999999E-3</v>
      </c>
      <c r="V86" s="83">
        <f t="shared" si="19"/>
        <v>0</v>
      </c>
    </row>
    <row r="87" spans="1:28">
      <c r="A87" s="75">
        <v>76</v>
      </c>
      <c r="B87" s="113" t="s">
        <v>126</v>
      </c>
      <c r="C87" s="114" t="s">
        <v>45</v>
      </c>
      <c r="D87" s="2">
        <v>96360458491.679993</v>
      </c>
      <c r="E87" s="3">
        <f t="shared" si="21"/>
        <v>0.33455333302370593</v>
      </c>
      <c r="F87" s="2">
        <v>1.9579</v>
      </c>
      <c r="G87" s="2">
        <v>1.9579</v>
      </c>
      <c r="H87" s="60">
        <v>6116</v>
      </c>
      <c r="I87" s="5">
        <v>6.8900000000000003E-2</v>
      </c>
      <c r="J87" s="5">
        <v>7.4700000000000003E-2</v>
      </c>
      <c r="K87" s="2">
        <v>96486070457.690002</v>
      </c>
      <c r="L87" s="3">
        <f t="shared" si="22"/>
        <v>0.33602375843978055</v>
      </c>
      <c r="M87" s="2">
        <v>1.9604999999999999</v>
      </c>
      <c r="N87" s="2">
        <v>1.9604999999999999</v>
      </c>
      <c r="O87" s="60">
        <v>6118</v>
      </c>
      <c r="P87" s="5">
        <v>7.17E-2</v>
      </c>
      <c r="Q87" s="5">
        <v>7.3999999999999996E-2</v>
      </c>
      <c r="R87" s="80">
        <f t="shared" si="15"/>
        <v>1.3035633907953585E-3</v>
      </c>
      <c r="S87" s="80">
        <f t="shared" si="16"/>
        <v>1.3279534194800223E-3</v>
      </c>
      <c r="T87" s="80">
        <f t="shared" si="17"/>
        <v>3.2701111837802487E-4</v>
      </c>
      <c r="U87" s="81">
        <f t="shared" si="18"/>
        <v>2.7999999999999969E-3</v>
      </c>
      <c r="V87" s="83">
        <f t="shared" si="19"/>
        <v>-7.0000000000000617E-4</v>
      </c>
    </row>
    <row r="88" spans="1:28">
      <c r="A88" s="75">
        <v>77</v>
      </c>
      <c r="B88" s="113" t="s">
        <v>241</v>
      </c>
      <c r="C88" s="113" t="s">
        <v>242</v>
      </c>
      <c r="D88" s="2">
        <v>82104426.579999998</v>
      </c>
      <c r="E88" s="3">
        <f t="shared" si="21"/>
        <v>2.8505789613600521E-4</v>
      </c>
      <c r="F88" s="2">
        <v>101.94888606348424</v>
      </c>
      <c r="G88" s="2">
        <v>101.94888606348424</v>
      </c>
      <c r="H88" s="60">
        <v>58</v>
      </c>
      <c r="I88" s="5">
        <v>1.0718177879768238E-3</v>
      </c>
      <c r="J88" s="5">
        <v>3.4437943629783696E-3</v>
      </c>
      <c r="K88" s="2">
        <v>83016055.540000007</v>
      </c>
      <c r="L88" s="3">
        <f t="shared" si="22"/>
        <v>2.8911289330234188E-4</v>
      </c>
      <c r="M88" s="2">
        <v>102.1003283132891</v>
      </c>
      <c r="N88" s="2">
        <v>102.1003283132891</v>
      </c>
      <c r="O88" s="60">
        <v>58</v>
      </c>
      <c r="P88" s="5">
        <v>1.4854723347399283E-3</v>
      </c>
      <c r="Q88" s="5">
        <v>4.9343823589709235E-3</v>
      </c>
      <c r="R88" s="80">
        <f>((K88-D88)/D88)</f>
        <v>1.1103286363150536E-2</v>
      </c>
      <c r="S88" s="80">
        <f>((N88-G88)/G88)</f>
        <v>1.4854723347399283E-3</v>
      </c>
      <c r="T88" s="80">
        <f>((O88-H88)/H88)</f>
        <v>0</v>
      </c>
      <c r="U88" s="81">
        <f>P88-I88</f>
        <v>4.1365454676310447E-4</v>
      </c>
      <c r="V88" s="83">
        <f>Q88-J88</f>
        <v>1.4905879959925539E-3</v>
      </c>
    </row>
    <row r="89" spans="1:28">
      <c r="A89" s="75">
        <v>78</v>
      </c>
      <c r="B89" s="113" t="s">
        <v>127</v>
      </c>
      <c r="C89" s="114" t="s">
        <v>91</v>
      </c>
      <c r="D89" s="2">
        <v>2790913461.7199998</v>
      </c>
      <c r="E89" s="3">
        <f t="shared" si="21"/>
        <v>9.6897567260929331E-3</v>
      </c>
      <c r="F89" s="14">
        <v>25.433199999999999</v>
      </c>
      <c r="G89" s="14">
        <v>25.433199999999999</v>
      </c>
      <c r="H89" s="60">
        <v>1322</v>
      </c>
      <c r="I89" s="5">
        <v>0</v>
      </c>
      <c r="J89" s="5">
        <v>9.6000000000000002E-2</v>
      </c>
      <c r="K89" s="2">
        <v>2561244070.25</v>
      </c>
      <c r="L89" s="3">
        <f t="shared" si="22"/>
        <v>8.9198249517727438E-3</v>
      </c>
      <c r="M89" s="14">
        <v>25.475000000000001</v>
      </c>
      <c r="N89" s="14">
        <v>25.475000000000001</v>
      </c>
      <c r="O89" s="60">
        <v>1321</v>
      </c>
      <c r="P89" s="5">
        <v>0</v>
      </c>
      <c r="Q89" s="5">
        <v>0.1048</v>
      </c>
      <c r="R89" s="80">
        <f t="shared" si="15"/>
        <v>-8.2291835494052848E-2</v>
      </c>
      <c r="S89" s="80">
        <f t="shared" si="16"/>
        <v>1.6435210669519392E-3</v>
      </c>
      <c r="T89" s="80">
        <f t="shared" si="17"/>
        <v>-7.5642965204236008E-4</v>
      </c>
      <c r="U89" s="81">
        <f t="shared" si="18"/>
        <v>0</v>
      </c>
      <c r="V89" s="83">
        <f t="shared" si="19"/>
        <v>8.8000000000000023E-3</v>
      </c>
    </row>
    <row r="90" spans="1:28">
      <c r="A90" s="75"/>
      <c r="B90" s="19"/>
      <c r="C90" s="71" t="s">
        <v>46</v>
      </c>
      <c r="D90" s="59">
        <f>SUM(D58:D89)</f>
        <v>288027196204.47491</v>
      </c>
      <c r="E90" s="100">
        <f>(D90/$D$181)</f>
        <v>0.13000718298414263</v>
      </c>
      <c r="F90" s="30"/>
      <c r="G90" s="11"/>
      <c r="H90" s="65">
        <f>SUM(H58:H89)</f>
        <v>64708</v>
      </c>
      <c r="I90" s="12"/>
      <c r="J90" s="12"/>
      <c r="K90" s="59">
        <f>SUM(K58:K89)</f>
        <v>287140620370.69159</v>
      </c>
      <c r="L90" s="100">
        <f>(K90/$K$181)</f>
        <v>0.12603991076225879</v>
      </c>
      <c r="M90" s="30"/>
      <c r="N90" s="11"/>
      <c r="O90" s="65">
        <f>SUM(O58:O89)</f>
        <v>64902</v>
      </c>
      <c r="P90" s="12"/>
      <c r="Q90" s="12"/>
      <c r="R90" s="80">
        <f t="shared" si="15"/>
        <v>-3.0780976430917705E-3</v>
      </c>
      <c r="S90" s="80" t="e">
        <f t="shared" si="16"/>
        <v>#DIV/0!</v>
      </c>
      <c r="T90" s="80">
        <f t="shared" si="17"/>
        <v>2.9980836990789392E-3</v>
      </c>
      <c r="U90" s="81">
        <f t="shared" si="18"/>
        <v>0</v>
      </c>
      <c r="V90" s="83">
        <f t="shared" si="19"/>
        <v>0</v>
      </c>
    </row>
    <row r="91" spans="1:28" ht="8.25" customHeight="1">
      <c r="A91" s="141"/>
      <c r="B91" s="141"/>
      <c r="C91" s="141"/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</row>
    <row r="92" spans="1:28" ht="15" customHeight="1">
      <c r="A92" s="148" t="s">
        <v>128</v>
      </c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</row>
    <row r="93" spans="1:28">
      <c r="A93" s="152" t="s">
        <v>230</v>
      </c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Z93" s="130"/>
      <c r="AB93" s="103"/>
    </row>
    <row r="94" spans="1:28" ht="16.5" customHeight="1">
      <c r="A94" s="75">
        <v>79</v>
      </c>
      <c r="B94" s="113" t="s">
        <v>129</v>
      </c>
      <c r="C94" s="114" t="s">
        <v>17</v>
      </c>
      <c r="D94" s="2">
        <v>1585554282.49</v>
      </c>
      <c r="E94" s="3">
        <f>(D94/$D$118)</f>
        <v>2.070663025967721E-3</v>
      </c>
      <c r="F94" s="2">
        <f>108.1493*890.5127</f>
        <v>96308.325146110001</v>
      </c>
      <c r="G94" s="2">
        <f>108.1493*890.5127</f>
        <v>96308.325146110001</v>
      </c>
      <c r="H94" s="60">
        <v>229</v>
      </c>
      <c r="I94" s="5">
        <v>1.9E-3</v>
      </c>
      <c r="J94" s="5">
        <v>3.8E-3</v>
      </c>
      <c r="K94" s="2">
        <v>1622907336.3599999</v>
      </c>
      <c r="L94" s="3">
        <f t="shared" ref="L94:L105" si="23">(K94/$K$118)</f>
        <v>2.0182486367324353E-3</v>
      </c>
      <c r="M94" s="2">
        <f>108.2659*890.061</f>
        <v>96363.255219900006</v>
      </c>
      <c r="N94" s="2">
        <f>108.2659*890.061</f>
        <v>96363.255219900006</v>
      </c>
      <c r="O94" s="60">
        <v>229</v>
      </c>
      <c r="P94" s="5">
        <v>1.1000000000000001E-3</v>
      </c>
      <c r="Q94" s="5">
        <v>4.8999999999999998E-3</v>
      </c>
      <c r="R94" s="81">
        <f>((K94-D94)/D94)</f>
        <v>2.3558357025367543E-2</v>
      </c>
      <c r="S94" s="81">
        <f>((N94-G94)/G94)</f>
        <v>5.7035644329470005E-4</v>
      </c>
      <c r="T94" s="81">
        <f>((O94-H94)/H94)</f>
        <v>0</v>
      </c>
      <c r="U94" s="81">
        <f>P94-I94</f>
        <v>-7.9999999999999993E-4</v>
      </c>
      <c r="V94" s="83">
        <f>Q94-J94</f>
        <v>1.0999999999999998E-3</v>
      </c>
      <c r="X94" s="130"/>
      <c r="Y94" s="134"/>
      <c r="Z94" s="130"/>
      <c r="AA94" s="104"/>
    </row>
    <row r="95" spans="1:28">
      <c r="A95" s="75">
        <v>80</v>
      </c>
      <c r="B95" s="113" t="s">
        <v>130</v>
      </c>
      <c r="C95" s="114" t="s">
        <v>21</v>
      </c>
      <c r="D95" s="2">
        <f>10853970.24*890.5127</f>
        <v>9665598344.1420479</v>
      </c>
      <c r="E95" s="3">
        <f>(D95/$D$118)</f>
        <v>1.2622839429779025E-2</v>
      </c>
      <c r="F95" s="2">
        <f>1.1103*890.5127</f>
        <v>988.73625081</v>
      </c>
      <c r="G95" s="2">
        <f>1.1103*890.5127</f>
        <v>988.73625081</v>
      </c>
      <c r="H95" s="60">
        <v>296</v>
      </c>
      <c r="I95" s="5">
        <v>2.3599999999999999E-2</v>
      </c>
      <c r="J95" s="5">
        <v>-1.0746</v>
      </c>
      <c r="K95" s="2">
        <f>10868201.53*891.061</f>
        <v>9684230523.5233307</v>
      </c>
      <c r="L95" s="3">
        <f t="shared" si="23"/>
        <v>1.2043315483274152E-2</v>
      </c>
      <c r="M95" s="2">
        <f>1.1108*891.061</f>
        <v>989.7905588000001</v>
      </c>
      <c r="N95" s="2">
        <f>1.1108*891.061</f>
        <v>989.7905588000001</v>
      </c>
      <c r="O95" s="60">
        <v>297</v>
      </c>
      <c r="P95" s="5">
        <v>2.35E-2</v>
      </c>
      <c r="Q95" s="5">
        <v>-0.77929999999999999</v>
      </c>
      <c r="R95" s="81">
        <f t="shared" ref="R95:R105" si="24">((K95-D95)/D95)</f>
        <v>1.9276798722528195E-3</v>
      </c>
      <c r="S95" s="81">
        <f t="shared" ref="S95:S105" si="25">((N95-G95)/G95)</f>
        <v>1.0663187368081016E-3</v>
      </c>
      <c r="T95" s="81">
        <f t="shared" ref="T95:T105" si="26">((O95-H95)/H95)</f>
        <v>3.3783783783783786E-3</v>
      </c>
      <c r="U95" s="81">
        <f t="shared" ref="U95:U105" si="27">P95-I95</f>
        <v>-9.9999999999999395E-5</v>
      </c>
      <c r="V95" s="83">
        <f t="shared" ref="V95:V105" si="28">Q95-J95</f>
        <v>0.29530000000000001</v>
      </c>
    </row>
    <row r="96" spans="1:28">
      <c r="A96" s="75">
        <v>81</v>
      </c>
      <c r="B96" s="113" t="s">
        <v>243</v>
      </c>
      <c r="C96" s="114" t="s">
        <v>25</v>
      </c>
      <c r="D96" s="2">
        <f>423473.74*891.0127</f>
        <v>377320480.45649797</v>
      </c>
      <c r="E96" s="3">
        <v>0</v>
      </c>
      <c r="F96" s="2">
        <f>1.1037*891.0127</f>
        <v>983.41071698999986</v>
      </c>
      <c r="G96" s="2">
        <f>1.1037*891.0127</f>
        <v>983.41071698999986</v>
      </c>
      <c r="H96" s="60">
        <v>23</v>
      </c>
      <c r="I96" s="5">
        <v>1.8100000000000001E-4</v>
      </c>
      <c r="J96" s="5">
        <v>0.10780000000000001</v>
      </c>
      <c r="K96" s="2">
        <f>423998.29*891.061</f>
        <v>377808340.28569001</v>
      </c>
      <c r="L96" s="3">
        <f t="shared" si="23"/>
        <v>4.698427018254569E-4</v>
      </c>
      <c r="M96" s="2">
        <f>1.1051*891.061</f>
        <v>984.71151110000005</v>
      </c>
      <c r="N96" s="2">
        <f>1.1051*891.061</f>
        <v>984.71151110000005</v>
      </c>
      <c r="O96" s="60">
        <v>23</v>
      </c>
      <c r="P96" s="5">
        <v>1.83E-4</v>
      </c>
      <c r="Q96" s="5">
        <v>0.1089</v>
      </c>
      <c r="R96" s="81">
        <f>((K96-D96)/D96)</f>
        <v>1.2929587829470833E-3</v>
      </c>
      <c r="S96" s="81">
        <f>((N96-G96)/G96)</f>
        <v>1.3227373746562748E-3</v>
      </c>
      <c r="T96" s="81">
        <f>((O96-H96)/H96)</f>
        <v>0</v>
      </c>
      <c r="U96" s="81">
        <f>P96-I96</f>
        <v>1.9999999999999944E-6</v>
      </c>
      <c r="V96" s="83">
        <f t="shared" si="28"/>
        <v>1.0999999999999899E-3</v>
      </c>
    </row>
    <row r="97" spans="1:24">
      <c r="A97" s="75">
        <v>82</v>
      </c>
      <c r="B97" s="113" t="s">
        <v>139</v>
      </c>
      <c r="C97" s="114" t="s">
        <v>64</v>
      </c>
      <c r="D97" s="2">
        <f>370417.22*891.0127</f>
        <v>330046447.318694</v>
      </c>
      <c r="E97" s="3">
        <f t="shared" ref="E97:E105" si="29">(D97/$D$118)</f>
        <v>4.3102590864411674E-4</v>
      </c>
      <c r="F97" s="2">
        <f>103.68*891.0127</f>
        <v>92380.196736000013</v>
      </c>
      <c r="G97" s="2">
        <f>104.52*891.0127</f>
        <v>93128.647404000003</v>
      </c>
      <c r="H97" s="60">
        <v>38</v>
      </c>
      <c r="I97" s="5">
        <v>1.4E-3</v>
      </c>
      <c r="J97" s="5">
        <v>1.09E-2</v>
      </c>
      <c r="K97" s="2">
        <f>370742.33*891.061</f>
        <v>330354031.31213003</v>
      </c>
      <c r="L97" s="3">
        <f t="shared" si="23"/>
        <v>4.1082849180421261E-4</v>
      </c>
      <c r="M97" s="2">
        <f>103.78*891.061</f>
        <v>92474.310580000005</v>
      </c>
      <c r="N97" s="2">
        <f>104.67*891.061</f>
        <v>93267.35487000001</v>
      </c>
      <c r="O97" s="60">
        <v>38</v>
      </c>
      <c r="P97" s="5">
        <v>1.1000000000000001E-3</v>
      </c>
      <c r="Q97" s="5">
        <v>1.2E-2</v>
      </c>
      <c r="R97" s="81">
        <f>((K97-D97)/D97)</f>
        <v>9.3194153712260479E-4</v>
      </c>
      <c r="S97" s="81">
        <f>((N97-G97)/G97)</f>
        <v>1.4894178093050393E-3</v>
      </c>
      <c r="T97" s="81">
        <f>((O97-H97)/H97)</f>
        <v>0</v>
      </c>
      <c r="U97" s="81">
        <f>P97-I97</f>
        <v>-2.9999999999999992E-4</v>
      </c>
      <c r="V97" s="83">
        <f>Q97-J97</f>
        <v>1.1000000000000003E-3</v>
      </c>
    </row>
    <row r="98" spans="1:24">
      <c r="A98" s="75">
        <v>83</v>
      </c>
      <c r="B98" s="113" t="s">
        <v>131</v>
      </c>
      <c r="C98" s="114" t="s">
        <v>67</v>
      </c>
      <c r="D98" s="2">
        <v>2391402457.642024</v>
      </c>
      <c r="E98" s="3">
        <f t="shared" si="29"/>
        <v>3.1230647250192196E-3</v>
      </c>
      <c r="F98" s="2">
        <v>96016.686868510005</v>
      </c>
      <c r="G98" s="2">
        <v>96016.686868510005</v>
      </c>
      <c r="H98" s="60">
        <v>46</v>
      </c>
      <c r="I98" s="5">
        <v>1.2329436599565525E-3</v>
      </c>
      <c r="J98" s="5">
        <v>1.122977007886572E-2</v>
      </c>
      <c r="K98" s="2">
        <v>2389456248.1219821</v>
      </c>
      <c r="L98" s="3">
        <f t="shared" si="23"/>
        <v>2.9715293703215105E-3</v>
      </c>
      <c r="M98" s="2">
        <v>96135.380195010002</v>
      </c>
      <c r="N98" s="2">
        <v>96135.380195010002</v>
      </c>
      <c r="O98" s="60">
        <v>46</v>
      </c>
      <c r="P98" s="5">
        <v>1.2323533587659849E-3</v>
      </c>
      <c r="Q98" s="5">
        <v>1.5814946959042064E-2</v>
      </c>
      <c r="R98" s="81">
        <f t="shared" si="24"/>
        <v>-8.1383604579922885E-4</v>
      </c>
      <c r="S98" s="81">
        <f t="shared" si="25"/>
        <v>1.2361739440410141E-3</v>
      </c>
      <c r="T98" s="81">
        <f t="shared" si="26"/>
        <v>0</v>
      </c>
      <c r="U98" s="81">
        <f t="shared" si="27"/>
        <v>-5.9030119056767763E-7</v>
      </c>
      <c r="V98" s="83">
        <f t="shared" si="28"/>
        <v>4.5851768801763448E-3</v>
      </c>
      <c r="X98" s="109"/>
    </row>
    <row r="99" spans="1:24">
      <c r="A99" s="75">
        <v>84</v>
      </c>
      <c r="B99" s="113" t="s">
        <v>132</v>
      </c>
      <c r="C99" s="114" t="s">
        <v>27</v>
      </c>
      <c r="D99" s="2">
        <v>25741149459.555099</v>
      </c>
      <c r="E99" s="3">
        <f t="shared" si="29"/>
        <v>3.3616790683510318E-2</v>
      </c>
      <c r="F99" s="2">
        <v>112273.8045</v>
      </c>
      <c r="G99" s="2">
        <v>112273.8045</v>
      </c>
      <c r="H99" s="60">
        <v>2015</v>
      </c>
      <c r="I99" s="5">
        <v>1.4E-3</v>
      </c>
      <c r="J99" s="5">
        <v>7.46E-2</v>
      </c>
      <c r="K99" s="2">
        <v>25440225168.130001</v>
      </c>
      <c r="L99" s="3">
        <f t="shared" si="23"/>
        <v>3.1637480842809547E-2</v>
      </c>
      <c r="M99" s="2">
        <v>111112.9</v>
      </c>
      <c r="N99" s="2">
        <v>111112.9</v>
      </c>
      <c r="O99" s="60">
        <v>2027</v>
      </c>
      <c r="P99" s="5">
        <v>1.4E-3</v>
      </c>
      <c r="Q99" s="5">
        <v>7.4800000000000005E-2</v>
      </c>
      <c r="R99" s="81">
        <f t="shared" si="24"/>
        <v>-1.1690398359945635E-2</v>
      </c>
      <c r="S99" s="81">
        <f t="shared" si="25"/>
        <v>-1.0339940871960067E-2</v>
      </c>
      <c r="T99" s="81">
        <f t="shared" si="26"/>
        <v>5.9553349875930521E-3</v>
      </c>
      <c r="U99" s="81">
        <f t="shared" si="27"/>
        <v>0</v>
      </c>
      <c r="V99" s="83">
        <f t="shared" si="28"/>
        <v>2.0000000000000573E-4</v>
      </c>
    </row>
    <row r="100" spans="1:24">
      <c r="A100" s="75">
        <v>85</v>
      </c>
      <c r="B100" s="133" t="s">
        <v>133</v>
      </c>
      <c r="C100" s="133" t="s">
        <v>27</v>
      </c>
      <c r="D100" s="2">
        <v>32504907077.666302</v>
      </c>
      <c r="E100" s="3">
        <f t="shared" si="29"/>
        <v>4.2449955823990901E-2</v>
      </c>
      <c r="F100" s="2">
        <v>101435.38</v>
      </c>
      <c r="G100" s="2">
        <v>101435.38</v>
      </c>
      <c r="H100" s="60">
        <v>262</v>
      </c>
      <c r="I100" s="5">
        <v>1.8E-3</v>
      </c>
      <c r="J100" s="5">
        <v>9.1800000000000007E-2</v>
      </c>
      <c r="K100" s="2">
        <v>32154113308.82</v>
      </c>
      <c r="L100" s="3">
        <f t="shared" si="23"/>
        <v>3.9986876574492819E-2</v>
      </c>
      <c r="M100" s="2">
        <v>100427.94</v>
      </c>
      <c r="N100" s="2">
        <v>100427.94</v>
      </c>
      <c r="O100" s="60">
        <v>271</v>
      </c>
      <c r="P100" s="5">
        <v>1.8E-3</v>
      </c>
      <c r="Q100" s="5">
        <v>9.2899999999999996E-2</v>
      </c>
      <c r="R100" s="81">
        <f t="shared" si="24"/>
        <v>-1.0792024970510617E-2</v>
      </c>
      <c r="S100" s="81">
        <f t="shared" si="25"/>
        <v>-9.9318403499844173E-3</v>
      </c>
      <c r="T100" s="81">
        <f t="shared" si="26"/>
        <v>3.4351145038167941E-2</v>
      </c>
      <c r="U100" s="81">
        <f t="shared" si="27"/>
        <v>0</v>
      </c>
      <c r="V100" s="83">
        <f t="shared" si="28"/>
        <v>1.0999999999999899E-3</v>
      </c>
    </row>
    <row r="101" spans="1:24">
      <c r="A101" s="75">
        <v>86</v>
      </c>
      <c r="B101" s="113" t="s">
        <v>134</v>
      </c>
      <c r="C101" s="114" t="s">
        <v>31</v>
      </c>
      <c r="D101" s="2">
        <f>108608*891.0127</f>
        <v>96771107.321600005</v>
      </c>
      <c r="E101" s="3">
        <f t="shared" si="29"/>
        <v>1.2637874093979819E-4</v>
      </c>
      <c r="F101" s="2">
        <f>115.53*891.0127</f>
        <v>102938.697231</v>
      </c>
      <c r="G101" s="2">
        <f>115.53*891.0127</f>
        <v>102938.697231</v>
      </c>
      <c r="H101" s="60">
        <v>3</v>
      </c>
      <c r="I101" s="5">
        <v>5.0000000000000001E-3</v>
      </c>
      <c r="J101" s="5">
        <v>8.2000000000000007E-3</v>
      </c>
      <c r="K101" s="2">
        <f>108779.6*891.061</f>
        <v>96929259.155600011</v>
      </c>
      <c r="L101" s="3">
        <f t="shared" si="23"/>
        <v>1.2054129078561255E-4</v>
      </c>
      <c r="M101" s="2">
        <f>115.74*891.061</f>
        <v>103131.40014</v>
      </c>
      <c r="N101" s="2">
        <f>115.74*891.061</f>
        <v>103131.40014</v>
      </c>
      <c r="O101" s="60">
        <v>3</v>
      </c>
      <c r="P101" s="5">
        <v>5.0000000000000001E-3</v>
      </c>
      <c r="Q101" s="5">
        <v>8.2000000000000007E-3</v>
      </c>
      <c r="R101" s="81">
        <f t="shared" si="24"/>
        <v>1.6342877370868493E-3</v>
      </c>
      <c r="S101" s="81">
        <f t="shared" si="25"/>
        <v>1.8720162017162884E-3</v>
      </c>
      <c r="T101" s="81">
        <f t="shared" si="26"/>
        <v>0</v>
      </c>
      <c r="U101" s="81">
        <f t="shared" si="27"/>
        <v>0</v>
      </c>
      <c r="V101" s="83">
        <f t="shared" si="28"/>
        <v>0</v>
      </c>
    </row>
    <row r="102" spans="1:24">
      <c r="A102" s="75">
        <v>87</v>
      </c>
      <c r="B102" s="113" t="s">
        <v>135</v>
      </c>
      <c r="C102" s="114" t="s">
        <v>34</v>
      </c>
      <c r="D102" s="2">
        <f>11028909.98*891.0127</f>
        <v>9826898859.3367462</v>
      </c>
      <c r="E102" s="3">
        <f t="shared" si="29"/>
        <v>1.2833490693234154E-2</v>
      </c>
      <c r="F102" s="2">
        <f>1.33*891.0127</f>
        <v>1185.046891</v>
      </c>
      <c r="G102" s="2">
        <f>1.33*891.0127</f>
        <v>1185.046891</v>
      </c>
      <c r="H102" s="61">
        <v>116</v>
      </c>
      <c r="I102" s="12">
        <v>8.9999999999999998E-4</v>
      </c>
      <c r="J102" s="12">
        <v>4.4699999999999997E-2</v>
      </c>
      <c r="K102" s="2">
        <f>11041552.15*891.061</f>
        <v>9838696500.3311501</v>
      </c>
      <c r="L102" s="3">
        <f t="shared" si="23"/>
        <v>1.2235409474181329E-2</v>
      </c>
      <c r="M102" s="2">
        <f>1.33*891.061</f>
        <v>1185.11113</v>
      </c>
      <c r="N102" s="2">
        <f>1.33*891.061</f>
        <v>1185.11113</v>
      </c>
      <c r="O102" s="61">
        <v>116</v>
      </c>
      <c r="P102" s="12">
        <v>8.9999999999999998E-4</v>
      </c>
      <c r="Q102" s="12">
        <v>4.53E-2</v>
      </c>
      <c r="R102" s="81">
        <f t="shared" si="24"/>
        <v>1.2005456821400629E-3</v>
      </c>
      <c r="S102" s="81">
        <f t="shared" si="25"/>
        <v>5.4207981547325316E-5</v>
      </c>
      <c r="T102" s="81">
        <f t="shared" si="26"/>
        <v>0</v>
      </c>
      <c r="U102" s="81">
        <f t="shared" si="27"/>
        <v>0</v>
      </c>
      <c r="V102" s="83">
        <f t="shared" si="28"/>
        <v>6.0000000000000331E-4</v>
      </c>
    </row>
    <row r="103" spans="1:24">
      <c r="A103" s="75">
        <v>88</v>
      </c>
      <c r="B103" s="113" t="s">
        <v>136</v>
      </c>
      <c r="C103" s="114" t="s">
        <v>78</v>
      </c>
      <c r="D103" s="2">
        <f>8850960.14*891.0127</f>
        <v>7886317891.9337788</v>
      </c>
      <c r="E103" s="3">
        <f t="shared" si="29"/>
        <v>1.0299178684825612E-2</v>
      </c>
      <c r="F103" s="2">
        <f>102.85*891.0127</f>
        <v>91640.656194999989</v>
      </c>
      <c r="G103" s="2">
        <f>102.85*891.0127</f>
        <v>91640.656194999989</v>
      </c>
      <c r="H103" s="60">
        <v>232</v>
      </c>
      <c r="I103" s="5">
        <v>1.9E-3</v>
      </c>
      <c r="J103" s="5">
        <v>4.8999999999999998E-3</v>
      </c>
      <c r="K103" s="2">
        <f>8929956.18*891.061</f>
        <v>7957135683.7069798</v>
      </c>
      <c r="L103" s="3">
        <f t="shared" si="23"/>
        <v>9.8954991983437844E-3</v>
      </c>
      <c r="M103" s="2">
        <f>103.04*891.061</f>
        <v>91814.925440000006</v>
      </c>
      <c r="N103" s="2">
        <f>103.04*891.061</f>
        <v>91814.925440000006</v>
      </c>
      <c r="O103" s="60">
        <v>232</v>
      </c>
      <c r="P103" s="5">
        <v>1.9E-3</v>
      </c>
      <c r="Q103" s="5">
        <v>6.7999999999999996E-3</v>
      </c>
      <c r="R103" s="81">
        <f t="shared" si="24"/>
        <v>8.9798297182052834E-3</v>
      </c>
      <c r="S103" s="81">
        <f t="shared" si="25"/>
        <v>1.9016586331419788E-3</v>
      </c>
      <c r="T103" s="81">
        <f t="shared" si="26"/>
        <v>0</v>
      </c>
      <c r="U103" s="81">
        <f t="shared" si="27"/>
        <v>0</v>
      </c>
      <c r="V103" s="83">
        <f t="shared" si="28"/>
        <v>1.8999999999999998E-3</v>
      </c>
    </row>
    <row r="104" spans="1:24">
      <c r="A104" s="75">
        <v>89</v>
      </c>
      <c r="B104" s="113" t="s">
        <v>137</v>
      </c>
      <c r="C104" s="114" t="s">
        <v>38</v>
      </c>
      <c r="D104" s="2">
        <f>1875025.67*891.0127</f>
        <v>1670671684.7960088</v>
      </c>
      <c r="E104" s="3">
        <f t="shared" si="29"/>
        <v>2.1818225490240267E-3</v>
      </c>
      <c r="F104" s="2">
        <f>132.29*891.0127</f>
        <v>117872.070083</v>
      </c>
      <c r="G104" s="2">
        <f>132.29*891.0127</f>
        <v>117872.070083</v>
      </c>
      <c r="H104" s="60">
        <v>46</v>
      </c>
      <c r="I104" s="5">
        <v>0</v>
      </c>
      <c r="J104" s="5">
        <v>0</v>
      </c>
      <c r="K104" s="2">
        <f>1882178.12*891.061</f>
        <v>1677135517.7853203</v>
      </c>
      <c r="L104" s="3">
        <f t="shared" si="23"/>
        <v>2.085686839014278E-3</v>
      </c>
      <c r="M104" s="2">
        <f>132.68*891.061</f>
        <v>118225.97348000002</v>
      </c>
      <c r="N104" s="2">
        <f>132.68*891.061</f>
        <v>118225.97348000002</v>
      </c>
      <c r="O104" s="60">
        <v>46</v>
      </c>
      <c r="P104" s="5">
        <v>2.0000000000000001E-4</v>
      </c>
      <c r="Q104" s="5">
        <v>5.8999999999999999E-3</v>
      </c>
      <c r="R104" s="81">
        <f t="shared" si="24"/>
        <v>3.8690025384016126E-3</v>
      </c>
      <c r="S104" s="81">
        <f t="shared" si="25"/>
        <v>3.0024364274828992E-3</v>
      </c>
      <c r="T104" s="81">
        <f t="shared" si="26"/>
        <v>0</v>
      </c>
      <c r="U104" s="81">
        <f t="shared" si="27"/>
        <v>2.0000000000000001E-4</v>
      </c>
      <c r="V104" s="83">
        <f t="shared" si="28"/>
        <v>5.8999999999999999E-3</v>
      </c>
    </row>
    <row r="105" spans="1:24" ht="16.5" customHeight="1">
      <c r="A105" s="75">
        <v>90</v>
      </c>
      <c r="B105" s="113" t="s">
        <v>138</v>
      </c>
      <c r="C105" s="114" t="s">
        <v>45</v>
      </c>
      <c r="D105" s="4">
        <v>131719609426.5</v>
      </c>
      <c r="E105" s="3">
        <f t="shared" si="29"/>
        <v>0.17201992265192786</v>
      </c>
      <c r="F105" s="2">
        <v>112506.91</v>
      </c>
      <c r="G105" s="2">
        <v>112506.91</v>
      </c>
      <c r="H105" s="60">
        <v>3010</v>
      </c>
      <c r="I105" s="5">
        <v>5.4100000000000002E-2</v>
      </c>
      <c r="J105" s="5">
        <v>5.4199999999999998E-2</v>
      </c>
      <c r="K105" s="4">
        <v>130386367600.92</v>
      </c>
      <c r="L105" s="3">
        <f t="shared" si="23"/>
        <v>0.16214857297353266</v>
      </c>
      <c r="M105" s="2">
        <v>111304.04</v>
      </c>
      <c r="N105" s="2">
        <v>111304.04</v>
      </c>
      <c r="O105" s="60">
        <v>3018</v>
      </c>
      <c r="P105" s="5">
        <v>5.4100000000000002E-2</v>
      </c>
      <c r="Q105" s="5">
        <v>5.4199999999999998E-2</v>
      </c>
      <c r="R105" s="81">
        <f t="shared" si="24"/>
        <v>-1.0121817331412264E-2</v>
      </c>
      <c r="S105" s="81">
        <f t="shared" si="25"/>
        <v>-1.0691521080794148E-2</v>
      </c>
      <c r="T105" s="81">
        <f t="shared" si="26"/>
        <v>2.6578073089700998E-3</v>
      </c>
      <c r="U105" s="81">
        <f t="shared" si="27"/>
        <v>0</v>
      </c>
      <c r="V105" s="83">
        <f t="shared" si="28"/>
        <v>0</v>
      </c>
    </row>
    <row r="106" spans="1:24" ht="6" customHeight="1">
      <c r="A106" s="141"/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</row>
    <row r="107" spans="1:24">
      <c r="A107" s="152" t="s">
        <v>231</v>
      </c>
      <c r="B107" s="152"/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</row>
    <row r="108" spans="1:24">
      <c r="A108" s="75">
        <v>91</v>
      </c>
      <c r="B108" s="113" t="s">
        <v>140</v>
      </c>
      <c r="C108" s="114" t="s">
        <v>97</v>
      </c>
      <c r="D108" s="4">
        <v>795087422.00999999</v>
      </c>
      <c r="E108" s="3">
        <f>(D108/$D$118)</f>
        <v>1.0383486364040546E-3</v>
      </c>
      <c r="F108" s="2">
        <v>82087.73</v>
      </c>
      <c r="G108" s="2">
        <v>82087.73</v>
      </c>
      <c r="H108" s="60">
        <v>27</v>
      </c>
      <c r="I108" s="5">
        <v>-6.0000000000000001E-3</v>
      </c>
      <c r="J108" s="5">
        <v>7.8299999999999995E-2</v>
      </c>
      <c r="K108" s="4">
        <v>795509694.85000002</v>
      </c>
      <c r="L108" s="3">
        <f t="shared" ref="L108:L117" si="30">(K108/$K$118)</f>
        <v>9.8929638258921614E-4</v>
      </c>
      <c r="M108" s="2">
        <v>82126.080000000002</v>
      </c>
      <c r="N108" s="2">
        <v>82126.080000000002</v>
      </c>
      <c r="O108" s="60">
        <v>27</v>
      </c>
      <c r="P108" s="5">
        <v>4.0000000000000002E-4</v>
      </c>
      <c r="Q108" s="5">
        <v>7.8799999999999995E-2</v>
      </c>
      <c r="R108" s="81">
        <f>((K108-D108)/D108)</f>
        <v>5.3110240246603011E-4</v>
      </c>
      <c r="S108" s="81">
        <f>((N108-G108)/G108)</f>
        <v>4.6718309788814749E-4</v>
      </c>
      <c r="T108" s="81">
        <f>((O108-H108)/H108)</f>
        <v>0</v>
      </c>
      <c r="U108" s="81">
        <f>P108-I108</f>
        <v>6.4000000000000003E-3</v>
      </c>
      <c r="V108" s="83">
        <f>Q108-J108</f>
        <v>5.0000000000000044E-4</v>
      </c>
    </row>
    <row r="109" spans="1:24">
      <c r="A109" s="75">
        <v>92</v>
      </c>
      <c r="B109" s="114" t="s">
        <v>141</v>
      </c>
      <c r="C109" s="114" t="s">
        <v>23</v>
      </c>
      <c r="D109" s="2">
        <f>7084411.56*891.0127</f>
        <v>6312300671.9868116</v>
      </c>
      <c r="E109" s="3">
        <f>(D109/$D$118)</f>
        <v>8.2435825468856021E-3</v>
      </c>
      <c r="F109" s="4">
        <f>132.07*891.0127</f>
        <v>117676.04728899999</v>
      </c>
      <c r="G109" s="4">
        <f>132.07*891.0127</f>
        <v>117676.04728899999</v>
      </c>
      <c r="H109" s="60">
        <v>332</v>
      </c>
      <c r="I109" s="5">
        <v>5.0000000000000001E-4</v>
      </c>
      <c r="J109" s="5">
        <v>3.0000000000000001E-3</v>
      </c>
      <c r="K109" s="2">
        <f>7112925.74*891.061</f>
        <v>6338050722.8101406</v>
      </c>
      <c r="L109" s="3">
        <f t="shared" si="30"/>
        <v>7.8820040702650886E-3</v>
      </c>
      <c r="M109" s="4">
        <f>132.23*891.061</f>
        <v>117824.99602999999</v>
      </c>
      <c r="N109" s="4">
        <f>132.23*891.061</f>
        <v>117824.99602999999</v>
      </c>
      <c r="O109" s="60">
        <v>336</v>
      </c>
      <c r="P109" s="5">
        <v>5.0000000000000001E-4</v>
      </c>
      <c r="Q109" s="5">
        <v>4.1999999999999997E-3</v>
      </c>
      <c r="R109" s="81">
        <f t="shared" ref="R109:R118" si="31">((K109-D109)/D109)</f>
        <v>4.0793447843199904E-3</v>
      </c>
      <c r="S109" s="81">
        <f t="shared" ref="S109:S118" si="32">((N109-G109)/G109)</f>
        <v>1.2657524146285923E-3</v>
      </c>
      <c r="T109" s="81">
        <f t="shared" ref="T109:T118" si="33">((O109-H109)/H109)</f>
        <v>1.2048192771084338E-2</v>
      </c>
      <c r="U109" s="81">
        <f t="shared" ref="U109:U118" si="34">P109-I109</f>
        <v>0</v>
      </c>
      <c r="V109" s="83">
        <f t="shared" ref="V109:V118" si="35">Q109-J109</f>
        <v>1.1999999999999997E-3</v>
      </c>
    </row>
    <row r="110" spans="1:24">
      <c r="A110" s="75">
        <v>93</v>
      </c>
      <c r="B110" s="113" t="s">
        <v>142</v>
      </c>
      <c r="C110" s="114" t="s">
        <v>58</v>
      </c>
      <c r="D110" s="4">
        <v>10767787638.34</v>
      </c>
      <c r="E110" s="3">
        <f t="shared" ref="E110:E117" si="36">(D110/$D$118)</f>
        <v>1.4062249385223142E-2</v>
      </c>
      <c r="F110" s="4">
        <v>109524.85</v>
      </c>
      <c r="G110" s="4">
        <v>109524.85</v>
      </c>
      <c r="H110" s="60">
        <v>579</v>
      </c>
      <c r="I110" s="5">
        <v>1.1999999999999999E-3</v>
      </c>
      <c r="J110" s="5">
        <v>7.0099999999999996E-2</v>
      </c>
      <c r="K110" s="4">
        <v>10879360167.41</v>
      </c>
      <c r="L110" s="3">
        <f t="shared" si="30"/>
        <v>1.3529579498755648E-2</v>
      </c>
      <c r="M110" s="4">
        <v>109601.16</v>
      </c>
      <c r="N110" s="4">
        <v>109601.16</v>
      </c>
      <c r="O110" s="60">
        <v>581</v>
      </c>
      <c r="P110" s="5">
        <v>6.9999999999999999E-4</v>
      </c>
      <c r="Q110" s="5">
        <v>6.1699999999999998E-2</v>
      </c>
      <c r="R110" s="81">
        <f t="shared" si="31"/>
        <v>1.0361694789812933E-2</v>
      </c>
      <c r="S110" s="81">
        <f t="shared" si="32"/>
        <v>6.9673685926068527E-4</v>
      </c>
      <c r="T110" s="81">
        <f t="shared" si="33"/>
        <v>3.4542314335060447E-3</v>
      </c>
      <c r="U110" s="81">
        <f t="shared" si="34"/>
        <v>-4.999999999999999E-4</v>
      </c>
      <c r="V110" s="83">
        <f t="shared" si="35"/>
        <v>-8.3999999999999977E-3</v>
      </c>
    </row>
    <row r="111" spans="1:24">
      <c r="A111" s="75">
        <v>94</v>
      </c>
      <c r="B111" s="113" t="s">
        <v>143</v>
      </c>
      <c r="C111" s="114" t="s">
        <v>56</v>
      </c>
      <c r="D111" s="4">
        <v>3640695558.5629554</v>
      </c>
      <c r="E111" s="3">
        <f t="shared" si="36"/>
        <v>4.7545856771817946E-3</v>
      </c>
      <c r="F111" s="4">
        <v>1080.256894334922</v>
      </c>
      <c r="G111" s="4">
        <v>1080.256894334922</v>
      </c>
      <c r="H111" s="60">
        <v>164</v>
      </c>
      <c r="I111" s="5">
        <v>4.7397171556331531E-2</v>
      </c>
      <c r="J111" s="5">
        <v>4.935833451910393E-2</v>
      </c>
      <c r="K111" s="4">
        <v>3933378797.7824965</v>
      </c>
      <c r="L111" s="3">
        <f t="shared" si="30"/>
        <v>4.8915524740815088E-3</v>
      </c>
      <c r="M111" s="4">
        <v>1170.8787294164317</v>
      </c>
      <c r="N111" s="4">
        <v>1170.8787294164317</v>
      </c>
      <c r="O111" s="60">
        <v>164</v>
      </c>
      <c r="P111" s="5">
        <v>5.2441950777930235E-2</v>
      </c>
      <c r="Q111" s="5">
        <v>5.0224716229126672E-2</v>
      </c>
      <c r="R111" s="81">
        <f t="shared" si="31"/>
        <v>8.0392121371188785E-2</v>
      </c>
      <c r="S111" s="81">
        <f t="shared" si="32"/>
        <v>8.3889152253272661E-2</v>
      </c>
      <c r="T111" s="81">
        <f t="shared" si="33"/>
        <v>0</v>
      </c>
      <c r="U111" s="81">
        <f t="shared" si="34"/>
        <v>5.0447792215987039E-3</v>
      </c>
      <c r="V111" s="83">
        <f t="shared" si="35"/>
        <v>8.6638171002274139E-4</v>
      </c>
    </row>
    <row r="112" spans="1:24" ht="15.75">
      <c r="A112" s="75">
        <v>95</v>
      </c>
      <c r="B112" s="113" t="s">
        <v>253</v>
      </c>
      <c r="C112" s="114" t="s">
        <v>114</v>
      </c>
      <c r="D112" s="4">
        <v>791745267.76999998</v>
      </c>
      <c r="E112" s="3">
        <f t="shared" si="36"/>
        <v>1.033983932345496E-3</v>
      </c>
      <c r="F112" s="4">
        <f>1.030212*890.06</f>
        <v>916.95049271999983</v>
      </c>
      <c r="G112" s="4">
        <f>1.036631*890.06</f>
        <v>922.66378786000007</v>
      </c>
      <c r="H112" s="60">
        <v>35</v>
      </c>
      <c r="I112" s="5">
        <v>1.1000000000000001E-3</v>
      </c>
      <c r="J112" s="5">
        <v>4.4999999999999998E-2</v>
      </c>
      <c r="K112" s="4">
        <v>792713719.47000003</v>
      </c>
      <c r="L112" s="3">
        <f t="shared" si="30"/>
        <v>9.8581930575765832E-4</v>
      </c>
      <c r="M112" s="4">
        <f>1.029008*890.012</f>
        <v>915.82946809599991</v>
      </c>
      <c r="N112" s="4">
        <f>1.034967*890.012</f>
        <v>921.13304960399989</v>
      </c>
      <c r="O112" s="60">
        <v>35</v>
      </c>
      <c r="P112" s="5">
        <v>1.1000000000000001E-3</v>
      </c>
      <c r="Q112" s="5">
        <v>4.4999999999999998E-2</v>
      </c>
      <c r="R112" s="81">
        <f t="shared" si="31"/>
        <v>1.223185965768703E-3</v>
      </c>
      <c r="S112" s="81">
        <f t="shared" si="32"/>
        <v>-1.6590423035356438E-3</v>
      </c>
      <c r="T112" s="81">
        <f t="shared" si="33"/>
        <v>0</v>
      </c>
      <c r="U112" s="81">
        <f t="shared" si="34"/>
        <v>0</v>
      </c>
      <c r="V112" s="83">
        <f t="shared" si="35"/>
        <v>0</v>
      </c>
      <c r="X112" s="135"/>
    </row>
    <row r="113" spans="1:24" ht="15.75">
      <c r="A113" s="75">
        <v>96</v>
      </c>
      <c r="B113" s="114" t="s">
        <v>144</v>
      </c>
      <c r="C113" s="136" t="s">
        <v>40</v>
      </c>
      <c r="D113" s="2">
        <v>12493487536</v>
      </c>
      <c r="E113" s="3">
        <f t="shared" si="36"/>
        <v>1.6315936320740205E-2</v>
      </c>
      <c r="F113" s="4">
        <f>1.02*891.0127</f>
        <v>908.83295399999997</v>
      </c>
      <c r="G113" s="4">
        <f>1.02*891.0127</f>
        <v>908.83295399999997</v>
      </c>
      <c r="H113" s="60">
        <v>399</v>
      </c>
      <c r="I113" s="5">
        <v>1.5E-3</v>
      </c>
      <c r="J113" s="5">
        <v>4.7000000000000002E-3</v>
      </c>
      <c r="K113" s="2">
        <v>13060560642</v>
      </c>
      <c r="L113" s="3">
        <f t="shared" si="30"/>
        <v>1.6242121851392406E-2</v>
      </c>
      <c r="M113" s="4">
        <f>1.0218*891.061</f>
        <v>910.48612980000007</v>
      </c>
      <c r="N113" s="4">
        <f>1.0218*891.061</f>
        <v>910.48612980000007</v>
      </c>
      <c r="O113" s="60">
        <v>401</v>
      </c>
      <c r="P113" s="5">
        <v>1.6000000000000001E-3</v>
      </c>
      <c r="Q113" s="5">
        <v>6.4999999999999997E-3</v>
      </c>
      <c r="R113" s="81">
        <f t="shared" si="31"/>
        <v>4.5389496276838484E-2</v>
      </c>
      <c r="S113" s="81">
        <f t="shared" si="32"/>
        <v>1.819009525044246E-3</v>
      </c>
      <c r="T113" s="81">
        <f t="shared" si="33"/>
        <v>5.0125313283208017E-3</v>
      </c>
      <c r="U113" s="81">
        <f t="shared" si="34"/>
        <v>1.0000000000000005E-4</v>
      </c>
      <c r="V113" s="83">
        <f t="shared" si="35"/>
        <v>1.7999999999999995E-3</v>
      </c>
      <c r="X113" s="135"/>
    </row>
    <row r="114" spans="1:24">
      <c r="A114" s="75">
        <v>97</v>
      </c>
      <c r="B114" s="113" t="s">
        <v>145</v>
      </c>
      <c r="C114" s="114" t="s">
        <v>80</v>
      </c>
      <c r="D114" s="4">
        <v>235842901.63</v>
      </c>
      <c r="E114" s="3">
        <f t="shared" si="36"/>
        <v>3.0800028843872983E-4</v>
      </c>
      <c r="F114" s="4">
        <f>1.03*900.57</f>
        <v>927.58710000000008</v>
      </c>
      <c r="G114" s="4">
        <f>1.03*900.57</f>
        <v>927.58710000000008</v>
      </c>
      <c r="H114" s="60">
        <v>3</v>
      </c>
      <c r="I114" s="5">
        <v>-2.679E-3</v>
      </c>
      <c r="J114" s="5">
        <v>-9.3939999999999996E-3</v>
      </c>
      <c r="K114" s="4">
        <v>254919519.06999999</v>
      </c>
      <c r="L114" s="3">
        <f t="shared" si="30"/>
        <v>3.1701808249475378E-4</v>
      </c>
      <c r="M114" s="4">
        <f>1.02*975.14</f>
        <v>994.64279999999997</v>
      </c>
      <c r="N114" s="4">
        <f>1.02*975.14</f>
        <v>994.64279999999997</v>
      </c>
      <c r="O114" s="60">
        <v>3</v>
      </c>
      <c r="P114" s="5">
        <v>-1.7700000000000001E-3</v>
      </c>
      <c r="Q114" s="5">
        <v>-1.1147000000000001E-2</v>
      </c>
      <c r="R114" s="81">
        <f t="shared" si="31"/>
        <v>8.0886968860009095E-2</v>
      </c>
      <c r="S114" s="81">
        <f t="shared" si="32"/>
        <v>7.2290461995428656E-2</v>
      </c>
      <c r="T114" s="81">
        <f t="shared" si="33"/>
        <v>0</v>
      </c>
      <c r="U114" s="81">
        <f t="shared" si="34"/>
        <v>9.0899999999999987E-4</v>
      </c>
      <c r="V114" s="83">
        <f t="shared" si="35"/>
        <v>-1.7530000000000011E-3</v>
      </c>
    </row>
    <row r="115" spans="1:24">
      <c r="A115" s="75">
        <v>98</v>
      </c>
      <c r="B115" s="113" t="s">
        <v>146</v>
      </c>
      <c r="C115" s="114" t="s">
        <v>42</v>
      </c>
      <c r="D115" s="2">
        <v>459062886033.31</v>
      </c>
      <c r="E115" s="3">
        <f t="shared" si="36"/>
        <v>0.5995156111655886</v>
      </c>
      <c r="F115" s="4">
        <v>1332.33</v>
      </c>
      <c r="G115" s="4">
        <v>1332.33</v>
      </c>
      <c r="H115" s="60">
        <v>10255</v>
      </c>
      <c r="I115" s="5">
        <v>1.4E-3</v>
      </c>
      <c r="J115" s="5">
        <v>3.8999999999999998E-3</v>
      </c>
      <c r="K115" s="2">
        <v>496604094797.62</v>
      </c>
      <c r="L115" s="3">
        <f t="shared" si="30"/>
        <v>0.61757718069660261</v>
      </c>
      <c r="M115" s="4">
        <v>1435.8</v>
      </c>
      <c r="N115" s="4">
        <v>1435.8</v>
      </c>
      <c r="O115" s="60">
        <v>10372</v>
      </c>
      <c r="P115" s="5">
        <v>1.4E-3</v>
      </c>
      <c r="Q115" s="5">
        <v>5.3E-3</v>
      </c>
      <c r="R115" s="81">
        <f t="shared" si="31"/>
        <v>8.1777921732461678E-2</v>
      </c>
      <c r="S115" s="81">
        <f t="shared" si="32"/>
        <v>7.7660939857242595E-2</v>
      </c>
      <c r="T115" s="81">
        <f t="shared" si="33"/>
        <v>1.1409068746952706E-2</v>
      </c>
      <c r="U115" s="81">
        <f t="shared" si="34"/>
        <v>0</v>
      </c>
      <c r="V115" s="83">
        <f t="shared" si="35"/>
        <v>1.4000000000000002E-3</v>
      </c>
    </row>
    <row r="116" spans="1:24" ht="16.5" customHeight="1">
      <c r="A116" s="75">
        <v>99</v>
      </c>
      <c r="B116" s="113" t="s">
        <v>147</v>
      </c>
      <c r="C116" s="114" t="s">
        <v>45</v>
      </c>
      <c r="D116" s="2">
        <v>22177249204.41</v>
      </c>
      <c r="E116" s="3">
        <f t="shared" si="36"/>
        <v>2.8962496240196343E-2</v>
      </c>
      <c r="F116" s="4">
        <v>984.75</v>
      </c>
      <c r="G116" s="4">
        <v>984.75</v>
      </c>
      <c r="H116" s="60">
        <v>168</v>
      </c>
      <c r="I116" s="5">
        <v>0.1057</v>
      </c>
      <c r="J116" s="5">
        <v>0.10589999999999999</v>
      </c>
      <c r="K116" s="2">
        <v>22468017402.040001</v>
      </c>
      <c r="L116" s="3">
        <f t="shared" si="30"/>
        <v>2.7941241299367089E-2</v>
      </c>
      <c r="M116" s="4">
        <v>974.85</v>
      </c>
      <c r="N116" s="4">
        <v>974.85</v>
      </c>
      <c r="O116" s="60">
        <v>174</v>
      </c>
      <c r="P116" s="5">
        <v>8.9700000000000002E-2</v>
      </c>
      <c r="Q116" s="5">
        <v>0.1018</v>
      </c>
      <c r="R116" s="81">
        <f t="shared" si="31"/>
        <v>1.3111102957357809E-2</v>
      </c>
      <c r="S116" s="81">
        <f t="shared" si="32"/>
        <v>-1.005331302361003E-2</v>
      </c>
      <c r="T116" s="81">
        <f t="shared" si="33"/>
        <v>3.5714285714285712E-2</v>
      </c>
      <c r="U116" s="81">
        <f t="shared" si="34"/>
        <v>-1.6E-2</v>
      </c>
      <c r="V116" s="83">
        <f t="shared" si="35"/>
        <v>-4.0999999999999925E-3</v>
      </c>
    </row>
    <row r="117" spans="1:24">
      <c r="A117" s="75">
        <v>100</v>
      </c>
      <c r="B117" s="113" t="s">
        <v>148</v>
      </c>
      <c r="C117" s="114" t="s">
        <v>32</v>
      </c>
      <c r="D117" s="4">
        <v>25649659746.280884</v>
      </c>
      <c r="E117" s="3">
        <f t="shared" si="36"/>
        <v>3.3497309207142445E-2</v>
      </c>
      <c r="F117" s="4">
        <f>1.0946*891.0127</f>
        <v>975.30250142</v>
      </c>
      <c r="G117" s="4">
        <f>1.0946*891.0127</f>
        <v>975.30250142</v>
      </c>
      <c r="H117" s="60">
        <v>1084</v>
      </c>
      <c r="I117" s="5">
        <v>1.8304960644335289E-3</v>
      </c>
      <c r="J117" s="5">
        <v>-2.5028948071613044E-2</v>
      </c>
      <c r="K117" s="4">
        <v>27034686863.484383</v>
      </c>
      <c r="L117" s="3">
        <f t="shared" si="30"/>
        <v>3.3620354461576178E-2</v>
      </c>
      <c r="M117" s="4">
        <v>1.0948</v>
      </c>
      <c r="N117" s="4">
        <v>1.0948</v>
      </c>
      <c r="O117" s="60">
        <v>1110</v>
      </c>
      <c r="P117" s="5">
        <v>1.8271514708567693E-4</v>
      </c>
      <c r="Q117" s="5">
        <v>-2.4850806092455713E-2</v>
      </c>
      <c r="R117" s="81">
        <f t="shared" si="31"/>
        <v>5.399787486086724E-2</v>
      </c>
      <c r="S117" s="81">
        <f t="shared" si="32"/>
        <v>-0.99887747647688185</v>
      </c>
      <c r="T117" s="81">
        <f t="shared" si="33"/>
        <v>2.3985239852398525E-2</v>
      </c>
      <c r="U117" s="81">
        <f t="shared" si="34"/>
        <v>-1.6477809173478519E-3</v>
      </c>
      <c r="V117" s="83">
        <f t="shared" si="35"/>
        <v>1.7814197915733132E-4</v>
      </c>
    </row>
    <row r="118" spans="1:24">
      <c r="A118" s="75"/>
      <c r="B118" s="19"/>
      <c r="C118" s="66" t="s">
        <v>46</v>
      </c>
      <c r="D118" s="59">
        <f>SUM(D94:D117)</f>
        <v>765722989499.45947</v>
      </c>
      <c r="E118" s="100">
        <f>(D118/$D$181)</f>
        <v>0.34562530942511843</v>
      </c>
      <c r="F118" s="30"/>
      <c r="G118" s="11"/>
      <c r="H118" s="65">
        <f>SUM(H94:H117)</f>
        <v>19362</v>
      </c>
      <c r="I118" s="33"/>
      <c r="J118" s="33"/>
      <c r="K118" s="59">
        <f>SUM(K94:K117)</f>
        <v>804116651844.98926</v>
      </c>
      <c r="L118" s="100">
        <f>(K118/$K$181)</f>
        <v>0.35296570339002314</v>
      </c>
      <c r="M118" s="30"/>
      <c r="N118" s="11"/>
      <c r="O118" s="65">
        <f>SUM(O94:O117)</f>
        <v>19549</v>
      </c>
      <c r="P118" s="33"/>
      <c r="Q118" s="33"/>
      <c r="R118" s="81">
        <f t="shared" si="31"/>
        <v>5.0140407003617708E-2</v>
      </c>
      <c r="S118" s="81" t="e">
        <f t="shared" si="32"/>
        <v>#DIV/0!</v>
      </c>
      <c r="T118" s="81">
        <f t="shared" si="33"/>
        <v>9.6580931721929556E-3</v>
      </c>
      <c r="U118" s="81">
        <f t="shared" si="34"/>
        <v>0</v>
      </c>
      <c r="V118" s="83">
        <f t="shared" si="35"/>
        <v>0</v>
      </c>
    </row>
    <row r="119" spans="1:24" ht="8.25" customHeight="1">
      <c r="A119" s="141"/>
      <c r="B119" s="141"/>
      <c r="C119" s="141"/>
      <c r="D119" s="141"/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141"/>
      <c r="P119" s="141"/>
      <c r="Q119" s="141"/>
      <c r="R119" s="141"/>
      <c r="S119" s="141"/>
      <c r="T119" s="141"/>
      <c r="U119" s="141"/>
      <c r="V119" s="141"/>
    </row>
    <row r="120" spans="1:24" ht="15.75">
      <c r="A120" s="148" t="s">
        <v>149</v>
      </c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</row>
    <row r="121" spans="1:24">
      <c r="A121" s="75">
        <v>101</v>
      </c>
      <c r="B121" s="113" t="s">
        <v>245</v>
      </c>
      <c r="C121" s="114" t="s">
        <v>246</v>
      </c>
      <c r="D121" s="2">
        <v>2182907304.3728204</v>
      </c>
      <c r="E121" s="3">
        <f>(D121/$D$126)</f>
        <v>2.1917693071911489E-2</v>
      </c>
      <c r="F121" s="14">
        <v>102.870278245656</v>
      </c>
      <c r="G121" s="14">
        <v>102.870278245656</v>
      </c>
      <c r="H121" s="60">
        <v>7</v>
      </c>
      <c r="I121" s="5">
        <v>2.365351481218525E-3</v>
      </c>
      <c r="J121" s="5">
        <v>6.1000000000000004E-3</v>
      </c>
      <c r="K121" s="2">
        <v>2188058467.364841</v>
      </c>
      <c r="L121" s="3">
        <f>(K121/$K$126)</f>
        <v>2.1835882734681792E-2</v>
      </c>
      <c r="M121" s="14">
        <v>103.11</v>
      </c>
      <c r="N121" s="14">
        <v>103.11</v>
      </c>
      <c r="O121" s="60">
        <v>7</v>
      </c>
      <c r="P121" s="5">
        <v>2.3303305719806211E-3</v>
      </c>
      <c r="Q121" s="5">
        <v>6.1000000000000004E-3</v>
      </c>
      <c r="R121" s="81">
        <f t="shared" ref="R121:R126" si="37">((K121-D121)/D121)</f>
        <v>2.359771751050422E-3</v>
      </c>
      <c r="S121" s="81">
        <f t="shared" ref="S121:T126" si="38">((N121-G121)/G121)</f>
        <v>2.3303305719806055E-3</v>
      </c>
      <c r="T121" s="81">
        <f t="shared" si="38"/>
        <v>0</v>
      </c>
      <c r="U121" s="81">
        <f t="shared" ref="U121:V126" si="39">P121-I121</f>
        <v>-3.5020909237903908E-5</v>
      </c>
      <c r="V121" s="83">
        <f t="shared" si="39"/>
        <v>0</v>
      </c>
    </row>
    <row r="122" spans="1:24">
      <c r="A122" s="75">
        <v>102</v>
      </c>
      <c r="B122" s="113" t="s">
        <v>150</v>
      </c>
      <c r="C122" s="114" t="s">
        <v>40</v>
      </c>
      <c r="D122" s="2">
        <v>54330953714</v>
      </c>
      <c r="E122" s="3">
        <f>(D122/$D$126)</f>
        <v>0.54551522431678234</v>
      </c>
      <c r="F122" s="14">
        <v>102.5</v>
      </c>
      <c r="G122" s="14">
        <v>102.5</v>
      </c>
      <c r="H122" s="60">
        <v>675</v>
      </c>
      <c r="I122" s="5">
        <v>0</v>
      </c>
      <c r="J122" s="5">
        <v>7.6999999999999999E-2</v>
      </c>
      <c r="K122" s="2">
        <v>54330953714</v>
      </c>
      <c r="L122" s="3">
        <f>(K122/$K$126)</f>
        <v>0.54219955812748932</v>
      </c>
      <c r="M122" s="14">
        <v>102.5</v>
      </c>
      <c r="N122" s="14">
        <v>102.5</v>
      </c>
      <c r="O122" s="60">
        <v>675</v>
      </c>
      <c r="P122" s="5">
        <v>0</v>
      </c>
      <c r="Q122" s="5">
        <v>7.6999999999999999E-2</v>
      </c>
      <c r="R122" s="81">
        <f t="shared" si="37"/>
        <v>0</v>
      </c>
      <c r="S122" s="81">
        <f t="shared" si="38"/>
        <v>0</v>
      </c>
      <c r="T122" s="81">
        <f t="shared" si="38"/>
        <v>0</v>
      </c>
      <c r="U122" s="81">
        <f t="shared" si="39"/>
        <v>0</v>
      </c>
      <c r="V122" s="83">
        <f t="shared" si="39"/>
        <v>0</v>
      </c>
    </row>
    <row r="123" spans="1:24" ht="17.25" customHeight="1">
      <c r="A123" s="75">
        <v>103</v>
      </c>
      <c r="B123" s="113" t="s">
        <v>151</v>
      </c>
      <c r="C123" s="114" t="s">
        <v>120</v>
      </c>
      <c r="D123" s="2">
        <v>2602622954.1799998</v>
      </c>
      <c r="E123" s="3">
        <f>(D123/$D$126)</f>
        <v>2.6131888870113147E-2</v>
      </c>
      <c r="F123" s="14">
        <v>101.35</v>
      </c>
      <c r="G123" s="14">
        <v>101.35</v>
      </c>
      <c r="H123" s="60">
        <v>2771</v>
      </c>
      <c r="I123" s="5">
        <v>7.0400000000000004E-2</v>
      </c>
      <c r="J123" s="5">
        <v>3.9100000000000003E-2</v>
      </c>
      <c r="K123" s="2">
        <v>2605197524.9299998</v>
      </c>
      <c r="L123" s="3">
        <f>(K123/$K$126)</f>
        <v>2.5998751177597902E-2</v>
      </c>
      <c r="M123" s="14">
        <v>101.35</v>
      </c>
      <c r="N123" s="14">
        <v>101.35</v>
      </c>
      <c r="O123" s="60">
        <v>2771</v>
      </c>
      <c r="P123" s="5">
        <v>7.2400000000000006E-2</v>
      </c>
      <c r="Q123" s="5">
        <v>4.24E-2</v>
      </c>
      <c r="R123" s="81">
        <f t="shared" si="37"/>
        <v>9.8922156429345786E-4</v>
      </c>
      <c r="S123" s="81">
        <f t="shared" si="38"/>
        <v>0</v>
      </c>
      <c r="T123" s="81">
        <f t="shared" si="38"/>
        <v>0</v>
      </c>
      <c r="U123" s="81">
        <f t="shared" si="39"/>
        <v>2.0000000000000018E-3</v>
      </c>
      <c r="V123" s="83">
        <f t="shared" si="39"/>
        <v>3.2999999999999974E-3</v>
      </c>
    </row>
    <row r="124" spans="1:24">
      <c r="A124" s="75">
        <v>104</v>
      </c>
      <c r="B124" s="113" t="s">
        <v>152</v>
      </c>
      <c r="C124" s="114" t="s">
        <v>120</v>
      </c>
      <c r="D124" s="2">
        <v>10891224758.440001</v>
      </c>
      <c r="E124" s="3">
        <f>(D124/$D$126)</f>
        <v>0.10935440133188622</v>
      </c>
      <c r="F124" s="14">
        <v>36.6</v>
      </c>
      <c r="G124" s="14">
        <v>36.6</v>
      </c>
      <c r="H124" s="60">
        <v>5274</v>
      </c>
      <c r="I124" s="5">
        <v>1.7399999999999999E-2</v>
      </c>
      <c r="J124" s="5">
        <v>0.14069999999999999</v>
      </c>
      <c r="K124" s="2">
        <v>10900003534.99</v>
      </c>
      <c r="L124" s="3">
        <f>(K124/$K$126)</f>
        <v>0.10877734875352954</v>
      </c>
      <c r="M124" s="14">
        <v>36.6</v>
      </c>
      <c r="N124" s="14">
        <v>36.6</v>
      </c>
      <c r="O124" s="60">
        <v>5274</v>
      </c>
      <c r="P124" s="5">
        <v>4.3499999999999997E-2</v>
      </c>
      <c r="Q124" s="5">
        <v>0.13500000000000001</v>
      </c>
      <c r="R124" s="81">
        <f t="shared" si="37"/>
        <v>8.0604126209003703E-4</v>
      </c>
      <c r="S124" s="81">
        <f t="shared" si="38"/>
        <v>0</v>
      </c>
      <c r="T124" s="81">
        <f t="shared" si="38"/>
        <v>0</v>
      </c>
      <c r="U124" s="81">
        <f t="shared" si="39"/>
        <v>2.6099999999999998E-2</v>
      </c>
      <c r="V124" s="83">
        <f t="shared" si="39"/>
        <v>-5.6999999999999829E-3</v>
      </c>
    </row>
    <row r="125" spans="1:24">
      <c r="A125" s="75">
        <v>105</v>
      </c>
      <c r="B125" s="113" t="s">
        <v>153</v>
      </c>
      <c r="C125" s="114" t="s">
        <v>42</v>
      </c>
      <c r="D125" s="2">
        <v>29587960266.23</v>
      </c>
      <c r="E125" s="3">
        <f>(D125/$D$126)</f>
        <v>0.29708079240930696</v>
      </c>
      <c r="F125" s="14">
        <v>6.65</v>
      </c>
      <c r="G125" s="14">
        <v>6.65</v>
      </c>
      <c r="H125" s="60">
        <v>208853</v>
      </c>
      <c r="I125" s="5">
        <v>1.5299999999999999E-2</v>
      </c>
      <c r="J125" s="5">
        <v>3.9100000000000003E-2</v>
      </c>
      <c r="K125" s="2">
        <v>30180504559.73</v>
      </c>
      <c r="L125" s="3">
        <f>(K125/$K$126)</f>
        <v>0.30118845920670156</v>
      </c>
      <c r="M125" s="14">
        <v>6.2</v>
      </c>
      <c r="N125" s="14">
        <v>6.2</v>
      </c>
      <c r="O125" s="60">
        <v>208853</v>
      </c>
      <c r="P125" s="5">
        <v>-6.7699999999999996E-2</v>
      </c>
      <c r="Q125" s="5">
        <v>-3.1300000000000001E-2</v>
      </c>
      <c r="R125" s="81">
        <f t="shared" si="37"/>
        <v>2.0026534041831065E-2</v>
      </c>
      <c r="S125" s="81">
        <f t="shared" si="38"/>
        <v>-6.7669172932330851E-2</v>
      </c>
      <c r="T125" s="81">
        <f t="shared" si="38"/>
        <v>0</v>
      </c>
      <c r="U125" s="81">
        <f t="shared" si="39"/>
        <v>-8.299999999999999E-2</v>
      </c>
      <c r="V125" s="83">
        <f t="shared" si="39"/>
        <v>-7.0400000000000004E-2</v>
      </c>
    </row>
    <row r="126" spans="1:24">
      <c r="A126" s="75"/>
      <c r="B126" s="19"/>
      <c r="C126" s="71" t="s">
        <v>46</v>
      </c>
      <c r="D126" s="58">
        <f>SUM(D121:D125)</f>
        <v>99595668997.222809</v>
      </c>
      <c r="E126" s="100">
        <f>(D126/$D$181)</f>
        <v>4.4954617252733156E-2</v>
      </c>
      <c r="F126" s="30"/>
      <c r="G126" s="34"/>
      <c r="H126" s="65">
        <f>SUM(H121:H125)</f>
        <v>217580</v>
      </c>
      <c r="I126" s="35"/>
      <c r="J126" s="35"/>
      <c r="K126" s="58">
        <f>SUM(K121:K125)</f>
        <v>100204717801.01483</v>
      </c>
      <c r="L126" s="100">
        <f>(K126/$K$181)</f>
        <v>4.3984698762900482E-2</v>
      </c>
      <c r="M126" s="30"/>
      <c r="N126" s="34"/>
      <c r="O126" s="65">
        <f>SUM(O121:O125)</f>
        <v>217580</v>
      </c>
      <c r="P126" s="35"/>
      <c r="Q126" s="35"/>
      <c r="R126" s="81">
        <f t="shared" si="37"/>
        <v>6.1152137429691424E-3</v>
      </c>
      <c r="S126" s="81" t="e">
        <f t="shared" si="38"/>
        <v>#DIV/0!</v>
      </c>
      <c r="T126" s="81">
        <f t="shared" si="38"/>
        <v>0</v>
      </c>
      <c r="U126" s="81">
        <f t="shared" si="39"/>
        <v>0</v>
      </c>
      <c r="V126" s="83">
        <f t="shared" si="39"/>
        <v>0</v>
      </c>
    </row>
    <row r="127" spans="1:24" ht="7.5" customHeight="1">
      <c r="A127" s="141"/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</row>
    <row r="128" spans="1:24" ht="15" customHeight="1">
      <c r="A128" s="148" t="s">
        <v>154</v>
      </c>
      <c r="B128" s="148"/>
      <c r="C128" s="148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</row>
    <row r="129" spans="1:24">
      <c r="A129" s="75">
        <v>106</v>
      </c>
      <c r="B129" s="113" t="s">
        <v>155</v>
      </c>
      <c r="C129" s="114" t="s">
        <v>50</v>
      </c>
      <c r="D129" s="4">
        <v>251151823.93000001</v>
      </c>
      <c r="E129" s="3">
        <f t="shared" ref="E129:E154" si="40">(D129/$D$155)</f>
        <v>5.0567322120222665E-3</v>
      </c>
      <c r="F129" s="4">
        <v>5.61</v>
      </c>
      <c r="G129" s="4">
        <v>5.74</v>
      </c>
      <c r="H129" s="62">
        <v>11815</v>
      </c>
      <c r="I129" s="6">
        <v>4.2867000000000002E-2</v>
      </c>
      <c r="J129" s="6">
        <v>0.114815</v>
      </c>
      <c r="K129" s="4">
        <v>253801805.53</v>
      </c>
      <c r="L129" s="16">
        <f t="shared" ref="L129:L145" si="41">(K129/$K$155)</f>
        <v>5.010942328303898E-3</v>
      </c>
      <c r="M129" s="4">
        <v>5.69</v>
      </c>
      <c r="N129" s="4">
        <v>5.78</v>
      </c>
      <c r="O129" s="62">
        <v>11815</v>
      </c>
      <c r="P129" s="6">
        <v>1.6344000000000001E-2</v>
      </c>
      <c r="Q129" s="6">
        <v>0.131159</v>
      </c>
      <c r="R129" s="81">
        <f>((K129-D129)/D129)</f>
        <v>1.05513133790284E-2</v>
      </c>
      <c r="S129" s="81">
        <f>((N129-G129)/G129)</f>
        <v>6.9686411149825845E-3</v>
      </c>
      <c r="T129" s="81">
        <f>((O129-H129)/H129)</f>
        <v>0</v>
      </c>
      <c r="U129" s="81">
        <f>P129-I129</f>
        <v>-2.6523000000000001E-2</v>
      </c>
      <c r="V129" s="83">
        <f>Q129-J129</f>
        <v>1.6343999999999997E-2</v>
      </c>
    </row>
    <row r="130" spans="1:24">
      <c r="A130" s="75">
        <v>107</v>
      </c>
      <c r="B130" s="113" t="s">
        <v>255</v>
      </c>
      <c r="C130" s="113" t="s">
        <v>254</v>
      </c>
      <c r="D130" s="4">
        <v>655950892.03604972</v>
      </c>
      <c r="E130" s="3">
        <f t="shared" si="40"/>
        <v>1.3207023358858519E-2</v>
      </c>
      <c r="F130" s="4">
        <v>1252.0667710203388</v>
      </c>
      <c r="G130" s="4">
        <v>1265.2318645763714</v>
      </c>
      <c r="H130" s="62">
        <v>191</v>
      </c>
      <c r="I130" s="6">
        <v>3.4456553925356563E-2</v>
      </c>
      <c r="J130" s="6">
        <v>0.11834826582980978</v>
      </c>
      <c r="K130" s="4">
        <v>662678800.62369776</v>
      </c>
      <c r="L130" s="16">
        <f t="shared" si="41"/>
        <v>1.3083615560498595E-2</v>
      </c>
      <c r="M130" s="4">
        <v>1265.133778029531</v>
      </c>
      <c r="N130" s="4">
        <v>1278.5068472713672</v>
      </c>
      <c r="O130" s="62">
        <v>190</v>
      </c>
      <c r="P130" s="6">
        <v>1.0470240071260116E-2</v>
      </c>
      <c r="Q130" s="6">
        <v>0.1300576406563253</v>
      </c>
      <c r="R130" s="81">
        <f>((K130-D130)/D130)</f>
        <v>1.0256726028323294E-2</v>
      </c>
      <c r="S130" s="81">
        <f>((N130-G130)/G130)</f>
        <v>1.0492134340483522E-2</v>
      </c>
      <c r="T130" s="81">
        <f>((O130-H130)/H130)</f>
        <v>-5.235602094240838E-3</v>
      </c>
      <c r="U130" s="81">
        <f>P130-I130</f>
        <v>-2.3986313854096449E-2</v>
      </c>
      <c r="V130" s="83">
        <f>Q130-J130</f>
        <v>1.1709374826515517E-2</v>
      </c>
    </row>
    <row r="131" spans="1:24">
      <c r="A131" s="75">
        <v>108</v>
      </c>
      <c r="B131" s="113" t="s">
        <v>156</v>
      </c>
      <c r="C131" s="114" t="s">
        <v>21</v>
      </c>
      <c r="D131" s="4">
        <v>7069685891.04</v>
      </c>
      <c r="E131" s="3">
        <f t="shared" si="40"/>
        <v>0.14234222079177597</v>
      </c>
      <c r="F131" s="4">
        <v>750.92160000000001</v>
      </c>
      <c r="G131" s="4">
        <v>773.5625</v>
      </c>
      <c r="H131" s="62">
        <v>21188</v>
      </c>
      <c r="I131" s="6">
        <v>4.2682000000000002</v>
      </c>
      <c r="J131" s="6">
        <v>2.5720999999999998</v>
      </c>
      <c r="K131" s="4">
        <v>7430162222.5200005</v>
      </c>
      <c r="L131" s="16">
        <f t="shared" si="41"/>
        <v>0.14669759464177298</v>
      </c>
      <c r="M131" s="4">
        <v>789.57719999999995</v>
      </c>
      <c r="N131" s="4">
        <v>813.38350000000003</v>
      </c>
      <c r="O131" s="62">
        <v>21192</v>
      </c>
      <c r="P131" s="6">
        <v>2.6915</v>
      </c>
      <c r="Q131" s="6">
        <v>2.7010000000000001</v>
      </c>
      <c r="R131" s="81">
        <f t="shared" ref="R131:R155" si="42">((K131-D131)/D131)</f>
        <v>5.0989016631822648E-2</v>
      </c>
      <c r="S131" s="81">
        <f t="shared" ref="S131:S155" si="43">((N131-G131)/G131)</f>
        <v>5.1477417791064108E-2</v>
      </c>
      <c r="T131" s="81">
        <f t="shared" ref="T131:T155" si="44">((O131-H131)/H131)</f>
        <v>1.8878610534264677E-4</v>
      </c>
      <c r="U131" s="81">
        <f t="shared" ref="U131:U155" si="45">P131-I131</f>
        <v>-1.5767000000000002</v>
      </c>
      <c r="V131" s="83">
        <f t="shared" ref="V131:V155" si="46">Q131-J131</f>
        <v>0.12890000000000024</v>
      </c>
    </row>
    <row r="132" spans="1:24">
      <c r="A132" s="75">
        <v>109</v>
      </c>
      <c r="B132" s="113" t="s">
        <v>157</v>
      </c>
      <c r="C132" s="114" t="s">
        <v>91</v>
      </c>
      <c r="D132" s="4">
        <v>3774518002.5599999</v>
      </c>
      <c r="E132" s="3">
        <f t="shared" si="40"/>
        <v>7.599676749201259E-2</v>
      </c>
      <c r="F132" s="4">
        <v>20.5749</v>
      </c>
      <c r="G132" s="4">
        <v>20.8325</v>
      </c>
      <c r="H132" s="60">
        <v>6272</v>
      </c>
      <c r="I132" s="5">
        <v>6.54E-2</v>
      </c>
      <c r="J132" s="5">
        <v>0.11600000000000001</v>
      </c>
      <c r="K132" s="4">
        <v>3872832943.8200002</v>
      </c>
      <c r="L132" s="16">
        <f t="shared" si="41"/>
        <v>7.6463374593068165E-2</v>
      </c>
      <c r="M132" s="4">
        <v>21.3749</v>
      </c>
      <c r="N132" s="4">
        <v>21.6496</v>
      </c>
      <c r="O132" s="60">
        <v>6271</v>
      </c>
      <c r="P132" s="5">
        <v>3.27E-2</v>
      </c>
      <c r="Q132" s="5">
        <v>0.1595</v>
      </c>
      <c r="R132" s="81">
        <f t="shared" si="42"/>
        <v>2.6047018769898532E-2</v>
      </c>
      <c r="S132" s="81">
        <f t="shared" si="43"/>
        <v>3.9222368894755791E-2</v>
      </c>
      <c r="T132" s="81">
        <f t="shared" si="44"/>
        <v>-1.5943877551020407E-4</v>
      </c>
      <c r="U132" s="81">
        <f t="shared" si="45"/>
        <v>-3.27E-2</v>
      </c>
      <c r="V132" s="83">
        <f t="shared" si="46"/>
        <v>4.3499999999999997E-2</v>
      </c>
    </row>
    <row r="133" spans="1:24">
      <c r="A133" s="75">
        <v>110</v>
      </c>
      <c r="B133" s="113" t="s">
        <v>158</v>
      </c>
      <c r="C133" s="114" t="s">
        <v>101</v>
      </c>
      <c r="D133" s="2">
        <v>1574269886.54</v>
      </c>
      <c r="E133" s="3">
        <f t="shared" si="40"/>
        <v>3.1696609330228151E-2</v>
      </c>
      <c r="F133" s="4">
        <v>3.6770999999999998</v>
      </c>
      <c r="G133" s="4">
        <v>3.7795000000000001</v>
      </c>
      <c r="H133" s="60">
        <v>2753</v>
      </c>
      <c r="I133" s="5">
        <v>4.2496999999999998</v>
      </c>
      <c r="J133" s="5">
        <v>3.6185999999999998</v>
      </c>
      <c r="K133" s="2">
        <v>1595758381.11379</v>
      </c>
      <c r="L133" s="16">
        <f t="shared" si="41"/>
        <v>3.1505895716425932E-2</v>
      </c>
      <c r="M133" s="4">
        <v>3.7292000000000001</v>
      </c>
      <c r="N133" s="4">
        <v>3.8290999999999999</v>
      </c>
      <c r="O133" s="60">
        <v>2753</v>
      </c>
      <c r="P133" s="5">
        <v>0.68620000000000003</v>
      </c>
      <c r="Q133" s="5">
        <v>2.8637999999999999</v>
      </c>
      <c r="R133" s="81">
        <f t="shared" si="42"/>
        <v>1.3649816183055143E-2</v>
      </c>
      <c r="S133" s="81">
        <f t="shared" si="43"/>
        <v>1.3123429025003271E-2</v>
      </c>
      <c r="T133" s="81">
        <f t="shared" si="44"/>
        <v>0</v>
      </c>
      <c r="U133" s="81">
        <f t="shared" si="45"/>
        <v>-3.5634999999999999</v>
      </c>
      <c r="V133" s="83">
        <f t="shared" si="46"/>
        <v>-0.75479999999999992</v>
      </c>
    </row>
    <row r="134" spans="1:24">
      <c r="A134" s="75">
        <v>111</v>
      </c>
      <c r="B134" s="113" t="s">
        <v>159</v>
      </c>
      <c r="C134" s="114" t="s">
        <v>56</v>
      </c>
      <c r="D134" s="2">
        <v>3675181890.9326501</v>
      </c>
      <c r="E134" s="3">
        <f t="shared" si="40"/>
        <v>7.3996717850234706E-2</v>
      </c>
      <c r="F134" s="4">
        <v>6538.2164875037897</v>
      </c>
      <c r="G134" s="4">
        <v>6590.5683828306301</v>
      </c>
      <c r="H134" s="60">
        <v>859</v>
      </c>
      <c r="I134" s="5">
        <v>1.342995001360322</v>
      </c>
      <c r="J134" s="5">
        <v>2.4987332214923503</v>
      </c>
      <c r="K134" s="2">
        <v>3573981850.2108402</v>
      </c>
      <c r="L134" s="16">
        <f t="shared" si="41"/>
        <v>7.0563000512990789E-2</v>
      </c>
      <c r="M134" s="4">
        <v>6446.8728089071701</v>
      </c>
      <c r="N134" s="4">
        <v>6497.5880140900299</v>
      </c>
      <c r="O134" s="60">
        <v>861</v>
      </c>
      <c r="P134" s="5">
        <v>-0.73046976802268204</v>
      </c>
      <c r="Q134" s="5">
        <v>1.603821894639418</v>
      </c>
      <c r="R134" s="81">
        <f t="shared" si="42"/>
        <v>-2.7536063173223883E-2</v>
      </c>
      <c r="S134" s="81">
        <f t="shared" si="43"/>
        <v>-1.4108095590484621E-2</v>
      </c>
      <c r="T134" s="81">
        <f t="shared" si="44"/>
        <v>2.3282887077997671E-3</v>
      </c>
      <c r="U134" s="81">
        <f t="shared" si="45"/>
        <v>-2.0734647693830039</v>
      </c>
      <c r="V134" s="83">
        <f t="shared" si="46"/>
        <v>-0.89491132685293229</v>
      </c>
    </row>
    <row r="135" spans="1:24">
      <c r="A135" s="75">
        <v>112</v>
      </c>
      <c r="B135" s="113" t="s">
        <v>160</v>
      </c>
      <c r="C135" s="114" t="s">
        <v>58</v>
      </c>
      <c r="D135" s="4">
        <v>518633161.56</v>
      </c>
      <c r="E135" s="3">
        <f t="shared" si="40"/>
        <v>1.0442245543931854E-2</v>
      </c>
      <c r="F135" s="4">
        <v>186.65</v>
      </c>
      <c r="G135" s="4">
        <v>188.09</v>
      </c>
      <c r="H135" s="60">
        <v>647</v>
      </c>
      <c r="I135" s="5">
        <v>1.2200000000000001E-2</v>
      </c>
      <c r="J135" s="5">
        <v>7.9500000000000001E-2</v>
      </c>
      <c r="K135" s="4">
        <v>523833531.24000001</v>
      </c>
      <c r="L135" s="16">
        <f t="shared" si="41"/>
        <v>1.0342320493717482E-2</v>
      </c>
      <c r="M135" s="4">
        <v>186.51</v>
      </c>
      <c r="N135" s="4">
        <v>187.93</v>
      </c>
      <c r="O135" s="60">
        <v>653</v>
      </c>
      <c r="P135" s="5">
        <v>-8.0000000000000004E-4</v>
      </c>
      <c r="Q135" s="5">
        <v>7.8600000000000003E-2</v>
      </c>
      <c r="R135" s="81">
        <f t="shared" si="42"/>
        <v>1.0027067425379784E-2</v>
      </c>
      <c r="S135" s="81">
        <f t="shared" si="43"/>
        <v>-8.506566005635418E-4</v>
      </c>
      <c r="T135" s="81">
        <f t="shared" si="44"/>
        <v>9.2735703245749607E-3</v>
      </c>
      <c r="U135" s="81">
        <f t="shared" si="45"/>
        <v>-1.3000000000000001E-2</v>
      </c>
      <c r="V135" s="83">
        <f t="shared" si="46"/>
        <v>-8.9999999999999802E-4</v>
      </c>
    </row>
    <row r="136" spans="1:24">
      <c r="A136" s="75">
        <v>113</v>
      </c>
      <c r="B136" s="113" t="s">
        <v>161</v>
      </c>
      <c r="C136" s="114" t="s">
        <v>60</v>
      </c>
      <c r="D136" s="4">
        <v>3734808.11</v>
      </c>
      <c r="E136" s="3">
        <f t="shared" si="40"/>
        <v>7.5197241971146521E-5</v>
      </c>
      <c r="F136" s="4">
        <v>102.747</v>
      </c>
      <c r="G136" s="4">
        <v>102.99</v>
      </c>
      <c r="H136" s="60">
        <v>0</v>
      </c>
      <c r="I136" s="5">
        <v>0</v>
      </c>
      <c r="J136" s="5">
        <v>0</v>
      </c>
      <c r="K136" s="4">
        <v>3734808.11</v>
      </c>
      <c r="L136" s="16">
        <f t="shared" si="41"/>
        <v>7.3738277816465462E-5</v>
      </c>
      <c r="M136" s="4">
        <v>102.747</v>
      </c>
      <c r="N136" s="4">
        <v>102.99</v>
      </c>
      <c r="O136" s="60">
        <v>0</v>
      </c>
      <c r="P136" s="5">
        <v>0</v>
      </c>
      <c r="Q136" s="5">
        <v>0</v>
      </c>
      <c r="R136" s="81">
        <f t="shared" si="42"/>
        <v>0</v>
      </c>
      <c r="S136" s="81">
        <f t="shared" si="43"/>
        <v>0</v>
      </c>
      <c r="T136" s="81" t="e">
        <f t="shared" si="44"/>
        <v>#DIV/0!</v>
      </c>
      <c r="U136" s="81">
        <f t="shared" si="45"/>
        <v>0</v>
      </c>
      <c r="V136" s="83">
        <f t="shared" si="46"/>
        <v>0</v>
      </c>
    </row>
    <row r="137" spans="1:24">
      <c r="A137" s="75">
        <v>114</v>
      </c>
      <c r="B137" s="113" t="s">
        <v>162</v>
      </c>
      <c r="C137" s="114" t="s">
        <v>105</v>
      </c>
      <c r="D137" s="4">
        <v>201451523.78999999</v>
      </c>
      <c r="E137" s="3">
        <f t="shared" si="40"/>
        <v>4.0560581785533314E-3</v>
      </c>
      <c r="F137" s="4">
        <v>1.6343000000000001</v>
      </c>
      <c r="G137" s="4">
        <v>1.6509</v>
      </c>
      <c r="H137" s="60">
        <v>276</v>
      </c>
      <c r="I137" s="5">
        <v>-4.0000000000000001E-3</v>
      </c>
      <c r="J137" s="5">
        <v>7.2599999999999998E-2</v>
      </c>
      <c r="K137" s="4">
        <v>208940125</v>
      </c>
      <c r="L137" s="16">
        <f t="shared" si="41"/>
        <v>4.1252146108938965E-3</v>
      </c>
      <c r="M137" s="4">
        <v>1.7356</v>
      </c>
      <c r="N137" s="4">
        <v>1.7529999999999999</v>
      </c>
      <c r="O137" s="60">
        <v>276</v>
      </c>
      <c r="P137" s="5">
        <v>8.0148681612266515E-3</v>
      </c>
      <c r="Q137" s="5">
        <v>0.16851814448259606</v>
      </c>
      <c r="R137" s="81">
        <f t="shared" si="42"/>
        <v>3.7173217005826098E-2</v>
      </c>
      <c r="S137" s="81">
        <f t="shared" si="43"/>
        <v>6.1845054212853509E-2</v>
      </c>
      <c r="T137" s="81">
        <f t="shared" si="44"/>
        <v>0</v>
      </c>
      <c r="U137" s="81">
        <f t="shared" si="45"/>
        <v>1.2014868161226652E-2</v>
      </c>
      <c r="V137" s="83">
        <f t="shared" si="46"/>
        <v>9.5918144482596057E-2</v>
      </c>
    </row>
    <row r="138" spans="1:24">
      <c r="A138" s="75">
        <v>115</v>
      </c>
      <c r="B138" s="113" t="s">
        <v>163</v>
      </c>
      <c r="C138" s="114" t="s">
        <v>25</v>
      </c>
      <c r="D138" s="9">
        <v>164966087.37</v>
      </c>
      <c r="E138" s="3">
        <f t="shared" si="40"/>
        <v>3.3214543889900647E-3</v>
      </c>
      <c r="F138" s="4">
        <v>149.32640000000001</v>
      </c>
      <c r="G138" s="4">
        <v>150.01079999999999</v>
      </c>
      <c r="H138" s="60">
        <v>86</v>
      </c>
      <c r="I138" s="5">
        <v>9.5849999999999998E-3</v>
      </c>
      <c r="J138" s="5">
        <v>0.32369999999999999</v>
      </c>
      <c r="K138" s="9">
        <v>169558590.37</v>
      </c>
      <c r="L138" s="16">
        <f t="shared" si="41"/>
        <v>3.3476842918367029E-3</v>
      </c>
      <c r="M138" s="4">
        <v>152.91460000000001</v>
      </c>
      <c r="N138" s="4">
        <v>153.62530000000001</v>
      </c>
      <c r="O138" s="60">
        <v>87</v>
      </c>
      <c r="P138" s="5">
        <v>4.7229999999999998E-3</v>
      </c>
      <c r="Q138" s="5">
        <v>0.35980000000000001</v>
      </c>
      <c r="R138" s="81">
        <f t="shared" si="42"/>
        <v>2.783907331025887E-2</v>
      </c>
      <c r="S138" s="81">
        <f t="shared" si="43"/>
        <v>2.4094931831574934E-2</v>
      </c>
      <c r="T138" s="81">
        <f t="shared" si="44"/>
        <v>1.1627906976744186E-2</v>
      </c>
      <c r="U138" s="81">
        <f t="shared" si="45"/>
        <v>-4.862E-3</v>
      </c>
      <c r="V138" s="83">
        <f t="shared" si="46"/>
        <v>3.6100000000000021E-2</v>
      </c>
    </row>
    <row r="139" spans="1:24">
      <c r="A139" s="75">
        <v>116</v>
      </c>
      <c r="B139" s="113" t="s">
        <v>164</v>
      </c>
      <c r="C139" s="114" t="s">
        <v>64</v>
      </c>
      <c r="D139" s="9">
        <v>185138038.88999999</v>
      </c>
      <c r="E139" s="3">
        <f t="shared" si="40"/>
        <v>3.7275997851667041E-3</v>
      </c>
      <c r="F139" s="4">
        <v>107.34</v>
      </c>
      <c r="G139" s="4">
        <v>107.52</v>
      </c>
      <c r="H139" s="60">
        <v>31</v>
      </c>
      <c r="I139" s="5">
        <v>1.7600000000000001E-2</v>
      </c>
      <c r="J139" s="5">
        <v>3.4200000000000001E-2</v>
      </c>
      <c r="K139" s="9">
        <v>200437850.84999999</v>
      </c>
      <c r="L139" s="16">
        <f t="shared" si="41"/>
        <v>3.9573497474579937E-3</v>
      </c>
      <c r="M139" s="4">
        <v>111.39</v>
      </c>
      <c r="N139" s="4">
        <v>111.63</v>
      </c>
      <c r="O139" s="60">
        <v>31</v>
      </c>
      <c r="P139" s="5">
        <v>3.9300000000000002E-2</v>
      </c>
      <c r="Q139" s="5">
        <v>7.3499999999999996E-2</v>
      </c>
      <c r="R139" s="81">
        <f t="shared" si="42"/>
        <v>8.2640023907190746E-2</v>
      </c>
      <c r="S139" s="81">
        <f t="shared" si="43"/>
        <v>3.8225446428571425E-2</v>
      </c>
      <c r="T139" s="81">
        <f t="shared" si="44"/>
        <v>0</v>
      </c>
      <c r="U139" s="81">
        <f t="shared" si="45"/>
        <v>2.1700000000000001E-2</v>
      </c>
      <c r="V139" s="83">
        <f t="shared" si="46"/>
        <v>3.9299999999999995E-2</v>
      </c>
    </row>
    <row r="140" spans="1:24" ht="15.75" customHeight="1">
      <c r="A140" s="75">
        <v>117</v>
      </c>
      <c r="B140" s="113" t="s">
        <v>165</v>
      </c>
      <c r="C140" s="114" t="s">
        <v>67</v>
      </c>
      <c r="D140" s="2">
        <v>510792697.36000001</v>
      </c>
      <c r="E140" s="3">
        <f t="shared" si="40"/>
        <v>1.0284384345645683E-2</v>
      </c>
      <c r="F140" s="4">
        <v>1.5347999999999999</v>
      </c>
      <c r="G140" s="4">
        <v>1.5347999999999999</v>
      </c>
      <c r="H140" s="60">
        <v>103</v>
      </c>
      <c r="I140" s="5">
        <v>8.5757271815446443E-2</v>
      </c>
      <c r="J140" s="5">
        <v>0.81203312254504589</v>
      </c>
      <c r="K140" s="2">
        <v>495968059.12</v>
      </c>
      <c r="L140" s="16">
        <f t="shared" si="41"/>
        <v>9.7921578443514005E-3</v>
      </c>
      <c r="M140" s="4">
        <v>1.4709000000000001</v>
      </c>
      <c r="N140" s="4">
        <v>1.4864999999999999</v>
      </c>
      <c r="O140" s="60">
        <v>103</v>
      </c>
      <c r="P140" s="5">
        <v>-2.9429231276806314E-2</v>
      </c>
      <c r="Q140" s="5">
        <v>0.12833691316354709</v>
      </c>
      <c r="R140" s="81">
        <f t="shared" si="42"/>
        <v>-2.9022807719492116E-2</v>
      </c>
      <c r="S140" s="81">
        <f t="shared" si="43"/>
        <v>-3.1469898358092267E-2</v>
      </c>
      <c r="T140" s="81">
        <f t="shared" si="44"/>
        <v>0</v>
      </c>
      <c r="U140" s="81">
        <f t="shared" si="45"/>
        <v>-0.11518650309225276</v>
      </c>
      <c r="V140" s="83">
        <f t="shared" si="46"/>
        <v>-0.68369620938149878</v>
      </c>
      <c r="X140" s="105"/>
    </row>
    <row r="141" spans="1:24">
      <c r="A141" s="75">
        <v>118</v>
      </c>
      <c r="B141" s="113" t="s">
        <v>166</v>
      </c>
      <c r="C141" s="114" t="s">
        <v>27</v>
      </c>
      <c r="D141" s="4">
        <v>8253512087.2600002</v>
      </c>
      <c r="E141" s="3">
        <f t="shared" si="40"/>
        <v>0.16617757251723245</v>
      </c>
      <c r="F141" s="4">
        <v>301.48</v>
      </c>
      <c r="G141" s="4">
        <v>304.27</v>
      </c>
      <c r="H141" s="60">
        <v>5482</v>
      </c>
      <c r="I141" s="5">
        <v>3.5499999999999997E-2</v>
      </c>
      <c r="J141" s="5">
        <v>0.1149</v>
      </c>
      <c r="K141" s="4">
        <v>8448419974.21</v>
      </c>
      <c r="L141" s="16">
        <f t="shared" si="41"/>
        <v>0.1668015921622471</v>
      </c>
      <c r="M141" s="4">
        <v>308.37</v>
      </c>
      <c r="N141" s="4">
        <v>311.19</v>
      </c>
      <c r="O141" s="60">
        <v>5493</v>
      </c>
      <c r="P141" s="5">
        <v>2.2800000000000001E-2</v>
      </c>
      <c r="Q141" s="5">
        <v>0.1404</v>
      </c>
      <c r="R141" s="81">
        <f t="shared" si="42"/>
        <v>2.3615145272623608E-2</v>
      </c>
      <c r="S141" s="81">
        <f t="shared" si="43"/>
        <v>2.2742958556545227E-2</v>
      </c>
      <c r="T141" s="81">
        <f t="shared" si="44"/>
        <v>2.0065669463699381E-3</v>
      </c>
      <c r="U141" s="81">
        <f t="shared" si="45"/>
        <v>-1.2699999999999996E-2</v>
      </c>
      <c r="V141" s="83">
        <f t="shared" si="46"/>
        <v>2.5499999999999995E-2</v>
      </c>
    </row>
    <row r="142" spans="1:24">
      <c r="A142" s="75">
        <v>119</v>
      </c>
      <c r="B142" s="113" t="s">
        <v>167</v>
      </c>
      <c r="C142" s="114" t="s">
        <v>72</v>
      </c>
      <c r="D142" s="4">
        <v>2803510219.4299998</v>
      </c>
      <c r="E142" s="3">
        <f t="shared" si="40"/>
        <v>5.6446336767502568E-2</v>
      </c>
      <c r="F142" s="4">
        <v>1.9499</v>
      </c>
      <c r="G142" s="4">
        <v>1.9883999999999999</v>
      </c>
      <c r="H142" s="60">
        <v>10319</v>
      </c>
      <c r="I142" s="5">
        <v>5.0799999999999998E-2</v>
      </c>
      <c r="J142" s="5">
        <v>0.1195</v>
      </c>
      <c r="K142" s="4">
        <v>2833686328.2600002</v>
      </c>
      <c r="L142" s="16">
        <f t="shared" si="41"/>
        <v>5.5946957263610479E-2</v>
      </c>
      <c r="M142" s="4">
        <v>1.9699</v>
      </c>
      <c r="N142" s="4">
        <v>2.0091999999999999</v>
      </c>
      <c r="O142" s="60">
        <v>10319</v>
      </c>
      <c r="P142" s="5">
        <v>1.04E-2</v>
      </c>
      <c r="Q142" s="5">
        <v>0.13100000000000001</v>
      </c>
      <c r="R142" s="81">
        <f t="shared" si="42"/>
        <v>1.0763687829943315E-2</v>
      </c>
      <c r="S142" s="81">
        <f t="shared" si="43"/>
        <v>1.0460671897002579E-2</v>
      </c>
      <c r="T142" s="81">
        <f t="shared" si="44"/>
        <v>0</v>
      </c>
      <c r="U142" s="81">
        <f t="shared" si="45"/>
        <v>-4.0399999999999998E-2</v>
      </c>
      <c r="V142" s="83">
        <f t="shared" si="46"/>
        <v>1.150000000000001E-2</v>
      </c>
    </row>
    <row r="143" spans="1:24">
      <c r="A143" s="75">
        <v>120</v>
      </c>
      <c r="B143" s="113" t="s">
        <v>168</v>
      </c>
      <c r="C143" s="114" t="s">
        <v>74</v>
      </c>
      <c r="D143" s="4">
        <v>209789753.18000001</v>
      </c>
      <c r="E143" s="3">
        <f t="shared" si="40"/>
        <v>4.2239414632050717E-3</v>
      </c>
      <c r="F143" s="4">
        <v>272.97000000000003</v>
      </c>
      <c r="G143" s="4">
        <v>278.47000000000003</v>
      </c>
      <c r="H143" s="60">
        <v>183</v>
      </c>
      <c r="I143" s="5">
        <v>3.9450135181447799E-2</v>
      </c>
      <c r="J143" s="5">
        <v>1.2738025822573928</v>
      </c>
      <c r="K143" s="4">
        <v>208399008.74916545</v>
      </c>
      <c r="L143" s="16">
        <f t="shared" si="41"/>
        <v>4.1145310685913603E-3</v>
      </c>
      <c r="M143" s="4">
        <v>271.15689450542106</v>
      </c>
      <c r="N143" s="4">
        <v>276.8010853047042</v>
      </c>
      <c r="O143" s="60">
        <v>183</v>
      </c>
      <c r="P143" s="5">
        <v>-7.0059160456253933E-3</v>
      </c>
      <c r="Q143" s="5">
        <v>1.2588878249368634</v>
      </c>
      <c r="R143" s="81">
        <f t="shared" si="42"/>
        <v>-6.6292295488869762E-3</v>
      </c>
      <c r="S143" s="81">
        <f t="shared" si="43"/>
        <v>-5.993157953444986E-3</v>
      </c>
      <c r="T143" s="81">
        <f t="shared" si="44"/>
        <v>0</v>
      </c>
      <c r="U143" s="81">
        <f t="shared" si="45"/>
        <v>-4.6456051227073192E-2</v>
      </c>
      <c r="V143" s="83">
        <f t="shared" si="46"/>
        <v>-1.4914757320529493E-2</v>
      </c>
    </row>
    <row r="144" spans="1:24" ht="13.5" customHeight="1">
      <c r="A144" s="75">
        <v>121</v>
      </c>
      <c r="B144" s="113" t="s">
        <v>240</v>
      </c>
      <c r="C144" s="114" t="s">
        <v>32</v>
      </c>
      <c r="D144" s="2">
        <v>2852382265.8174</v>
      </c>
      <c r="E144" s="3">
        <f t="shared" si="40"/>
        <v>5.7430334603423096E-2</v>
      </c>
      <c r="F144" s="4">
        <v>3.9548999999999999</v>
      </c>
      <c r="G144" s="4">
        <v>4.0357000000000003</v>
      </c>
      <c r="H144" s="60">
        <v>2289</v>
      </c>
      <c r="I144" s="5">
        <v>1.3816970007690443E-2</v>
      </c>
      <c r="J144" s="5">
        <v>8.7317515739697038E-2</v>
      </c>
      <c r="K144" s="2">
        <v>2812164298.7726998</v>
      </c>
      <c r="L144" s="16">
        <f t="shared" si="41"/>
        <v>5.5522036533343373E-2</v>
      </c>
      <c r="M144" s="4">
        <v>3.9058000000000002</v>
      </c>
      <c r="N144" s="4">
        <v>3.9845999999999999</v>
      </c>
      <c r="O144" s="60">
        <v>2293</v>
      </c>
      <c r="P144" s="5">
        <v>-1.2414978886950312E-2</v>
      </c>
      <c r="Q144" s="5">
        <v>7.381849173837729E-2</v>
      </c>
      <c r="R144" s="81">
        <f t="shared" si="42"/>
        <v>-1.4099781619969855E-2</v>
      </c>
      <c r="S144" s="81">
        <f t="shared" si="43"/>
        <v>-1.2661991723864599E-2</v>
      </c>
      <c r="T144" s="81">
        <f t="shared" si="44"/>
        <v>1.7474879860200961E-3</v>
      </c>
      <c r="U144" s="81">
        <f t="shared" si="45"/>
        <v>-2.6231948894640755E-2</v>
      </c>
      <c r="V144" s="83">
        <f>Q144-J144</f>
        <v>-1.3499024001319748E-2</v>
      </c>
    </row>
    <row r="145" spans="1:22">
      <c r="A145" s="75">
        <v>122</v>
      </c>
      <c r="B145" s="113" t="s">
        <v>169</v>
      </c>
      <c r="C145" s="114" t="s">
        <v>114</v>
      </c>
      <c r="D145" s="2">
        <v>203885852.61000001</v>
      </c>
      <c r="E145" s="3">
        <f t="shared" si="40"/>
        <v>4.1050713561847996E-3</v>
      </c>
      <c r="F145" s="4">
        <v>203.09384600000001</v>
      </c>
      <c r="G145" s="4">
        <v>209.14531299999999</v>
      </c>
      <c r="H145" s="60">
        <v>139</v>
      </c>
      <c r="I145" s="5">
        <v>3.9E-2</v>
      </c>
      <c r="J145" s="5">
        <v>0.12959999999999999</v>
      </c>
      <c r="K145" s="2">
        <v>201919466.28</v>
      </c>
      <c r="L145" s="16">
        <f t="shared" si="41"/>
        <v>3.9866020589494405E-3</v>
      </c>
      <c r="M145" s="4">
        <v>201.18911399999999</v>
      </c>
      <c r="N145" s="4">
        <v>207.32429300000001</v>
      </c>
      <c r="O145" s="60">
        <v>139</v>
      </c>
      <c r="P145" s="5">
        <v>8.2100000000000006E-2</v>
      </c>
      <c r="Q145" s="5">
        <v>0.1198</v>
      </c>
      <c r="R145" s="81">
        <f t="shared" si="42"/>
        <v>-9.6445452434671154E-3</v>
      </c>
      <c r="S145" s="81">
        <f t="shared" si="43"/>
        <v>-8.7069606001640397E-3</v>
      </c>
      <c r="T145" s="81">
        <f t="shared" si="44"/>
        <v>0</v>
      </c>
      <c r="U145" s="81">
        <f t="shared" si="45"/>
        <v>4.3100000000000006E-2</v>
      </c>
      <c r="V145" s="83">
        <f t="shared" si="46"/>
        <v>-9.7999999999999893E-3</v>
      </c>
    </row>
    <row r="146" spans="1:22">
      <c r="A146" s="75">
        <v>123</v>
      </c>
      <c r="B146" s="113" t="s">
        <v>170</v>
      </c>
      <c r="C146" s="114" t="s">
        <v>29</v>
      </c>
      <c r="D146" s="2">
        <v>1682135147.1300001</v>
      </c>
      <c r="E146" s="3">
        <f t="shared" si="40"/>
        <v>3.3868386262796452E-2</v>
      </c>
      <c r="F146" s="4">
        <v>552.22</v>
      </c>
      <c r="G146" s="4">
        <v>552.22</v>
      </c>
      <c r="H146" s="60">
        <v>818</v>
      </c>
      <c r="I146" s="5">
        <v>7.4800000000000005E-2</v>
      </c>
      <c r="J146" s="5">
        <v>7.5999999999999998E-2</v>
      </c>
      <c r="K146" s="2">
        <v>1682135147.1300001</v>
      </c>
      <c r="L146" s="16">
        <f t="shared" ref="L146:L154" si="47">(K146/$K$155)</f>
        <v>3.3211277567862234E-2</v>
      </c>
      <c r="M146" s="4">
        <v>552.22</v>
      </c>
      <c r="N146" s="4">
        <v>552.22</v>
      </c>
      <c r="O146" s="60">
        <v>818</v>
      </c>
      <c r="P146" s="5">
        <v>7.4800000000000005E-2</v>
      </c>
      <c r="Q146" s="5">
        <v>7.5999999999999998E-2</v>
      </c>
      <c r="R146" s="81">
        <f t="shared" si="42"/>
        <v>0</v>
      </c>
      <c r="S146" s="81">
        <f t="shared" si="43"/>
        <v>0</v>
      </c>
      <c r="T146" s="81">
        <f t="shared" si="44"/>
        <v>0</v>
      </c>
      <c r="U146" s="81">
        <f t="shared" si="45"/>
        <v>0</v>
      </c>
      <c r="V146" s="83">
        <f t="shared" si="46"/>
        <v>0</v>
      </c>
    </row>
    <row r="147" spans="1:22">
      <c r="A147" s="75">
        <v>124</v>
      </c>
      <c r="B147" s="113" t="s">
        <v>171</v>
      </c>
      <c r="C147" s="114" t="s">
        <v>80</v>
      </c>
      <c r="D147" s="4">
        <v>30431523.149999999</v>
      </c>
      <c r="E147" s="3">
        <f t="shared" si="40"/>
        <v>6.1271330211958247E-4</v>
      </c>
      <c r="F147" s="4">
        <v>1.84</v>
      </c>
      <c r="G147" s="4">
        <v>1.84</v>
      </c>
      <c r="H147" s="60">
        <v>8</v>
      </c>
      <c r="I147" s="5">
        <v>5.3876E-2</v>
      </c>
      <c r="J147" s="5">
        <v>0.13259000000000001</v>
      </c>
      <c r="K147" s="4">
        <v>31165309.359999999</v>
      </c>
      <c r="L147" s="16">
        <f t="shared" si="47"/>
        <v>6.1531306887511582E-4</v>
      </c>
      <c r="M147" s="4">
        <v>1.86</v>
      </c>
      <c r="N147" s="4">
        <v>1.86</v>
      </c>
      <c r="O147" s="60">
        <v>8</v>
      </c>
      <c r="P147" s="5">
        <v>7.0200000000000002E-3</v>
      </c>
      <c r="Q147" s="5">
        <v>0.140541</v>
      </c>
      <c r="R147" s="81">
        <f t="shared" si="42"/>
        <v>2.4112700714423521E-2</v>
      </c>
      <c r="S147" s="81">
        <f t="shared" si="43"/>
        <v>1.0869565217391313E-2</v>
      </c>
      <c r="T147" s="81">
        <f t="shared" si="44"/>
        <v>0</v>
      </c>
      <c r="U147" s="81">
        <f t="shared" si="45"/>
        <v>-4.6856000000000002E-2</v>
      </c>
      <c r="V147" s="83">
        <f t="shared" si="46"/>
        <v>7.9509999999999859E-3</v>
      </c>
    </row>
    <row r="148" spans="1:22">
      <c r="A148" s="75">
        <v>125</v>
      </c>
      <c r="B148" s="113" t="s">
        <v>172</v>
      </c>
      <c r="C148" s="114" t="s">
        <v>38</v>
      </c>
      <c r="D148" s="4">
        <v>277126658.38</v>
      </c>
      <c r="E148" s="3">
        <f t="shared" si="40"/>
        <v>5.5797138094080346E-3</v>
      </c>
      <c r="F148" s="4">
        <v>0.01</v>
      </c>
      <c r="G148" s="4">
        <v>0.16</v>
      </c>
      <c r="H148" s="60">
        <v>116</v>
      </c>
      <c r="I148" s="5">
        <v>0</v>
      </c>
      <c r="J148" s="5">
        <v>1E-3</v>
      </c>
      <c r="K148" s="4">
        <v>262320881.84999999</v>
      </c>
      <c r="L148" s="16">
        <f t="shared" si="47"/>
        <v>5.1791389258056186E-3</v>
      </c>
      <c r="M148" s="4">
        <v>2.5499999999999998</v>
      </c>
      <c r="N148" s="4">
        <v>2.59</v>
      </c>
      <c r="O148" s="60">
        <v>116</v>
      </c>
      <c r="P148" s="5">
        <v>1.4E-3</v>
      </c>
      <c r="Q148" s="5">
        <v>9.7000000000000003E-2</v>
      </c>
      <c r="R148" s="81">
        <f t="shared" si="42"/>
        <v>-5.3426027710759286E-2</v>
      </c>
      <c r="S148" s="81">
        <f t="shared" si="43"/>
        <v>15.187499999999998</v>
      </c>
      <c r="T148" s="81">
        <f t="shared" si="44"/>
        <v>0</v>
      </c>
      <c r="U148" s="81">
        <f t="shared" si="45"/>
        <v>1.4E-3</v>
      </c>
      <c r="V148" s="83">
        <f t="shared" si="46"/>
        <v>9.6000000000000002E-2</v>
      </c>
    </row>
    <row r="149" spans="1:22">
      <c r="A149" s="75">
        <v>126</v>
      </c>
      <c r="B149" s="113" t="s">
        <v>173</v>
      </c>
      <c r="C149" s="114" t="s">
        <v>42</v>
      </c>
      <c r="D149" s="2">
        <v>2892376875.8699999</v>
      </c>
      <c r="E149" s="3">
        <f t="shared" si="40"/>
        <v>5.8235592673205695E-2</v>
      </c>
      <c r="F149" s="4">
        <v>5606.23</v>
      </c>
      <c r="G149" s="4">
        <v>5654.54</v>
      </c>
      <c r="H149" s="60">
        <v>3836</v>
      </c>
      <c r="I149" s="5">
        <v>5.1400000000000001E-2</v>
      </c>
      <c r="J149" s="5">
        <v>0.12609999999999999</v>
      </c>
      <c r="K149" s="2">
        <v>3035237718.1900001</v>
      </c>
      <c r="L149" s="3">
        <f t="shared" si="47"/>
        <v>5.9926292197889898E-2</v>
      </c>
      <c r="M149" s="4">
        <v>5775.07</v>
      </c>
      <c r="N149" s="4">
        <v>5825.06</v>
      </c>
      <c r="O149" s="60">
        <v>3903</v>
      </c>
      <c r="P149" s="5">
        <v>3.0200000000000001E-2</v>
      </c>
      <c r="Q149" s="5">
        <v>0.16009999999999999</v>
      </c>
      <c r="R149" s="81">
        <f t="shared" si="42"/>
        <v>4.9392194880215588E-2</v>
      </c>
      <c r="S149" s="81">
        <f t="shared" si="43"/>
        <v>3.015629918614077E-2</v>
      </c>
      <c r="T149" s="81">
        <f t="shared" si="44"/>
        <v>1.7466110531803962E-2</v>
      </c>
      <c r="U149" s="81">
        <f t="shared" si="45"/>
        <v>-2.12E-2</v>
      </c>
      <c r="V149" s="83">
        <f t="shared" si="46"/>
        <v>3.4000000000000002E-2</v>
      </c>
    </row>
    <row r="150" spans="1:22">
      <c r="A150" s="75">
        <v>127</v>
      </c>
      <c r="B150" s="113" t="s">
        <v>256</v>
      </c>
      <c r="C150" s="113" t="s">
        <v>257</v>
      </c>
      <c r="D150" s="2">
        <v>594469335.13</v>
      </c>
      <c r="E150" s="3">
        <f t="shared" si="40"/>
        <v>1.1969143560148584E-2</v>
      </c>
      <c r="F150" s="4">
        <v>1.17</v>
      </c>
      <c r="G150" s="4">
        <v>1.17</v>
      </c>
      <c r="H150" s="60">
        <v>32</v>
      </c>
      <c r="I150" s="5">
        <v>0</v>
      </c>
      <c r="J150" s="5">
        <v>0.1537043185341026</v>
      </c>
      <c r="K150" s="2">
        <v>594469335.13</v>
      </c>
      <c r="L150" s="3">
        <f t="shared" si="47"/>
        <v>1.173692026367198E-2</v>
      </c>
      <c r="M150" s="4">
        <v>1.17</v>
      </c>
      <c r="N150" s="4">
        <v>1.17</v>
      </c>
      <c r="O150" s="60">
        <v>32</v>
      </c>
      <c r="P150" s="5">
        <v>0</v>
      </c>
      <c r="Q150" s="5">
        <v>0.1537043185341026</v>
      </c>
      <c r="R150" s="81">
        <f>((K150-D150)/D150)</f>
        <v>0</v>
      </c>
      <c r="S150" s="81">
        <f>((N150-G150)/G150)</f>
        <v>0</v>
      </c>
      <c r="T150" s="81">
        <f>((O150-H150)/H150)</f>
        <v>0</v>
      </c>
      <c r="U150" s="81">
        <f>P150-I150</f>
        <v>0</v>
      </c>
      <c r="V150" s="83">
        <f>Q150-J150</f>
        <v>0</v>
      </c>
    </row>
    <row r="151" spans="1:22">
      <c r="A151" s="75">
        <v>128</v>
      </c>
      <c r="B151" s="113" t="s">
        <v>174</v>
      </c>
      <c r="C151" s="114" t="s">
        <v>45</v>
      </c>
      <c r="D151" s="4">
        <v>1939144447.5899999</v>
      </c>
      <c r="E151" s="3">
        <f t="shared" si="40"/>
        <v>3.9043053872567096E-2</v>
      </c>
      <c r="F151" s="4">
        <v>2.1011000000000002</v>
      </c>
      <c r="G151" s="4">
        <v>2.1168</v>
      </c>
      <c r="H151" s="60">
        <v>1970</v>
      </c>
      <c r="I151" s="5">
        <v>4.4999999999999998E-2</v>
      </c>
      <c r="J151" s="5">
        <v>0.13619999999999999</v>
      </c>
      <c r="K151" s="4">
        <v>1977370425.3</v>
      </c>
      <c r="L151" s="16">
        <f t="shared" si="47"/>
        <v>3.9040262704911462E-2</v>
      </c>
      <c r="M151" s="4">
        <v>2.1362999999999999</v>
      </c>
      <c r="N151" s="4">
        <v>2.1524999999999999</v>
      </c>
      <c r="O151" s="60">
        <v>1979</v>
      </c>
      <c r="P151" s="5">
        <v>1.6799999999999999E-2</v>
      </c>
      <c r="Q151" s="5">
        <v>0.15529999999999999</v>
      </c>
      <c r="R151" s="81">
        <f t="shared" si="42"/>
        <v>1.9712805695062015E-2</v>
      </c>
      <c r="S151" s="81">
        <f t="shared" si="43"/>
        <v>1.6865079365079291E-2</v>
      </c>
      <c r="T151" s="81">
        <f t="shared" si="44"/>
        <v>4.5685279187817262E-3</v>
      </c>
      <c r="U151" s="81">
        <f t="shared" si="45"/>
        <v>-2.8199999999999999E-2</v>
      </c>
      <c r="V151" s="83">
        <f t="shared" si="46"/>
        <v>1.9100000000000006E-2</v>
      </c>
    </row>
    <row r="152" spans="1:22">
      <c r="A152" s="75">
        <v>129</v>
      </c>
      <c r="B152" s="113" t="s">
        <v>175</v>
      </c>
      <c r="C152" s="114" t="s">
        <v>45</v>
      </c>
      <c r="D152" s="4">
        <v>1063955413.4299999</v>
      </c>
      <c r="E152" s="3">
        <f t="shared" si="40"/>
        <v>2.142185363044179E-2</v>
      </c>
      <c r="F152" s="4">
        <v>1.6652</v>
      </c>
      <c r="G152" s="4">
        <v>1.6781999999999999</v>
      </c>
      <c r="H152" s="60">
        <v>490</v>
      </c>
      <c r="I152" s="5">
        <v>7.9299999999999995E-2</v>
      </c>
      <c r="J152" s="5">
        <v>0.17050000000000001</v>
      </c>
      <c r="K152" s="4">
        <v>1115674157.0999999</v>
      </c>
      <c r="L152" s="16">
        <f t="shared" si="47"/>
        <v>2.2027340769828929E-2</v>
      </c>
      <c r="M152" s="4">
        <v>1.7332000000000001</v>
      </c>
      <c r="N152" s="4">
        <v>1.7470000000000001</v>
      </c>
      <c r="O152" s="60">
        <v>506</v>
      </c>
      <c r="P152" s="5">
        <v>4.0800000000000003E-2</v>
      </c>
      <c r="Q152" s="5">
        <v>0.21829999999999999</v>
      </c>
      <c r="R152" s="81">
        <f t="shared" si="42"/>
        <v>4.8609878776092762E-2</v>
      </c>
      <c r="S152" s="81">
        <f t="shared" si="43"/>
        <v>4.0996305565486946E-2</v>
      </c>
      <c r="T152" s="81">
        <f t="shared" si="44"/>
        <v>3.2653061224489799E-2</v>
      </c>
      <c r="U152" s="81">
        <f t="shared" si="45"/>
        <v>-3.8499999999999993E-2</v>
      </c>
      <c r="V152" s="83">
        <f t="shared" si="46"/>
        <v>4.7799999999999981E-2</v>
      </c>
    </row>
    <row r="153" spans="1:22">
      <c r="A153" s="75">
        <v>130</v>
      </c>
      <c r="B153" s="113" t="s">
        <v>176</v>
      </c>
      <c r="C153" s="114" t="s">
        <v>87</v>
      </c>
      <c r="D153" s="4">
        <v>7946692558.54</v>
      </c>
      <c r="E153" s="3">
        <f t="shared" si="40"/>
        <v>0.16000001756310897</v>
      </c>
      <c r="F153" s="4">
        <v>390.2</v>
      </c>
      <c r="G153" s="4">
        <v>394.95</v>
      </c>
      <c r="H153" s="60">
        <v>29</v>
      </c>
      <c r="I153" s="5">
        <v>3.2800000000000003E-2</v>
      </c>
      <c r="J153" s="5">
        <v>0.1225</v>
      </c>
      <c r="K153" s="4">
        <v>8116331946.25</v>
      </c>
      <c r="L153" s="16">
        <f t="shared" si="47"/>
        <v>0.16024500383320531</v>
      </c>
      <c r="M153" s="4">
        <v>397.23</v>
      </c>
      <c r="N153" s="4">
        <v>400.48270000000002</v>
      </c>
      <c r="O153" s="60">
        <v>29</v>
      </c>
      <c r="P153" s="5">
        <v>2.0799999999999999E-2</v>
      </c>
      <c r="Q153" s="5">
        <v>0.1459</v>
      </c>
      <c r="R153" s="81">
        <f t="shared" si="42"/>
        <v>2.1347168832861821E-2</v>
      </c>
      <c r="S153" s="81">
        <f t="shared" si="43"/>
        <v>1.4008608684643712E-2</v>
      </c>
      <c r="T153" s="81">
        <f t="shared" si="44"/>
        <v>0</v>
      </c>
      <c r="U153" s="81">
        <f t="shared" si="45"/>
        <v>-1.2000000000000004E-2</v>
      </c>
      <c r="V153" s="83">
        <f t="shared" si="46"/>
        <v>2.3400000000000004E-2</v>
      </c>
    </row>
    <row r="154" spans="1:22">
      <c r="A154" s="75">
        <v>131</v>
      </c>
      <c r="B154" s="113" t="s">
        <v>177</v>
      </c>
      <c r="C154" s="114" t="s">
        <v>40</v>
      </c>
      <c r="D154" s="2">
        <v>331936197.33999997</v>
      </c>
      <c r="E154" s="3">
        <f t="shared" si="40"/>
        <v>6.6832580992650303E-3</v>
      </c>
      <c r="F154" s="4">
        <v>229.75</v>
      </c>
      <c r="G154" s="4">
        <v>232.87</v>
      </c>
      <c r="H154" s="60">
        <v>691</v>
      </c>
      <c r="I154" s="5">
        <v>4.2999999999999997E-2</v>
      </c>
      <c r="J154" s="5">
        <v>0.1221</v>
      </c>
      <c r="K154" s="2">
        <v>338533413.57999998</v>
      </c>
      <c r="L154" s="16">
        <f t="shared" si="47"/>
        <v>6.6838429620734762E-3</v>
      </c>
      <c r="M154" s="4">
        <v>234.36</v>
      </c>
      <c r="N154" s="4">
        <v>237.46</v>
      </c>
      <c r="O154" s="60">
        <v>691</v>
      </c>
      <c r="P154" s="5">
        <v>1.9900000000000001E-2</v>
      </c>
      <c r="Q154" s="5">
        <v>0.14460000000000001</v>
      </c>
      <c r="R154" s="81">
        <f t="shared" si="42"/>
        <v>1.98749527555819E-2</v>
      </c>
      <c r="S154" s="81">
        <f t="shared" si="43"/>
        <v>1.9710568128140177E-2</v>
      </c>
      <c r="T154" s="81">
        <f t="shared" si="44"/>
        <v>0</v>
      </c>
      <c r="U154" s="81">
        <f t="shared" si="45"/>
        <v>-2.3099999999999996E-2</v>
      </c>
      <c r="V154" s="83">
        <f t="shared" si="46"/>
        <v>2.2500000000000006E-2</v>
      </c>
    </row>
    <row r="155" spans="1:22">
      <c r="A155" s="84"/>
      <c r="B155" s="19"/>
      <c r="C155" s="71" t="s">
        <v>46</v>
      </c>
      <c r="D155" s="72">
        <f>SUM(D129:D154)</f>
        <v>49666823038.976089</v>
      </c>
      <c r="E155" s="100">
        <f>(D155/$D$181)</f>
        <v>2.2418173825798172E-2</v>
      </c>
      <c r="F155" s="30"/>
      <c r="G155" s="36"/>
      <c r="H155" s="65">
        <f>SUM(H129:H154)</f>
        <v>70623</v>
      </c>
      <c r="I155" s="37"/>
      <c r="J155" s="37"/>
      <c r="K155" s="72">
        <f>SUM(K129:K154)</f>
        <v>50649516378.670189</v>
      </c>
      <c r="L155" s="100">
        <f>(K155/$K$181)</f>
        <v>2.2232523271272963E-2</v>
      </c>
      <c r="M155" s="30"/>
      <c r="N155" s="36"/>
      <c r="O155" s="65">
        <f>SUM(O129:O154)</f>
        <v>70741</v>
      </c>
      <c r="P155" s="37"/>
      <c r="Q155" s="37"/>
      <c r="R155" s="81">
        <f t="shared" si="42"/>
        <v>1.9785709646113862E-2</v>
      </c>
      <c r="S155" s="81" t="e">
        <f t="shared" si="43"/>
        <v>#DIV/0!</v>
      </c>
      <c r="T155" s="81">
        <f t="shared" si="44"/>
        <v>1.6708437761069339E-3</v>
      </c>
      <c r="U155" s="81">
        <f t="shared" si="45"/>
        <v>0</v>
      </c>
      <c r="V155" s="83">
        <f t="shared" si="46"/>
        <v>0</v>
      </c>
    </row>
    <row r="156" spans="1:22" ht="8.25" customHeight="1">
      <c r="A156" s="141"/>
      <c r="B156" s="141"/>
      <c r="C156" s="141"/>
      <c r="D156" s="141"/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141"/>
      <c r="P156" s="141"/>
      <c r="Q156" s="141"/>
      <c r="R156" s="141"/>
      <c r="S156" s="141"/>
      <c r="T156" s="141"/>
      <c r="U156" s="141"/>
      <c r="V156" s="141"/>
    </row>
    <row r="157" spans="1:22" ht="15" customHeight="1">
      <c r="A157" s="148" t="s">
        <v>178</v>
      </c>
      <c r="B157" s="148"/>
      <c r="C157" s="148"/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</row>
    <row r="158" spans="1:22">
      <c r="A158" s="75">
        <v>132</v>
      </c>
      <c r="B158" s="113" t="s">
        <v>179</v>
      </c>
      <c r="C158" s="114" t="s">
        <v>21</v>
      </c>
      <c r="D158" s="17">
        <v>909813850.95000005</v>
      </c>
      <c r="E158" s="3">
        <f>(D158/$D$161)</f>
        <v>0.1756123024107504</v>
      </c>
      <c r="F158" s="17">
        <v>61.553400000000003</v>
      </c>
      <c r="G158" s="17">
        <v>63.409300000000002</v>
      </c>
      <c r="H158" s="62">
        <v>1433</v>
      </c>
      <c r="I158" s="6">
        <v>3.4634</v>
      </c>
      <c r="J158" s="6">
        <v>2.4820000000000002</v>
      </c>
      <c r="K158" s="17">
        <v>948656561.05999994</v>
      </c>
      <c r="L158" s="16">
        <f>(K158/$K$161)</f>
        <v>0.17726374798023359</v>
      </c>
      <c r="M158" s="17">
        <v>63.840899999999998</v>
      </c>
      <c r="N158" s="17">
        <v>65.765699999999995</v>
      </c>
      <c r="O158" s="62">
        <v>1446</v>
      </c>
      <c r="P158" s="6">
        <v>1.9430000000000001</v>
      </c>
      <c r="Q158" s="6">
        <v>2.4043000000000001</v>
      </c>
      <c r="R158" s="81">
        <f>((K158-D158)/D158)</f>
        <v>4.2693030084606336E-2</v>
      </c>
      <c r="S158" s="81">
        <f t="shared" ref="S158:T161" si="48">((N158-G158)/G158)</f>
        <v>3.7161741258774243E-2</v>
      </c>
      <c r="T158" s="81">
        <f t="shared" si="48"/>
        <v>9.0718771807397069E-3</v>
      </c>
      <c r="U158" s="81">
        <f t="shared" ref="U158:V161" si="49">P158-I158</f>
        <v>-1.5204</v>
      </c>
      <c r="V158" s="83">
        <f t="shared" si="49"/>
        <v>-7.7700000000000102E-2</v>
      </c>
    </row>
    <row r="159" spans="1:22">
      <c r="A159" s="75">
        <v>133</v>
      </c>
      <c r="B159" s="113" t="s">
        <v>180</v>
      </c>
      <c r="C159" s="114" t="s">
        <v>181</v>
      </c>
      <c r="D159" s="98">
        <v>878209691.44000006</v>
      </c>
      <c r="E159" s="3">
        <f>(D159/$D$161)</f>
        <v>0.16951206639927127</v>
      </c>
      <c r="F159" s="17">
        <v>23.983499999999999</v>
      </c>
      <c r="G159" s="17">
        <v>24.209499999999998</v>
      </c>
      <c r="H159" s="60">
        <v>1503</v>
      </c>
      <c r="I159" s="5">
        <v>2.7099999999999999E-2</v>
      </c>
      <c r="J159" s="5">
        <v>0.1008</v>
      </c>
      <c r="K159" s="98">
        <v>868454202.25</v>
      </c>
      <c r="L159" s="16">
        <f>(K159/$K$161)</f>
        <v>0.16227732264667505</v>
      </c>
      <c r="M159" s="17">
        <v>23.8874</v>
      </c>
      <c r="N159" s="17">
        <v>24.1111</v>
      </c>
      <c r="O159" s="60">
        <v>1503</v>
      </c>
      <c r="P159" s="5">
        <v>-6.9999999999999999E-4</v>
      </c>
      <c r="Q159" s="5">
        <v>9.6299999999999997E-2</v>
      </c>
      <c r="R159" s="81">
        <f>((K159-D159)/D159)</f>
        <v>-1.1108382525367017E-2</v>
      </c>
      <c r="S159" s="81">
        <f t="shared" si="48"/>
        <v>-4.0645201263965819E-3</v>
      </c>
      <c r="T159" s="81">
        <f t="shared" si="48"/>
        <v>0</v>
      </c>
      <c r="U159" s="81">
        <f t="shared" si="49"/>
        <v>-2.7799999999999998E-2</v>
      </c>
      <c r="V159" s="83">
        <f t="shared" si="49"/>
        <v>-4.500000000000004E-3</v>
      </c>
    </row>
    <row r="160" spans="1:22">
      <c r="A160" s="75">
        <v>134</v>
      </c>
      <c r="B160" s="113" t="s">
        <v>182</v>
      </c>
      <c r="C160" s="114" t="s">
        <v>42</v>
      </c>
      <c r="D160" s="9">
        <v>3392785765.73</v>
      </c>
      <c r="E160" s="3">
        <f>(D160/$D$161)</f>
        <v>0.65487563118997838</v>
      </c>
      <c r="F160" s="17">
        <v>2.39</v>
      </c>
      <c r="G160" s="17">
        <v>2.42</v>
      </c>
      <c r="H160" s="60">
        <v>17882</v>
      </c>
      <c r="I160" s="5">
        <v>6.1400000000000003E-2</v>
      </c>
      <c r="J160" s="5">
        <v>0.16350000000000001</v>
      </c>
      <c r="K160" s="9">
        <v>3534556297.04</v>
      </c>
      <c r="L160" s="16">
        <f>(K160/$K$161)</f>
        <v>0.66045892937309125</v>
      </c>
      <c r="M160" s="17">
        <v>2.4700000000000002</v>
      </c>
      <c r="N160" s="17">
        <v>2.5</v>
      </c>
      <c r="O160" s="60">
        <v>17992</v>
      </c>
      <c r="P160" s="5">
        <v>3.3099999999999997E-2</v>
      </c>
      <c r="Q160" s="5">
        <v>0.2019</v>
      </c>
      <c r="R160" s="81">
        <f>((K160-D160)/D160)</f>
        <v>4.1785877771005162E-2</v>
      </c>
      <c r="S160" s="81">
        <f t="shared" si="48"/>
        <v>3.305785123966945E-2</v>
      </c>
      <c r="T160" s="81">
        <f t="shared" si="48"/>
        <v>6.1514371994184098E-3</v>
      </c>
      <c r="U160" s="81">
        <f t="shared" si="49"/>
        <v>-2.8300000000000006E-2</v>
      </c>
      <c r="V160" s="83">
        <f t="shared" si="49"/>
        <v>3.839999999999999E-2</v>
      </c>
    </row>
    <row r="161" spans="1:24">
      <c r="A161" s="75"/>
      <c r="B161" s="19"/>
      <c r="C161" s="66" t="s">
        <v>46</v>
      </c>
      <c r="D161" s="72">
        <f>SUM(D158:D160)</f>
        <v>5180809308.1199999</v>
      </c>
      <c r="E161" s="100">
        <f>(D161/$D$181)</f>
        <v>2.3384681467667661E-3</v>
      </c>
      <c r="F161" s="30"/>
      <c r="G161" s="36"/>
      <c r="H161" s="65">
        <f>SUM(H158:H160)</f>
        <v>20818</v>
      </c>
      <c r="I161" s="37"/>
      <c r="J161" s="37"/>
      <c r="K161" s="72">
        <f>SUM(K158:K160)</f>
        <v>5351667060.3500004</v>
      </c>
      <c r="L161" s="100">
        <f>(K161/$K$181)</f>
        <v>2.3491055979646494E-3</v>
      </c>
      <c r="M161" s="30"/>
      <c r="N161" s="36"/>
      <c r="O161" s="65">
        <f>SUM(O158:O160)</f>
        <v>20941</v>
      </c>
      <c r="P161" s="37"/>
      <c r="Q161" s="37"/>
      <c r="R161" s="81">
        <f>((K161-D161)/D161)</f>
        <v>3.2978969513935065E-2</v>
      </c>
      <c r="S161" s="81" t="e">
        <f t="shared" si="48"/>
        <v>#DIV/0!</v>
      </c>
      <c r="T161" s="81">
        <f t="shared" si="48"/>
        <v>5.9083485445287735E-3</v>
      </c>
      <c r="U161" s="81">
        <f t="shared" si="49"/>
        <v>0</v>
      </c>
      <c r="V161" s="83">
        <f t="shared" si="49"/>
        <v>0</v>
      </c>
    </row>
    <row r="162" spans="1:24" ht="6" customHeight="1">
      <c r="A162" s="141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141"/>
      <c r="P162" s="141"/>
      <c r="Q162" s="141"/>
      <c r="R162" s="141"/>
      <c r="S162" s="141"/>
      <c r="T162" s="141"/>
      <c r="U162" s="141"/>
      <c r="V162" s="141"/>
    </row>
    <row r="163" spans="1:24" ht="15" customHeight="1">
      <c r="A163" s="148" t="s">
        <v>183</v>
      </c>
      <c r="B163" s="148"/>
      <c r="C163" s="148"/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</row>
    <row r="164" spans="1:24">
      <c r="A164" s="152" t="s">
        <v>232</v>
      </c>
      <c r="B164" s="152"/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</row>
    <row r="165" spans="1:24">
      <c r="A165" s="75">
        <v>135</v>
      </c>
      <c r="B165" s="113" t="s">
        <v>184</v>
      </c>
      <c r="C165" s="114" t="s">
        <v>185</v>
      </c>
      <c r="D165" s="13">
        <v>3922746061.5</v>
      </c>
      <c r="E165" s="3">
        <f>(D165/$D$180)</f>
        <v>8.3355271349782767E-2</v>
      </c>
      <c r="F165" s="18">
        <v>1.91</v>
      </c>
      <c r="G165" s="18">
        <v>1.95</v>
      </c>
      <c r="H165" s="61">
        <v>14972</v>
      </c>
      <c r="I165" s="12">
        <v>3.0300000000000001E-2</v>
      </c>
      <c r="J165" s="12">
        <v>4.9200000000000001E-2</v>
      </c>
      <c r="K165" s="13">
        <v>4002823841.6100001</v>
      </c>
      <c r="L165" s="3">
        <f>(K165/$K$180)</f>
        <v>8.0308822201509811E-2</v>
      </c>
      <c r="M165" s="18">
        <v>1.95</v>
      </c>
      <c r="N165" s="18">
        <v>1.99</v>
      </c>
      <c r="O165" s="61">
        <v>14975</v>
      </c>
      <c r="P165" s="12">
        <v>1.9900000000000001E-2</v>
      </c>
      <c r="Q165" s="12">
        <v>7.0099999999999996E-2</v>
      </c>
      <c r="R165" s="81">
        <f>((K165-D165)/D165)</f>
        <v>2.0413704801319609E-2</v>
      </c>
      <c r="S165" s="81">
        <f>((N165-G165)/G165)</f>
        <v>2.051282051282053E-2</v>
      </c>
      <c r="T165" s="81">
        <f>((O165-H165)/H165)</f>
        <v>2.0037403152551428E-4</v>
      </c>
      <c r="U165" s="81">
        <f>P165-I165</f>
        <v>-1.04E-2</v>
      </c>
      <c r="V165" s="83">
        <f>Q165-J165</f>
        <v>2.0899999999999995E-2</v>
      </c>
    </row>
    <row r="166" spans="1:24">
      <c r="A166" s="75">
        <v>136</v>
      </c>
      <c r="B166" s="113" t="s">
        <v>186</v>
      </c>
      <c r="C166" s="114" t="s">
        <v>42</v>
      </c>
      <c r="D166" s="13">
        <v>734103613.90999997</v>
      </c>
      <c r="E166" s="3">
        <f>(D166/$D$180)</f>
        <v>1.5599124943847504E-2</v>
      </c>
      <c r="F166" s="18">
        <v>463.35</v>
      </c>
      <c r="G166" s="18">
        <v>469.11</v>
      </c>
      <c r="H166" s="61">
        <v>1358</v>
      </c>
      <c r="I166" s="12">
        <v>0.1249</v>
      </c>
      <c r="J166" s="12">
        <v>0.22850000000000001</v>
      </c>
      <c r="K166" s="13">
        <v>821582086.30999994</v>
      </c>
      <c r="L166" s="3">
        <f>(K166/$K$180)</f>
        <v>1.648343577040276E-2</v>
      </c>
      <c r="M166" s="18">
        <v>481.97</v>
      </c>
      <c r="N166" s="18">
        <v>487.63</v>
      </c>
      <c r="O166" s="61">
        <v>1396</v>
      </c>
      <c r="P166" s="12">
        <v>3.95E-2</v>
      </c>
      <c r="Q166" s="12">
        <v>0.27700000000000002</v>
      </c>
      <c r="R166" s="81">
        <f>((K166-D166)/D166)</f>
        <v>0.11916365856594831</v>
      </c>
      <c r="S166" s="81">
        <f>((N166-G166)/G166)</f>
        <v>3.9479013451002923E-2</v>
      </c>
      <c r="T166" s="81">
        <f>((O166-H166)/H166)</f>
        <v>2.7982326951399118E-2</v>
      </c>
      <c r="U166" s="81">
        <f>P166-I166</f>
        <v>-8.5400000000000004E-2</v>
      </c>
      <c r="V166" s="83">
        <f>Q166-J166</f>
        <v>4.8500000000000015E-2</v>
      </c>
    </row>
    <row r="167" spans="1:24" ht="6" customHeight="1">
      <c r="A167" s="141"/>
      <c r="B167" s="141"/>
      <c r="C167" s="141"/>
      <c r="D167" s="141"/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141"/>
      <c r="P167" s="141"/>
      <c r="Q167" s="141"/>
      <c r="R167" s="141"/>
      <c r="S167" s="141"/>
      <c r="T167" s="141"/>
      <c r="U167" s="141"/>
      <c r="V167" s="141"/>
    </row>
    <row r="168" spans="1:24" ht="15" customHeight="1">
      <c r="A168" s="152" t="s">
        <v>231</v>
      </c>
      <c r="B168" s="152"/>
      <c r="C168" s="152"/>
      <c r="D168" s="152"/>
      <c r="E168" s="152"/>
      <c r="F168" s="152"/>
      <c r="G168" s="152"/>
      <c r="H168" s="152"/>
      <c r="I168" s="152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2"/>
      <c r="V168" s="152"/>
    </row>
    <row r="169" spans="1:24">
      <c r="A169" s="75">
        <v>137</v>
      </c>
      <c r="B169" s="113" t="s">
        <v>187</v>
      </c>
      <c r="C169" s="114" t="s">
        <v>188</v>
      </c>
      <c r="D169" s="2">
        <v>411296426.70999998</v>
      </c>
      <c r="E169" s="3">
        <f t="shared" ref="E169:E179" si="50">(D169/$D$180)</f>
        <v>8.7397258747099471E-3</v>
      </c>
      <c r="F169" s="2">
        <v>1041.03</v>
      </c>
      <c r="G169" s="2">
        <v>1041.03</v>
      </c>
      <c r="H169" s="60">
        <v>21</v>
      </c>
      <c r="I169" s="5">
        <v>2.0999999999999999E-3</v>
      </c>
      <c r="J169" s="5">
        <v>5.7000000000000002E-3</v>
      </c>
      <c r="K169" s="2">
        <v>410966388.24000001</v>
      </c>
      <c r="L169" s="3">
        <f t="shared" ref="L169:L179" si="51">(K169/$K$180)</f>
        <v>8.245235840977699E-3</v>
      </c>
      <c r="M169" s="2">
        <v>1033.27</v>
      </c>
      <c r="N169" s="2">
        <v>1033.27</v>
      </c>
      <c r="O169" s="60">
        <v>21</v>
      </c>
      <c r="P169" s="5">
        <v>1.5E-3</v>
      </c>
      <c r="Q169" s="5">
        <v>9.1000000000000004E-3</v>
      </c>
      <c r="R169" s="81">
        <f>((K169-D169)/D169)</f>
        <v>-8.0243456681590637E-4</v>
      </c>
      <c r="S169" s="81">
        <f>((N169-G169)/G169)</f>
        <v>-7.45415598013505E-3</v>
      </c>
      <c r="T169" s="81">
        <f>((O169-H169)/H169)</f>
        <v>0</v>
      </c>
      <c r="U169" s="81">
        <f>P169-I169</f>
        <v>-5.9999999999999984E-4</v>
      </c>
      <c r="V169" s="83">
        <f>Q169-J169</f>
        <v>3.4000000000000002E-3</v>
      </c>
      <c r="X169" s="70"/>
    </row>
    <row r="170" spans="1:24">
      <c r="A170" s="75">
        <v>138</v>
      </c>
      <c r="B170" s="113" t="s">
        <v>189</v>
      </c>
      <c r="C170" s="114" t="s">
        <v>58</v>
      </c>
      <c r="D170" s="2">
        <v>107606735.06</v>
      </c>
      <c r="E170" s="3">
        <f t="shared" si="50"/>
        <v>2.2865585636610503E-3</v>
      </c>
      <c r="F170" s="17">
        <v>109.83</v>
      </c>
      <c r="G170" s="17">
        <v>109.83</v>
      </c>
      <c r="H170" s="60">
        <v>65</v>
      </c>
      <c r="I170" s="5">
        <v>1E-3</v>
      </c>
      <c r="J170" s="5">
        <v>7.8100000000000003E-2</v>
      </c>
      <c r="K170" s="2">
        <v>108106004.95</v>
      </c>
      <c r="L170" s="3">
        <f t="shared" si="51"/>
        <v>2.1689353001737651E-3</v>
      </c>
      <c r="M170" s="17">
        <v>110.02</v>
      </c>
      <c r="N170" s="17">
        <v>110.02</v>
      </c>
      <c r="O170" s="60">
        <v>66</v>
      </c>
      <c r="P170" s="5">
        <v>1.6999999999999999E-3</v>
      </c>
      <c r="Q170" s="5">
        <v>8.1299999999999997E-2</v>
      </c>
      <c r="R170" s="81">
        <f t="shared" ref="R170:R181" si="52">((K170-D170)/D170)</f>
        <v>4.6397643207148204E-3</v>
      </c>
      <c r="S170" s="81">
        <f t="shared" ref="S170:S180" si="53">((N170-G170)/G170)</f>
        <v>1.729946280615476E-3</v>
      </c>
      <c r="T170" s="81">
        <f t="shared" ref="T170:T180" si="54">((O170-H170)/H170)</f>
        <v>1.5384615384615385E-2</v>
      </c>
      <c r="U170" s="81">
        <f t="shared" ref="U170:U180" si="55">P170-I170</f>
        <v>6.9999999999999988E-4</v>
      </c>
      <c r="V170" s="83">
        <f t="shared" ref="V170:V180" si="56">Q170-J170</f>
        <v>3.1999999999999945E-3</v>
      </c>
    </row>
    <row r="171" spans="1:24">
      <c r="A171" s="75">
        <v>139</v>
      </c>
      <c r="B171" s="131" t="s">
        <v>190</v>
      </c>
      <c r="C171" s="114" t="s">
        <v>64</v>
      </c>
      <c r="D171" s="9">
        <v>53993878.439999998</v>
      </c>
      <c r="E171" s="3">
        <f t="shared" si="50"/>
        <v>1.1473274889663375E-3</v>
      </c>
      <c r="F171" s="17">
        <v>97.37</v>
      </c>
      <c r="G171" s="17">
        <v>97.61</v>
      </c>
      <c r="H171" s="60">
        <v>12</v>
      </c>
      <c r="I171" s="5">
        <v>7.4000000000000003E-3</v>
      </c>
      <c r="J171" s="5">
        <v>1.1299999999999999E-2</v>
      </c>
      <c r="K171" s="9">
        <v>55276521.259999998</v>
      </c>
      <c r="L171" s="3">
        <f t="shared" si="51"/>
        <v>1.1090151586590437E-3</v>
      </c>
      <c r="M171" s="17">
        <v>99.62</v>
      </c>
      <c r="N171" s="17">
        <v>99.95</v>
      </c>
      <c r="O171" s="60">
        <v>12</v>
      </c>
      <c r="P171" s="5">
        <v>2.3699999999999999E-2</v>
      </c>
      <c r="Q171" s="5">
        <v>3.5000000000000003E-2</v>
      </c>
      <c r="R171" s="81">
        <f t="shared" si="52"/>
        <v>2.3755337772694375E-2</v>
      </c>
      <c r="S171" s="81">
        <f t="shared" si="53"/>
        <v>2.3972953590820648E-2</v>
      </c>
      <c r="T171" s="81">
        <f t="shared" si="54"/>
        <v>0</v>
      </c>
      <c r="U171" s="81">
        <f t="shared" si="55"/>
        <v>1.6299999999999999E-2</v>
      </c>
      <c r="V171" s="83">
        <f t="shared" si="56"/>
        <v>2.3700000000000006E-2</v>
      </c>
    </row>
    <row r="172" spans="1:24">
      <c r="A172" s="75">
        <v>140</v>
      </c>
      <c r="B172" s="113" t="s">
        <v>191</v>
      </c>
      <c r="C172" s="114" t="s">
        <v>27</v>
      </c>
      <c r="D172" s="2">
        <v>8691506067.2099991</v>
      </c>
      <c r="E172" s="3">
        <f t="shared" si="50"/>
        <v>0.18468767422419924</v>
      </c>
      <c r="F172" s="17">
        <v>134.56</v>
      </c>
      <c r="G172" s="17">
        <v>134.56</v>
      </c>
      <c r="H172" s="60">
        <v>639</v>
      </c>
      <c r="I172" s="5">
        <v>2.3999999999999998E-3</v>
      </c>
      <c r="J172" s="5">
        <v>0.13270000000000001</v>
      </c>
      <c r="K172" s="2">
        <v>10606452379.68</v>
      </c>
      <c r="L172" s="3">
        <f t="shared" si="51"/>
        <v>0.21279769783870814</v>
      </c>
      <c r="M172" s="17">
        <v>134.88999999999999</v>
      </c>
      <c r="N172" s="17">
        <v>134.88999999999999</v>
      </c>
      <c r="O172" s="60">
        <v>650</v>
      </c>
      <c r="P172" s="5">
        <v>1.8E-3</v>
      </c>
      <c r="Q172" s="5">
        <v>0.13070000000000001</v>
      </c>
      <c r="R172" s="81">
        <f t="shared" si="52"/>
        <v>0.22032387685885893</v>
      </c>
      <c r="S172" s="81">
        <f t="shared" si="53"/>
        <v>2.4524375743161719E-3</v>
      </c>
      <c r="T172" s="81">
        <f t="shared" si="54"/>
        <v>1.7214397496087636E-2</v>
      </c>
      <c r="U172" s="81">
        <f t="shared" si="55"/>
        <v>-5.9999999999999984E-4</v>
      </c>
      <c r="V172" s="83">
        <f t="shared" si="56"/>
        <v>-2.0000000000000018E-3</v>
      </c>
    </row>
    <row r="173" spans="1:24">
      <c r="A173" s="75">
        <v>141</v>
      </c>
      <c r="B173" s="113" t="s">
        <v>249</v>
      </c>
      <c r="C173" s="114" t="s">
        <v>56</v>
      </c>
      <c r="D173" s="2">
        <v>207249161.85922799</v>
      </c>
      <c r="E173" s="3">
        <f t="shared" si="50"/>
        <v>4.403881835059487E-3</v>
      </c>
      <c r="F173" s="4">
        <v>1033.2850925724899</v>
      </c>
      <c r="G173" s="4">
        <v>1033.2850925724899</v>
      </c>
      <c r="H173" s="60">
        <v>7</v>
      </c>
      <c r="I173" s="5">
        <v>0.11776239062335354</v>
      </c>
      <c r="J173" s="5">
        <v>0.11776239062335354</v>
      </c>
      <c r="K173" s="2">
        <v>242580676.67058399</v>
      </c>
      <c r="L173" s="3">
        <f t="shared" si="51"/>
        <v>4.8669062649592263E-3</v>
      </c>
      <c r="M173" s="4">
        <v>1037.94724353335</v>
      </c>
      <c r="N173" s="4">
        <v>1037.94724353335</v>
      </c>
      <c r="O173" s="60">
        <v>11</v>
      </c>
      <c r="P173" s="5">
        <v>0.11869999616670873</v>
      </c>
      <c r="Q173" s="5">
        <v>0.11869999616670873</v>
      </c>
      <c r="R173" s="81">
        <f t="shared" si="52"/>
        <v>0.170478444855447</v>
      </c>
      <c r="S173" s="81">
        <f t="shared" si="53"/>
        <v>4.5119696339111217E-3</v>
      </c>
      <c r="T173" s="81">
        <f t="shared" si="54"/>
        <v>0.5714285714285714</v>
      </c>
      <c r="U173" s="81">
        <f t="shared" si="55"/>
        <v>9.3760554335518831E-4</v>
      </c>
      <c r="V173" s="83">
        <f t="shared" si="56"/>
        <v>9.3760554335518831E-4</v>
      </c>
    </row>
    <row r="174" spans="1:24">
      <c r="A174" s="75">
        <v>142</v>
      </c>
      <c r="B174" s="113" t="s">
        <v>192</v>
      </c>
      <c r="C174" s="114" t="s">
        <v>185</v>
      </c>
      <c r="D174" s="2">
        <v>18565650266.700001</v>
      </c>
      <c r="E174" s="3">
        <f t="shared" si="50"/>
        <v>0.39450547945338754</v>
      </c>
      <c r="F174" s="7">
        <v>1230.51</v>
      </c>
      <c r="G174" s="7">
        <v>1230.51</v>
      </c>
      <c r="H174" s="60">
        <v>7529</v>
      </c>
      <c r="I174" s="5">
        <v>2.5999999999999999E-3</v>
      </c>
      <c r="J174" s="5">
        <v>1.24E-2</v>
      </c>
      <c r="K174" s="2">
        <v>19104166089.25</v>
      </c>
      <c r="L174" s="3">
        <f t="shared" si="51"/>
        <v>0.38328768351509518</v>
      </c>
      <c r="M174" s="7">
        <v>1201.6600000000001</v>
      </c>
      <c r="N174" s="7">
        <v>1201.6600000000001</v>
      </c>
      <c r="O174" s="60">
        <v>7601</v>
      </c>
      <c r="P174" s="5">
        <v>-2.3400000000000001E-2</v>
      </c>
      <c r="Q174" s="5">
        <v>1.4500000000000001E-2</v>
      </c>
      <c r="R174" s="81">
        <f t="shared" si="52"/>
        <v>2.9006030751096288E-2</v>
      </c>
      <c r="S174" s="81">
        <f t="shared" si="53"/>
        <v>-2.3445563221753507E-2</v>
      </c>
      <c r="T174" s="81">
        <f t="shared" si="54"/>
        <v>9.5630229778190991E-3</v>
      </c>
      <c r="U174" s="81">
        <f t="shared" si="55"/>
        <v>-2.6000000000000002E-2</v>
      </c>
      <c r="V174" s="83">
        <f t="shared" si="56"/>
        <v>2.1000000000000012E-3</v>
      </c>
    </row>
    <row r="175" spans="1:24">
      <c r="A175" s="75">
        <v>143</v>
      </c>
      <c r="B175" s="113" t="s">
        <v>193</v>
      </c>
      <c r="C175" s="114" t="s">
        <v>78</v>
      </c>
      <c r="D175" s="2">
        <v>919492813.67999995</v>
      </c>
      <c r="E175" s="3">
        <f t="shared" si="50"/>
        <v>1.9538499761864239E-2</v>
      </c>
      <c r="F175" s="14">
        <v>102.72</v>
      </c>
      <c r="G175" s="14">
        <v>102.72</v>
      </c>
      <c r="H175" s="60">
        <v>532</v>
      </c>
      <c r="I175" s="5">
        <v>2.3E-3</v>
      </c>
      <c r="J175" s="5">
        <v>5.7000000000000002E-3</v>
      </c>
      <c r="K175" s="2">
        <v>927669760.02999997</v>
      </c>
      <c r="L175" s="3">
        <f t="shared" si="51"/>
        <v>1.8611877206667536E-2</v>
      </c>
      <c r="M175" s="14">
        <v>102.95</v>
      </c>
      <c r="N175" s="14">
        <v>102.95</v>
      </c>
      <c r="O175" s="60">
        <v>532</v>
      </c>
      <c r="P175" s="5">
        <v>2.2000000000000001E-3</v>
      </c>
      <c r="Q175" s="5">
        <v>8.5000000000000006E-3</v>
      </c>
      <c r="R175" s="81">
        <f t="shared" si="52"/>
        <v>8.8928877184740549E-3</v>
      </c>
      <c r="S175" s="81">
        <f t="shared" si="53"/>
        <v>2.2390965732087616E-3</v>
      </c>
      <c r="T175" s="81">
        <f t="shared" si="54"/>
        <v>0</v>
      </c>
      <c r="U175" s="81">
        <f t="shared" si="55"/>
        <v>-9.9999999999999829E-5</v>
      </c>
      <c r="V175" s="83">
        <f t="shared" si="56"/>
        <v>2.8000000000000004E-3</v>
      </c>
    </row>
    <row r="176" spans="1:24" ht="15.75" customHeight="1">
      <c r="A176" s="75">
        <v>144</v>
      </c>
      <c r="B176" s="113" t="s">
        <v>194</v>
      </c>
      <c r="C176" s="114" t="s">
        <v>42</v>
      </c>
      <c r="D176" s="2">
        <v>8013259562.0299997</v>
      </c>
      <c r="E176" s="3">
        <f t="shared" si="50"/>
        <v>0.17027546894887169</v>
      </c>
      <c r="F176" s="14">
        <v>128.69999999999999</v>
      </c>
      <c r="G176" s="14">
        <v>128.69999999999999</v>
      </c>
      <c r="H176" s="60">
        <v>1953</v>
      </c>
      <c r="I176" s="5">
        <v>8.9999999999999998E-4</v>
      </c>
      <c r="J176" s="5">
        <v>3.2000000000000002E-3</v>
      </c>
      <c r="K176" s="2">
        <v>7989858780.0900002</v>
      </c>
      <c r="L176" s="3">
        <f t="shared" si="51"/>
        <v>0.16030087097895757</v>
      </c>
      <c r="M176" s="14">
        <v>128.88</v>
      </c>
      <c r="N176" s="14">
        <v>128.88</v>
      </c>
      <c r="O176" s="60">
        <v>1958</v>
      </c>
      <c r="P176" s="5">
        <v>1.4E-3</v>
      </c>
      <c r="Q176" s="5">
        <v>4.5999999999999999E-3</v>
      </c>
      <c r="R176" s="81">
        <f t="shared" si="52"/>
        <v>-2.9202575754418043E-3</v>
      </c>
      <c r="S176" s="81">
        <f t="shared" si="53"/>
        <v>1.3986013986014517E-3</v>
      </c>
      <c r="T176" s="81">
        <f t="shared" si="54"/>
        <v>2.5601638504864311E-3</v>
      </c>
      <c r="U176" s="81">
        <f t="shared" si="55"/>
        <v>5.0000000000000001E-4</v>
      </c>
      <c r="V176" s="83">
        <f t="shared" si="56"/>
        <v>1.3999999999999998E-3</v>
      </c>
    </row>
    <row r="177" spans="1:22">
      <c r="A177" s="75">
        <v>145</v>
      </c>
      <c r="B177" s="113" t="s">
        <v>195</v>
      </c>
      <c r="C177" s="114" t="s">
        <v>45</v>
      </c>
      <c r="D177" s="2">
        <v>4944330910.3100004</v>
      </c>
      <c r="E177" s="3">
        <f t="shared" si="50"/>
        <v>0.10506314663519509</v>
      </c>
      <c r="F177" s="14">
        <v>1.1854</v>
      </c>
      <c r="G177" s="14">
        <v>1.1854</v>
      </c>
      <c r="H177" s="60">
        <v>598</v>
      </c>
      <c r="I177" s="5">
        <v>9.7000000000000003E-2</v>
      </c>
      <c r="J177" s="5">
        <v>9.7000000000000003E-2</v>
      </c>
      <c r="K177" s="2">
        <v>5082855784.3299999</v>
      </c>
      <c r="L177" s="3">
        <f t="shared" si="51"/>
        <v>0.10197754825390712</v>
      </c>
      <c r="M177" s="14">
        <v>1.1875</v>
      </c>
      <c r="N177" s="14">
        <v>1.1875</v>
      </c>
      <c r="O177" s="60">
        <v>599</v>
      </c>
      <c r="P177" s="5">
        <v>9.6799999999999997E-2</v>
      </c>
      <c r="Q177" s="5">
        <v>9.7000000000000003E-2</v>
      </c>
      <c r="R177" s="81">
        <f t="shared" si="52"/>
        <v>2.8016909978890198E-2</v>
      </c>
      <c r="S177" s="81">
        <f t="shared" si="53"/>
        <v>1.771553905854556E-3</v>
      </c>
      <c r="T177" s="81">
        <f t="shared" si="54"/>
        <v>1.6722408026755853E-3</v>
      </c>
      <c r="U177" s="81">
        <f t="shared" si="55"/>
        <v>-2.0000000000000573E-4</v>
      </c>
      <c r="V177" s="83">
        <f t="shared" si="56"/>
        <v>0</v>
      </c>
    </row>
    <row r="178" spans="1:22">
      <c r="A178" s="75">
        <v>146</v>
      </c>
      <c r="B178" s="113" t="s">
        <v>196</v>
      </c>
      <c r="C178" s="114" t="s">
        <v>197</v>
      </c>
      <c r="D178" s="2">
        <v>354398255.52999997</v>
      </c>
      <c r="E178" s="3">
        <f t="shared" si="50"/>
        <v>7.5306844471846263E-3</v>
      </c>
      <c r="F178" s="18">
        <v>100.66849999999999</v>
      </c>
      <c r="G178" s="18">
        <v>100.66849999999999</v>
      </c>
      <c r="H178" s="61">
        <v>173</v>
      </c>
      <c r="I178" s="5">
        <v>3.4629999999999999E-3</v>
      </c>
      <c r="J178" s="5">
        <v>9.6399999999999993E-3</v>
      </c>
      <c r="K178" s="2">
        <v>355422317.52999997</v>
      </c>
      <c r="L178" s="3">
        <f t="shared" si="51"/>
        <v>7.1308528265097617E-3</v>
      </c>
      <c r="M178" s="18">
        <v>107.75749999999999</v>
      </c>
      <c r="N178" s="18">
        <v>108.15009999999999</v>
      </c>
      <c r="O178" s="61">
        <v>178</v>
      </c>
      <c r="P178" s="5">
        <v>7.1864999999999998E-2</v>
      </c>
      <c r="Q178" s="5">
        <v>8.1500000000000003E-2</v>
      </c>
      <c r="R178" s="81">
        <f>((K178-D178)/D178)</f>
        <v>2.8895796861881356E-3</v>
      </c>
      <c r="S178" s="81">
        <f>((N178-G178)/G178)</f>
        <v>7.4319176306391774E-2</v>
      </c>
      <c r="T178" s="81">
        <f>((O178-H178)/H178)</f>
        <v>2.8901734104046242E-2</v>
      </c>
      <c r="U178" s="81">
        <f>P178-I178</f>
        <v>6.8402000000000004E-2</v>
      </c>
      <c r="V178" s="83">
        <f>Q178-J178</f>
        <v>7.1860000000000007E-2</v>
      </c>
    </row>
    <row r="179" spans="1:22">
      <c r="A179" s="75">
        <v>147</v>
      </c>
      <c r="B179" s="113" t="s">
        <v>244</v>
      </c>
      <c r="C179" s="114" t="s">
        <v>197</v>
      </c>
      <c r="D179" s="2">
        <v>134930000</v>
      </c>
      <c r="E179" s="3">
        <f t="shared" si="50"/>
        <v>2.8671564732705265E-3</v>
      </c>
      <c r="F179" s="18">
        <v>100.17570000000001</v>
      </c>
      <c r="G179" s="18">
        <v>100.17570000000001</v>
      </c>
      <c r="H179" s="61">
        <v>62</v>
      </c>
      <c r="I179" s="5">
        <v>4.3800000000000002E-4</v>
      </c>
      <c r="J179" s="5">
        <v>1.7570000000000001E-3</v>
      </c>
      <c r="K179" s="2">
        <v>135130000</v>
      </c>
      <c r="L179" s="3">
        <f t="shared" si="51"/>
        <v>2.711118843472542E-3</v>
      </c>
      <c r="M179" s="18">
        <v>100.2026</v>
      </c>
      <c r="N179" s="18">
        <v>100.2026</v>
      </c>
      <c r="O179" s="61">
        <v>65</v>
      </c>
      <c r="P179" s="5">
        <v>2.6899999999999998E-4</v>
      </c>
      <c r="Q179" s="5">
        <v>2.026E-3</v>
      </c>
      <c r="R179" s="81">
        <f t="shared" si="52"/>
        <v>1.482250055584377E-3</v>
      </c>
      <c r="S179" s="81">
        <f t="shared" si="53"/>
        <v>2.6852819595967587E-4</v>
      </c>
      <c r="T179" s="81">
        <f t="shared" si="54"/>
        <v>4.8387096774193547E-2</v>
      </c>
      <c r="U179" s="81">
        <f t="shared" si="55"/>
        <v>-1.6900000000000004E-4</v>
      </c>
      <c r="V179" s="83">
        <f t="shared" si="56"/>
        <v>2.6899999999999992E-4</v>
      </c>
    </row>
    <row r="180" spans="1:22">
      <c r="A180" s="85"/>
      <c r="B180" s="19"/>
      <c r="C180" s="66" t="s">
        <v>46</v>
      </c>
      <c r="D180" s="59">
        <f>SUM(D165:D179)</f>
        <v>47060563752.939224</v>
      </c>
      <c r="E180" s="100">
        <f>(D180/$D$181)</f>
        <v>2.1241783428054713E-2</v>
      </c>
      <c r="F180" s="30"/>
      <c r="G180" s="34"/>
      <c r="H180" s="68">
        <f>SUM(H165:H179)</f>
        <v>27921</v>
      </c>
      <c r="I180" s="35"/>
      <c r="J180" s="35"/>
      <c r="K180" s="59">
        <f>SUM(K165:K179)</f>
        <v>49842890629.950577</v>
      </c>
      <c r="L180" s="100">
        <f>(K180/$K$181)</f>
        <v>2.1878456203869155E-2</v>
      </c>
      <c r="M180" s="30"/>
      <c r="N180" s="34"/>
      <c r="O180" s="68">
        <f>SUM(O165:O179)</f>
        <v>28064</v>
      </c>
      <c r="P180" s="35"/>
      <c r="Q180" s="35"/>
      <c r="R180" s="81">
        <f t="shared" si="52"/>
        <v>5.9122259810106478E-2</v>
      </c>
      <c r="S180" s="81" t="e">
        <f t="shared" si="53"/>
        <v>#DIV/0!</v>
      </c>
      <c r="T180" s="81">
        <f t="shared" si="54"/>
        <v>5.1215930661509257E-3</v>
      </c>
      <c r="U180" s="81">
        <f t="shared" si="55"/>
        <v>0</v>
      </c>
      <c r="V180" s="83">
        <f t="shared" si="56"/>
        <v>0</v>
      </c>
    </row>
    <row r="181" spans="1:22">
      <c r="A181" s="86"/>
      <c r="B181" s="38"/>
      <c r="C181" s="67" t="s">
        <v>198</v>
      </c>
      <c r="D181" s="69">
        <f>SUM(D22,D55,D90,D118,D126,D155,D161,D180)</f>
        <v>2215471403911.6323</v>
      </c>
      <c r="E181" s="39"/>
      <c r="F181" s="39"/>
      <c r="G181" s="40"/>
      <c r="H181" s="69">
        <f>SUM(H22,H55,H90,H118,H126,H155,H161,H180)</f>
        <v>774929</v>
      </c>
      <c r="I181" s="41"/>
      <c r="J181" s="41"/>
      <c r="K181" s="69">
        <f>SUM(K22,K55,K90,K118,K126,K155,K161,K180)</f>
        <v>2278172196680.6768</v>
      </c>
      <c r="L181" s="39"/>
      <c r="M181" s="39"/>
      <c r="N181" s="40"/>
      <c r="O181" s="69">
        <f>SUM(O22,O55,O90,O118,O126,O155,O161,O180)</f>
        <v>777102</v>
      </c>
      <c r="P181" s="42"/>
      <c r="Q181" s="69"/>
      <c r="R181" s="25">
        <f t="shared" si="52"/>
        <v>2.8301332465108794E-2</v>
      </c>
      <c r="S181" s="25"/>
      <c r="T181" s="25"/>
      <c r="U181" s="25"/>
      <c r="V181" s="25"/>
    </row>
    <row r="182" spans="1:22" ht="6.75" customHeight="1">
      <c r="A182" s="141"/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9"/>
    </row>
    <row r="183" spans="1:22" ht="15.75">
      <c r="A183" s="148" t="s">
        <v>199</v>
      </c>
      <c r="B183" s="148"/>
      <c r="C183" s="148"/>
      <c r="D183" s="148"/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</row>
    <row r="184" spans="1:22">
      <c r="A184" s="75">
        <v>1</v>
      </c>
      <c r="B184" s="113" t="s">
        <v>200</v>
      </c>
      <c r="C184" s="114" t="s">
        <v>201</v>
      </c>
      <c r="D184" s="2">
        <v>92548651821</v>
      </c>
      <c r="E184" s="3">
        <f>(D184/$D$186)</f>
        <v>0.97764471782494933</v>
      </c>
      <c r="F184" s="14">
        <v>114</v>
      </c>
      <c r="G184" s="14">
        <v>114</v>
      </c>
      <c r="H184" s="64">
        <v>0</v>
      </c>
      <c r="I184" s="20">
        <v>0</v>
      </c>
      <c r="J184" s="20">
        <v>0.13800000000000001</v>
      </c>
      <c r="K184" s="2">
        <v>92548651821</v>
      </c>
      <c r="L184" s="3">
        <f>(K184/$K$186)</f>
        <v>0.97783050906254965</v>
      </c>
      <c r="M184" s="14">
        <v>114</v>
      </c>
      <c r="N184" s="14">
        <v>114</v>
      </c>
      <c r="O184" s="64">
        <v>0</v>
      </c>
      <c r="P184" s="20">
        <v>0</v>
      </c>
      <c r="Q184" s="20">
        <v>0.13800000000000001</v>
      </c>
      <c r="R184" s="81">
        <f>((K184-D184)/D184)</f>
        <v>0</v>
      </c>
      <c r="S184" s="81">
        <f>((N184-G184)/G184)</f>
        <v>0</v>
      </c>
      <c r="T184" s="81" t="e">
        <f>((O184-H184)/H184)</f>
        <v>#DIV/0!</v>
      </c>
      <c r="U184" s="81">
        <f>P184-I184</f>
        <v>0</v>
      </c>
      <c r="V184" s="83">
        <f>Q184-J184</f>
        <v>0</v>
      </c>
    </row>
    <row r="185" spans="1:22">
      <c r="A185" s="75">
        <v>2</v>
      </c>
      <c r="B185" s="113" t="s">
        <v>202</v>
      </c>
      <c r="C185" s="114" t="s">
        <v>45</v>
      </c>
      <c r="D185" s="2">
        <v>2116260834.49</v>
      </c>
      <c r="E185" s="3">
        <f>(D185/$D$186)</f>
        <v>2.2355282175050624E-2</v>
      </c>
      <c r="F185" s="21">
        <v>1000000</v>
      </c>
      <c r="G185" s="21">
        <v>1000000</v>
      </c>
      <c r="H185" s="64">
        <v>0</v>
      </c>
      <c r="I185" s="20">
        <v>0.16569999999999999</v>
      </c>
      <c r="J185" s="20">
        <v>0.16569999999999999</v>
      </c>
      <c r="K185" s="2">
        <v>2098274167.97</v>
      </c>
      <c r="L185" s="3">
        <f>(K185/$K$186)</f>
        <v>2.2169490937450305E-2</v>
      </c>
      <c r="M185" s="21">
        <v>1000000</v>
      </c>
      <c r="N185" s="21">
        <v>1000000</v>
      </c>
      <c r="O185" s="64">
        <v>0</v>
      </c>
      <c r="P185" s="20">
        <v>0.1656</v>
      </c>
      <c r="Q185" s="20">
        <v>0.1656</v>
      </c>
      <c r="R185" s="81">
        <f>((K185-D185)/D185)</f>
        <v>-8.4992673052679754E-3</v>
      </c>
      <c r="S185" s="81">
        <f>((N185-G185)/G185)</f>
        <v>0</v>
      </c>
      <c r="T185" s="81" t="e">
        <f>((O185-H185)/H185)</f>
        <v>#DIV/0!</v>
      </c>
      <c r="U185" s="81">
        <f>P185-I185</f>
        <v>-9.9999999999988987E-5</v>
      </c>
      <c r="V185" s="83">
        <f>Q185-J185</f>
        <v>-9.9999999999988987E-5</v>
      </c>
    </row>
    <row r="186" spans="1:22">
      <c r="A186" s="38"/>
      <c r="B186" s="38"/>
      <c r="C186" s="67" t="s">
        <v>203</v>
      </c>
      <c r="D186" s="73">
        <f>SUM(D184:D185)</f>
        <v>94664912655.490005</v>
      </c>
      <c r="E186" s="24"/>
      <c r="F186" s="22"/>
      <c r="G186" s="22"/>
      <c r="H186" s="73">
        <f>SUM(H184:H185)</f>
        <v>0</v>
      </c>
      <c r="I186" s="23"/>
      <c r="J186" s="23"/>
      <c r="K186" s="73">
        <f>SUM(K184:K185)</f>
        <v>94646925988.970001</v>
      </c>
      <c r="L186" s="24"/>
      <c r="M186" s="22"/>
      <c r="N186" s="22"/>
      <c r="O186" s="23"/>
      <c r="P186" s="23"/>
      <c r="Q186" s="73"/>
      <c r="R186" s="25">
        <f>((K186-D186)/D186)</f>
        <v>-1.9000351889049308E-4</v>
      </c>
      <c r="S186" s="26"/>
      <c r="T186" s="26"/>
      <c r="U186" s="25">
        <f>O186-H186</f>
        <v>0</v>
      </c>
      <c r="V186" s="87">
        <f>P186-I186</f>
        <v>0</v>
      </c>
    </row>
    <row r="187" spans="1:22" ht="8.25" customHeight="1">
      <c r="A187" s="153"/>
      <c r="B187" s="153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  <c r="S187" s="153"/>
      <c r="T187" s="153"/>
      <c r="U187" s="153"/>
      <c r="V187" s="153"/>
    </row>
    <row r="188" spans="1:22" ht="15.75">
      <c r="A188" s="148" t="s">
        <v>204</v>
      </c>
      <c r="B188" s="148"/>
      <c r="C188" s="148"/>
      <c r="D188" s="148"/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</row>
    <row r="189" spans="1:22">
      <c r="A189" s="75">
        <v>1</v>
      </c>
      <c r="B189" s="113" t="s">
        <v>205</v>
      </c>
      <c r="C189" s="114" t="s">
        <v>74</v>
      </c>
      <c r="D189" s="27">
        <v>931502810.96000004</v>
      </c>
      <c r="E189" s="10">
        <f t="shared" ref="E189:E200" si="57">(D189/$D$201)</f>
        <v>7.2746373872613068E-2</v>
      </c>
      <c r="F189" s="21">
        <v>219.51</v>
      </c>
      <c r="G189" s="21">
        <v>223.27</v>
      </c>
      <c r="H189" s="63">
        <v>61</v>
      </c>
      <c r="I189" s="28">
        <v>0.13512255662426309</v>
      </c>
      <c r="J189" s="28">
        <v>0.28181021897810221</v>
      </c>
      <c r="K189" s="27">
        <v>1012023827.5029907</v>
      </c>
      <c r="L189" s="10">
        <f t="shared" ref="L189:L200" si="58">(K189/$K$201)</f>
        <v>7.4553777764583037E-2</v>
      </c>
      <c r="M189" s="21">
        <v>238.48799988287752</v>
      </c>
      <c r="N189" s="21">
        <v>242.3543818569577</v>
      </c>
      <c r="O189" s="63">
        <v>61</v>
      </c>
      <c r="P189" s="28">
        <v>0.11882154195382588</v>
      </c>
      <c r="Q189" s="28">
        <v>0.39263065625037963</v>
      </c>
      <c r="R189" s="81">
        <f>((K189-D189)/D189)</f>
        <v>8.6442054275720659E-2</v>
      </c>
      <c r="S189" s="81">
        <f>((N189-G189)/G189)</f>
        <v>8.5476695735914765E-2</v>
      </c>
      <c r="T189" s="81">
        <f>((O189-H189)/H189)</f>
        <v>0</v>
      </c>
      <c r="U189" s="81">
        <f>P189-I189</f>
        <v>-1.6301014670437208E-2</v>
      </c>
      <c r="V189" s="83">
        <f>Q189-J189</f>
        <v>0.11082043727227742</v>
      </c>
    </row>
    <row r="190" spans="1:22">
      <c r="A190" s="75">
        <v>2</v>
      </c>
      <c r="B190" s="113" t="s">
        <v>206</v>
      </c>
      <c r="C190" s="114" t="s">
        <v>185</v>
      </c>
      <c r="D190" s="27">
        <v>1034989068.87</v>
      </c>
      <c r="E190" s="10">
        <f t="shared" si="57"/>
        <v>8.0828206713074349E-2</v>
      </c>
      <c r="F190" s="21">
        <v>29.44</v>
      </c>
      <c r="G190" s="21">
        <v>32.54</v>
      </c>
      <c r="H190" s="63">
        <v>184</v>
      </c>
      <c r="I190" s="28">
        <v>0.23899999999999999</v>
      </c>
      <c r="J190" s="28">
        <v>0.37340000000000001</v>
      </c>
      <c r="K190" s="27">
        <v>1106383829.3199999</v>
      </c>
      <c r="L190" s="10">
        <f t="shared" si="58"/>
        <v>8.1505090978905723E-2</v>
      </c>
      <c r="M190" s="21">
        <v>31.47</v>
      </c>
      <c r="N190" s="21">
        <v>34.78</v>
      </c>
      <c r="O190" s="63">
        <v>184</v>
      </c>
      <c r="P190" s="28">
        <v>6.9000000000000006E-2</v>
      </c>
      <c r="Q190" s="28">
        <v>0.46810000000000002</v>
      </c>
      <c r="R190" s="81">
        <f t="shared" ref="R190:R201" si="59">((K190-D190)/D190)</f>
        <v>6.898117342239049E-2</v>
      </c>
      <c r="S190" s="81">
        <f t="shared" ref="S190:S201" si="60">((N190-G190)/G190)</f>
        <v>6.8838352796558144E-2</v>
      </c>
      <c r="T190" s="81">
        <f t="shared" ref="T190:T201" si="61">((O190-H190)/H190)</f>
        <v>0</v>
      </c>
      <c r="U190" s="81">
        <f t="shared" ref="U190:U201" si="62">P190-I190</f>
        <v>-0.16999999999999998</v>
      </c>
      <c r="V190" s="83">
        <f t="shared" ref="V190:V201" si="63">Q190-J190</f>
        <v>9.4700000000000006E-2</v>
      </c>
    </row>
    <row r="191" spans="1:22">
      <c r="A191" s="75">
        <v>3</v>
      </c>
      <c r="B191" s="113" t="s">
        <v>207</v>
      </c>
      <c r="C191" s="114" t="s">
        <v>36</v>
      </c>
      <c r="D191" s="27">
        <v>354513465.24000001</v>
      </c>
      <c r="E191" s="10">
        <f t="shared" si="57"/>
        <v>2.7685980956564282E-2</v>
      </c>
      <c r="F191" s="21">
        <v>26.451294000000001</v>
      </c>
      <c r="G191" s="21">
        <v>26.848163</v>
      </c>
      <c r="H191" s="63">
        <v>73</v>
      </c>
      <c r="I191" s="28">
        <v>6.5307768611965411E-2</v>
      </c>
      <c r="J191" s="28">
        <v>0.12605794569592765</v>
      </c>
      <c r="K191" s="27">
        <v>341758058.08999997</v>
      </c>
      <c r="L191" s="10">
        <f t="shared" si="58"/>
        <v>2.5176634798178232E-2</v>
      </c>
      <c r="M191" s="21">
        <v>25.499575</v>
      </c>
      <c r="N191" s="21">
        <v>25.901658999999999</v>
      </c>
      <c r="O191" s="63">
        <v>73</v>
      </c>
      <c r="P191" s="28">
        <v>-3.5980035740997396E-2</v>
      </c>
      <c r="Q191" s="28">
        <v>8.5542340563353969E-2</v>
      </c>
      <c r="R191" s="81">
        <f t="shared" si="59"/>
        <v>-3.5980035740997389E-2</v>
      </c>
      <c r="S191" s="81">
        <f t="shared" si="60"/>
        <v>-3.5253957598514317E-2</v>
      </c>
      <c r="T191" s="81">
        <f t="shared" si="61"/>
        <v>0</v>
      </c>
      <c r="U191" s="81">
        <f t="shared" si="62"/>
        <v>-0.10128780435296281</v>
      </c>
      <c r="V191" s="83">
        <f t="shared" si="63"/>
        <v>-4.0515605132573684E-2</v>
      </c>
    </row>
    <row r="192" spans="1:22">
      <c r="A192" s="75">
        <v>4</v>
      </c>
      <c r="B192" s="113" t="s">
        <v>208</v>
      </c>
      <c r="C192" s="114" t="s">
        <v>36</v>
      </c>
      <c r="D192" s="27">
        <v>580512363.86000001</v>
      </c>
      <c r="E192" s="10">
        <f t="shared" si="57"/>
        <v>4.5335525520864346E-2</v>
      </c>
      <c r="F192" s="21">
        <v>43.562060000000002</v>
      </c>
      <c r="G192" s="21">
        <v>44.033501999999999</v>
      </c>
      <c r="H192" s="63">
        <v>60</v>
      </c>
      <c r="I192" s="28">
        <v>0.11593099026866849</v>
      </c>
      <c r="J192" s="28">
        <v>0.15693476260600647</v>
      </c>
      <c r="K192" s="27">
        <v>588634062.29999995</v>
      </c>
      <c r="L192" s="10">
        <f t="shared" si="58"/>
        <v>4.3363497847335258E-2</v>
      </c>
      <c r="M192" s="21">
        <v>44.171517999999999</v>
      </c>
      <c r="N192" s="21">
        <v>44.642066</v>
      </c>
      <c r="O192" s="63">
        <v>60</v>
      </c>
      <c r="P192" s="28">
        <v>1.3990569272282816E-2</v>
      </c>
      <c r="Q192" s="28">
        <v>0.17312093854575772</v>
      </c>
      <c r="R192" s="81">
        <f t="shared" si="59"/>
        <v>1.3990569272282748E-2</v>
      </c>
      <c r="S192" s="81">
        <f t="shared" si="60"/>
        <v>1.3820476963199548E-2</v>
      </c>
      <c r="T192" s="81">
        <f t="shared" si="61"/>
        <v>0</v>
      </c>
      <c r="U192" s="81">
        <f t="shared" si="62"/>
        <v>-0.10194042099638567</v>
      </c>
      <c r="V192" s="83">
        <f t="shared" si="63"/>
        <v>1.6186175939751246E-2</v>
      </c>
    </row>
    <row r="193" spans="1:22">
      <c r="A193" s="75">
        <v>5</v>
      </c>
      <c r="B193" s="113" t="s">
        <v>209</v>
      </c>
      <c r="C193" s="114" t="s">
        <v>210</v>
      </c>
      <c r="D193" s="27">
        <v>743291142.94000006</v>
      </c>
      <c r="E193" s="10">
        <f t="shared" si="57"/>
        <v>5.8047849930575289E-2</v>
      </c>
      <c r="F193" s="21">
        <v>19400</v>
      </c>
      <c r="G193" s="21">
        <v>23200</v>
      </c>
      <c r="H193" s="63">
        <v>226</v>
      </c>
      <c r="I193" s="28">
        <v>-0.09</v>
      </c>
      <c r="J193" s="28">
        <v>1.1499999999999999</v>
      </c>
      <c r="K193" s="27">
        <v>749397907.25</v>
      </c>
      <c r="L193" s="10">
        <f t="shared" si="58"/>
        <v>5.5206649800145148E-2</v>
      </c>
      <c r="M193" s="21">
        <v>16500</v>
      </c>
      <c r="N193" s="21">
        <v>23100</v>
      </c>
      <c r="O193" s="63">
        <v>226</v>
      </c>
      <c r="P193" s="28">
        <v>0.01</v>
      </c>
      <c r="Q193" s="28">
        <v>1.1599999999999999</v>
      </c>
      <c r="R193" s="81">
        <f t="shared" si="59"/>
        <v>8.2158443135019205E-3</v>
      </c>
      <c r="S193" s="81">
        <f t="shared" si="60"/>
        <v>-4.3103448275862068E-3</v>
      </c>
      <c r="T193" s="81">
        <f t="shared" si="61"/>
        <v>0</v>
      </c>
      <c r="U193" s="81">
        <f t="shared" si="62"/>
        <v>9.9999999999999992E-2</v>
      </c>
      <c r="V193" s="83">
        <f t="shared" si="63"/>
        <v>1.0000000000000009E-2</v>
      </c>
    </row>
    <row r="194" spans="1:22">
      <c r="A194" s="75">
        <v>6</v>
      </c>
      <c r="B194" s="113" t="s">
        <v>211</v>
      </c>
      <c r="C194" s="114" t="s">
        <v>212</v>
      </c>
      <c r="D194" s="27">
        <v>1117233592.6700001</v>
      </c>
      <c r="E194" s="10">
        <f t="shared" si="57"/>
        <v>8.7251151235553881E-2</v>
      </c>
      <c r="F194" s="21">
        <v>900</v>
      </c>
      <c r="G194" s="21">
        <v>900</v>
      </c>
      <c r="H194" s="63">
        <v>46</v>
      </c>
      <c r="I194" s="28">
        <v>6.08E-2</v>
      </c>
      <c r="J194" s="28">
        <v>0.18820000000000001</v>
      </c>
      <c r="K194" s="27">
        <v>1137801300.02</v>
      </c>
      <c r="L194" s="10">
        <f t="shared" si="58"/>
        <v>8.3819553410360848E-2</v>
      </c>
      <c r="M194" s="21">
        <v>900</v>
      </c>
      <c r="N194" s="21">
        <v>900</v>
      </c>
      <c r="O194" s="63">
        <v>46</v>
      </c>
      <c r="P194" s="28">
        <v>1.78E-2</v>
      </c>
      <c r="Q194" s="28">
        <v>0.2089</v>
      </c>
      <c r="R194" s="81">
        <f t="shared" si="59"/>
        <v>1.8409495995234577E-2</v>
      </c>
      <c r="S194" s="81">
        <f t="shared" si="60"/>
        <v>0</v>
      </c>
      <c r="T194" s="81">
        <f t="shared" si="61"/>
        <v>0</v>
      </c>
      <c r="U194" s="81">
        <f t="shared" si="62"/>
        <v>-4.2999999999999997E-2</v>
      </c>
      <c r="V194" s="83">
        <f t="shared" si="63"/>
        <v>2.0699999999999996E-2</v>
      </c>
    </row>
    <row r="195" spans="1:22">
      <c r="A195" s="75">
        <v>7</v>
      </c>
      <c r="B195" s="113" t="s">
        <v>213</v>
      </c>
      <c r="C195" s="114" t="s">
        <v>212</v>
      </c>
      <c r="D195" s="27">
        <v>827339738.58000004</v>
      </c>
      <c r="E195" s="10">
        <f t="shared" si="57"/>
        <v>6.4611684725227422E-2</v>
      </c>
      <c r="F195" s="21">
        <v>877</v>
      </c>
      <c r="G195" s="21">
        <v>877</v>
      </c>
      <c r="H195" s="63">
        <v>377</v>
      </c>
      <c r="I195" s="28">
        <v>3.9300000000000002E-2</v>
      </c>
      <c r="J195" s="28">
        <v>0.13300000000000001</v>
      </c>
      <c r="K195" s="27">
        <v>892522976.55999994</v>
      </c>
      <c r="L195" s="10">
        <f t="shared" si="58"/>
        <v>6.5750388316861794E-2</v>
      </c>
      <c r="M195" s="21">
        <v>950</v>
      </c>
      <c r="N195" s="21">
        <v>950</v>
      </c>
      <c r="O195" s="63">
        <v>377</v>
      </c>
      <c r="P195" s="28">
        <v>7.7600000000000002E-2</v>
      </c>
      <c r="Q195" s="28">
        <v>0.40189999999999998</v>
      </c>
      <c r="R195" s="81">
        <f t="shared" si="59"/>
        <v>7.8786543109698542E-2</v>
      </c>
      <c r="S195" s="81">
        <f t="shared" si="60"/>
        <v>8.3238312428734321E-2</v>
      </c>
      <c r="T195" s="81">
        <f t="shared" si="61"/>
        <v>0</v>
      </c>
      <c r="U195" s="81">
        <f t="shared" si="62"/>
        <v>3.8300000000000001E-2</v>
      </c>
      <c r="V195" s="83">
        <f t="shared" si="63"/>
        <v>0.26889999999999997</v>
      </c>
    </row>
    <row r="196" spans="1:22">
      <c r="A196" s="75">
        <v>8</v>
      </c>
      <c r="B196" s="113" t="s">
        <v>214</v>
      </c>
      <c r="C196" s="114" t="s">
        <v>215</v>
      </c>
      <c r="D196" s="27">
        <v>312550893.77999997</v>
      </c>
      <c r="E196" s="10">
        <f t="shared" si="57"/>
        <v>2.440888412318018E-2</v>
      </c>
      <c r="F196" s="21">
        <v>13.83</v>
      </c>
      <c r="G196" s="21">
        <v>13.93</v>
      </c>
      <c r="H196" s="63">
        <v>53</v>
      </c>
      <c r="I196" s="28">
        <v>7.3800000000000004E-2</v>
      </c>
      <c r="J196" s="28">
        <v>0.15110000000000001</v>
      </c>
      <c r="K196" s="27">
        <v>329433997.77999997</v>
      </c>
      <c r="L196" s="10">
        <f t="shared" si="58"/>
        <v>2.4268745844836029E-2</v>
      </c>
      <c r="M196" s="21">
        <v>14.56</v>
      </c>
      <c r="N196" s="21">
        <v>14.66</v>
      </c>
      <c r="O196" s="63">
        <v>53</v>
      </c>
      <c r="P196" s="28">
        <v>0.1221</v>
      </c>
      <c r="Q196" s="28">
        <v>0.29170000000000001</v>
      </c>
      <c r="R196" s="81">
        <f t="shared" si="59"/>
        <v>5.4017135564116386E-2</v>
      </c>
      <c r="S196" s="81">
        <f t="shared" si="60"/>
        <v>5.2404881550610224E-2</v>
      </c>
      <c r="T196" s="81">
        <f t="shared" si="61"/>
        <v>0</v>
      </c>
      <c r="U196" s="81">
        <f t="shared" si="62"/>
        <v>4.8299999999999996E-2</v>
      </c>
      <c r="V196" s="83">
        <f t="shared" si="63"/>
        <v>0.1406</v>
      </c>
    </row>
    <row r="197" spans="1:22">
      <c r="A197" s="75">
        <v>9</v>
      </c>
      <c r="B197" s="113" t="s">
        <v>216</v>
      </c>
      <c r="C197" s="114" t="s">
        <v>215</v>
      </c>
      <c r="D197" s="29">
        <v>834093689.38</v>
      </c>
      <c r="E197" s="10">
        <f t="shared" si="57"/>
        <v>6.513913931176557E-2</v>
      </c>
      <c r="F197" s="21">
        <v>10.34</v>
      </c>
      <c r="G197" s="21">
        <v>0.44</v>
      </c>
      <c r="H197" s="63">
        <v>88</v>
      </c>
      <c r="I197" s="28">
        <v>1.46E-2</v>
      </c>
      <c r="J197" s="28">
        <v>0.17780000000000001</v>
      </c>
      <c r="K197" s="29">
        <v>820487322.77999997</v>
      </c>
      <c r="L197" s="10">
        <f t="shared" si="58"/>
        <v>6.044366531579224E-2</v>
      </c>
      <c r="M197" s="21">
        <v>10.17</v>
      </c>
      <c r="N197" s="21">
        <v>10.27</v>
      </c>
      <c r="O197" s="63">
        <v>89</v>
      </c>
      <c r="P197" s="28">
        <v>-2.12E-2</v>
      </c>
      <c r="Q197" s="28">
        <v>0.15290000000000001</v>
      </c>
      <c r="R197" s="81">
        <f t="shared" si="59"/>
        <v>-1.631275571706331E-2</v>
      </c>
      <c r="S197" s="81">
        <f t="shared" si="60"/>
        <v>22.34090909090909</v>
      </c>
      <c r="T197" s="81">
        <f t="shared" si="61"/>
        <v>1.1363636363636364E-2</v>
      </c>
      <c r="U197" s="81">
        <f t="shared" si="62"/>
        <v>-3.5799999999999998E-2</v>
      </c>
      <c r="V197" s="83">
        <f t="shared" si="63"/>
        <v>-2.4900000000000005E-2</v>
      </c>
    </row>
    <row r="198" spans="1:22" ht="15" customHeight="1">
      <c r="A198" s="75">
        <v>10</v>
      </c>
      <c r="B198" s="113" t="s">
        <v>217</v>
      </c>
      <c r="C198" s="114" t="s">
        <v>215</v>
      </c>
      <c r="D198" s="27">
        <v>497215633.04000002</v>
      </c>
      <c r="E198" s="10">
        <f t="shared" si="57"/>
        <v>3.8830408143544548E-2</v>
      </c>
      <c r="F198" s="21">
        <v>140.24</v>
      </c>
      <c r="G198" s="21">
        <v>142.24</v>
      </c>
      <c r="H198" s="63">
        <v>154</v>
      </c>
      <c r="I198" s="28">
        <v>0.56410000000000005</v>
      </c>
      <c r="J198" s="28">
        <v>2.7092999999999998</v>
      </c>
      <c r="K198" s="27">
        <v>493997538.00999999</v>
      </c>
      <c r="L198" s="10">
        <f t="shared" si="58"/>
        <v>3.6391813773712617E-2</v>
      </c>
      <c r="M198" s="21">
        <v>139.33000000000001</v>
      </c>
      <c r="N198" s="21">
        <v>141.33000000000001</v>
      </c>
      <c r="O198" s="63">
        <v>176</v>
      </c>
      <c r="P198" s="28">
        <v>-0.12559999999999999</v>
      </c>
      <c r="Q198" s="28">
        <v>2.2433000000000001</v>
      </c>
      <c r="R198" s="81">
        <f t="shared" si="59"/>
        <v>-6.4722321989846635E-3</v>
      </c>
      <c r="S198" s="81">
        <f t="shared" si="60"/>
        <v>-6.3976377952755662E-3</v>
      </c>
      <c r="T198" s="81">
        <f t="shared" si="61"/>
        <v>0.14285714285714285</v>
      </c>
      <c r="U198" s="81">
        <f t="shared" si="62"/>
        <v>-0.68969999999999998</v>
      </c>
      <c r="V198" s="83">
        <f t="shared" si="63"/>
        <v>-0.46599999999999975</v>
      </c>
    </row>
    <row r="199" spans="1:22">
      <c r="A199" s="75">
        <v>11</v>
      </c>
      <c r="B199" s="113" t="s">
        <v>218</v>
      </c>
      <c r="C199" s="114" t="s">
        <v>215</v>
      </c>
      <c r="D199" s="27">
        <v>5121899395.3299999</v>
      </c>
      <c r="E199" s="10">
        <f t="shared" si="57"/>
        <v>0.39999837248648612</v>
      </c>
      <c r="F199" s="21">
        <v>35.770000000000003</v>
      </c>
      <c r="G199" s="21">
        <v>35.869999999999997</v>
      </c>
      <c r="H199" s="63">
        <v>212</v>
      </c>
      <c r="I199" s="28">
        <v>0.13619999999999999</v>
      </c>
      <c r="J199" s="28">
        <v>0.26669999999999999</v>
      </c>
      <c r="K199" s="27">
        <v>5548006357.6599998</v>
      </c>
      <c r="L199" s="10">
        <f t="shared" si="58"/>
        <v>0.4087105676612689</v>
      </c>
      <c r="M199" s="21">
        <v>38.76</v>
      </c>
      <c r="N199" s="21">
        <v>38.96</v>
      </c>
      <c r="O199" s="63">
        <v>214</v>
      </c>
      <c r="P199" s="28">
        <v>0.1111</v>
      </c>
      <c r="Q199" s="28">
        <v>0.40739999999999998</v>
      </c>
      <c r="R199" s="81">
        <f t="shared" si="59"/>
        <v>8.3193153445870485E-2</v>
      </c>
      <c r="S199" s="81">
        <f t="shared" si="60"/>
        <v>8.6144410370783492E-2</v>
      </c>
      <c r="T199" s="81">
        <f t="shared" si="61"/>
        <v>9.433962264150943E-3</v>
      </c>
      <c r="U199" s="81">
        <f t="shared" si="62"/>
        <v>-2.5099999999999983E-2</v>
      </c>
      <c r="V199" s="83">
        <f t="shared" si="63"/>
        <v>0.14069999999999999</v>
      </c>
    </row>
    <row r="200" spans="1:22">
      <c r="A200" s="75">
        <v>12</v>
      </c>
      <c r="B200" s="113" t="s">
        <v>219</v>
      </c>
      <c r="C200" s="114" t="s">
        <v>215</v>
      </c>
      <c r="D200" s="29">
        <v>449658793.63999999</v>
      </c>
      <c r="E200" s="10">
        <f t="shared" si="57"/>
        <v>3.511642298055101E-2</v>
      </c>
      <c r="F200" s="21">
        <v>43.14</v>
      </c>
      <c r="G200" s="21">
        <v>43.34</v>
      </c>
      <c r="H200" s="63">
        <v>46</v>
      </c>
      <c r="I200" s="28">
        <v>0.32150000000000001</v>
      </c>
      <c r="J200" s="28">
        <v>0.46110000000000001</v>
      </c>
      <c r="K200" s="29">
        <v>553966592.86000001</v>
      </c>
      <c r="L200" s="10">
        <f t="shared" si="58"/>
        <v>4.0809614488020188E-2</v>
      </c>
      <c r="M200" s="21">
        <v>53.18</v>
      </c>
      <c r="N200" s="21">
        <v>53.38</v>
      </c>
      <c r="O200" s="63">
        <v>46</v>
      </c>
      <c r="P200" s="28">
        <v>0.32390000000000002</v>
      </c>
      <c r="Q200" s="28">
        <v>0.93430000000000002</v>
      </c>
      <c r="R200" s="81">
        <f t="shared" si="59"/>
        <v>0.23197099822206432</v>
      </c>
      <c r="S200" s="81">
        <f t="shared" si="60"/>
        <v>0.23165666820489153</v>
      </c>
      <c r="T200" s="81">
        <f t="shared" si="61"/>
        <v>0</v>
      </c>
      <c r="U200" s="81">
        <f t="shared" si="62"/>
        <v>2.4000000000000132E-3</v>
      </c>
      <c r="V200" s="83">
        <f t="shared" si="63"/>
        <v>0.47320000000000001</v>
      </c>
    </row>
    <row r="201" spans="1:22">
      <c r="A201" s="43"/>
      <c r="B201" s="43"/>
      <c r="C201" s="74" t="s">
        <v>220</v>
      </c>
      <c r="D201" s="73">
        <f>SUM(D189:D200)</f>
        <v>12804800588.289999</v>
      </c>
      <c r="E201" s="24"/>
      <c r="F201" s="24"/>
      <c r="G201" s="22"/>
      <c r="H201" s="73">
        <f>SUM(H189:H200)</f>
        <v>1580</v>
      </c>
      <c r="I201" s="23"/>
      <c r="J201" s="23"/>
      <c r="K201" s="73">
        <f>SUM(K189:K200)</f>
        <v>13574413770.13299</v>
      </c>
      <c r="L201" s="24"/>
      <c r="M201" s="24"/>
      <c r="N201" s="22"/>
      <c r="O201" s="73">
        <f>SUM(O189:O200)</f>
        <v>1605</v>
      </c>
      <c r="P201" s="23"/>
      <c r="Q201" s="23"/>
      <c r="R201" s="81">
        <f t="shared" si="59"/>
        <v>6.010348826102007E-2</v>
      </c>
      <c r="S201" s="81" t="e">
        <f t="shared" si="60"/>
        <v>#DIV/0!</v>
      </c>
      <c r="T201" s="81">
        <f t="shared" si="61"/>
        <v>1.5822784810126583E-2</v>
      </c>
      <c r="U201" s="81">
        <f t="shared" si="62"/>
        <v>0</v>
      </c>
      <c r="V201" s="83">
        <f t="shared" si="63"/>
        <v>0</v>
      </c>
    </row>
    <row r="202" spans="1:22">
      <c r="A202" s="88"/>
      <c r="B202" s="88"/>
      <c r="C202" s="89" t="s">
        <v>221</v>
      </c>
      <c r="D202" s="90">
        <f>SUM(D181,D186,D201)</f>
        <v>2322941117155.4126</v>
      </c>
      <c r="E202" s="91"/>
      <c r="F202" s="91"/>
      <c r="G202" s="92"/>
      <c r="H202" s="90">
        <f>SUM(H181,H186,H201)</f>
        <v>776509</v>
      </c>
      <c r="I202" s="93"/>
      <c r="J202" s="93"/>
      <c r="K202" s="90">
        <f>SUM(K181,K186,K201)</f>
        <v>2386393536439.7798</v>
      </c>
      <c r="L202" s="91"/>
      <c r="M202" s="91"/>
      <c r="N202" s="92"/>
      <c r="O202" s="90">
        <f>SUM(O181,O186,O201)</f>
        <v>778707</v>
      </c>
      <c r="P202" s="94"/>
      <c r="Q202" s="90"/>
      <c r="R202" s="95"/>
      <c r="S202" s="96"/>
      <c r="T202" s="96"/>
      <c r="U202" s="97"/>
      <c r="V202" s="97"/>
    </row>
    <row r="203" spans="1:22">
      <c r="A203" s="110" t="s">
        <v>250</v>
      </c>
      <c r="B203" s="111" t="s">
        <v>261</v>
      </c>
      <c r="C203" s="112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</row>
    <row r="205" spans="1:22">
      <c r="B205" s="116"/>
      <c r="C205" s="116"/>
    </row>
    <row r="206" spans="1:22">
      <c r="B206" s="116"/>
      <c r="D206" s="115"/>
    </row>
  </sheetData>
  <sheetProtection algorithmName="SHA-512" hashValue="Y9V2gCNBe3sKaYhxW8DzA6Uw/MHu0nZ00q7ElHd8Aw0tKoJHR8NaRyePCWbBcJ8C16+6gb7c2AZAaP3F6g3I7Q==" saltValue="A/0MaaX7F7W87Nxx4xjW9g==" spinCount="100000" sheet="1" objects="1" scenarios="1"/>
  <protectedRanges>
    <protectedRange password="CADF" sqref="K10 D10" name="Fund Name_1_1_1_3_1_1_2"/>
    <protectedRange password="CADF" sqref="K81 D81" name="Yield_2_1_2_1_1_2"/>
    <protectedRange password="CADF" sqref="O81:Q81 H81:J81" name="Yield_1_1_2_1_2_1_2"/>
    <protectedRange password="CADF" sqref="M81:N81 F81:G81" name="Fund Name_2_2_1_1_2"/>
    <protectedRange password="CADF" sqref="N79 G79" name="BidOffer Prices_2_1_1_1_1_1_1_1_1_1_2"/>
    <protectedRange password="CADF" sqref="K99:K100 D99:D100" name="Yield_2_1_2_6_3_2"/>
    <protectedRange password="CADF" sqref="K144 K153:K154 D144 D153:D154" name="Fund Name_1_1_1_2_2"/>
  </protectedRanges>
  <mergeCells count="31">
    <mergeCell ref="A187:V187"/>
    <mergeCell ref="A188:V188"/>
    <mergeCell ref="A164:V164"/>
    <mergeCell ref="A167:V167"/>
    <mergeCell ref="A168:V168"/>
    <mergeCell ref="A182:U182"/>
    <mergeCell ref="A183:V183"/>
    <mergeCell ref="A163:V163"/>
    <mergeCell ref="A92:V92"/>
    <mergeCell ref="A93:V93"/>
    <mergeCell ref="A106:V106"/>
    <mergeCell ref="A107:V107"/>
    <mergeCell ref="A119:V119"/>
    <mergeCell ref="A120:V120"/>
    <mergeCell ref="A127:V127"/>
    <mergeCell ref="A128:V128"/>
    <mergeCell ref="A156:V156"/>
    <mergeCell ref="A157:V157"/>
    <mergeCell ref="A162:V162"/>
    <mergeCell ref="A91:V91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78 E78 E62" formula="1"/>
    <ignoredError sqref="S126 S22 T33 S55 S90 S118 T136 S155 S161 S180 S201 T184:T18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K10" sqref="K10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1"/>
      <c r="B1" s="101"/>
      <c r="C1" s="101"/>
    </row>
    <row r="2" spans="1:3">
      <c r="A2" s="99"/>
      <c r="B2" s="99"/>
      <c r="C2" s="99"/>
    </row>
    <row r="3" spans="1:3">
      <c r="A3" s="99"/>
      <c r="B3" s="99"/>
      <c r="C3" s="99"/>
    </row>
    <row r="4" spans="1:3" ht="33" customHeight="1">
      <c r="A4" s="117" t="s">
        <v>222</v>
      </c>
      <c r="B4" s="118" t="s">
        <v>259</v>
      </c>
      <c r="C4" s="118" t="s">
        <v>262</v>
      </c>
    </row>
    <row r="5" spans="1:3" ht="19.5" customHeight="1">
      <c r="A5" s="119" t="s">
        <v>15</v>
      </c>
      <c r="B5" s="120">
        <f>30206984491.4949/1000000000</f>
        <v>30.2069844914949</v>
      </c>
      <c r="C5" s="120">
        <f>31149538694.6293/1000000000</f>
        <v>31.1495386946293</v>
      </c>
    </row>
    <row r="6" spans="1:3" ht="16.5">
      <c r="A6" s="121" t="s">
        <v>47</v>
      </c>
      <c r="B6" s="122">
        <f>930010368618.945/1000000000</f>
        <v>930.01036861894499</v>
      </c>
      <c r="C6" s="122">
        <f>949716593900.38/1000000000</f>
        <v>949.71659390037996</v>
      </c>
    </row>
    <row r="7" spans="1:3" ht="16.5">
      <c r="A7" s="121" t="s">
        <v>223</v>
      </c>
      <c r="B7" s="120">
        <f>288027196204.475/1000000000</f>
        <v>288.02719620447499</v>
      </c>
      <c r="C7" s="120">
        <f>287140620370.692/1000000000</f>
        <v>287.14062037069203</v>
      </c>
    </row>
    <row r="8" spans="1:3" ht="16.5">
      <c r="A8" s="121" t="s">
        <v>128</v>
      </c>
      <c r="B8" s="122">
        <f>765722989499.459/1000000000</f>
        <v>765.722989499459</v>
      </c>
      <c r="C8" s="122">
        <f>804116651844.989/1000000000</f>
        <v>804.11665184498906</v>
      </c>
    </row>
    <row r="9" spans="1:3" ht="16.5">
      <c r="A9" s="121" t="s">
        <v>224</v>
      </c>
      <c r="B9" s="120">
        <f>99595668997.2228/1000000000</f>
        <v>99.595668997222788</v>
      </c>
      <c r="C9" s="120">
        <f>100204717801.015/1000000000</f>
        <v>100.20471780101499</v>
      </c>
    </row>
    <row r="10" spans="1:3" ht="16.5">
      <c r="A10" s="121" t="s">
        <v>154</v>
      </c>
      <c r="B10" s="123">
        <f>49666823038.9761/1000000000</f>
        <v>49.666823038976098</v>
      </c>
      <c r="C10" s="123">
        <f>50649516378.6702/1000000000</f>
        <v>50.649516378670199</v>
      </c>
    </row>
    <row r="11" spans="1:3" ht="16.5">
      <c r="A11" s="121" t="s">
        <v>178</v>
      </c>
      <c r="B11" s="120">
        <f>5180809308.12/1000000000</f>
        <v>5.1808093081199997</v>
      </c>
      <c r="C11" s="120">
        <f>5351667060.35/1000000000</f>
        <v>5.3516670603500005</v>
      </c>
    </row>
    <row r="12" spans="1:3" ht="16.5">
      <c r="A12" s="121" t="s">
        <v>225</v>
      </c>
      <c r="B12" s="120">
        <f>47060563752.9392/1000000000</f>
        <v>47.060563752939203</v>
      </c>
      <c r="C12" s="120">
        <f>49842890629.9506/1000000000</f>
        <v>49.842890629950602</v>
      </c>
    </row>
    <row r="13" spans="1:3">
      <c r="A13" s="99"/>
      <c r="B13" s="99"/>
      <c r="C13" s="99"/>
    </row>
    <row r="14" spans="1:3">
      <c r="A14" s="99"/>
      <c r="B14" s="99"/>
      <c r="C14" s="99"/>
    </row>
    <row r="15" spans="1:3">
      <c r="A15" s="99"/>
      <c r="B15" s="99"/>
      <c r="C15" s="99"/>
    </row>
    <row r="16" spans="1:3" ht="16.5">
      <c r="A16" s="99"/>
      <c r="B16" s="120">
        <v>31149538694.629299</v>
      </c>
      <c r="C16" s="124"/>
    </row>
    <row r="17" spans="1:3" ht="16.5">
      <c r="A17" s="99"/>
      <c r="B17" s="122">
        <v>949716593900.38</v>
      </c>
      <c r="C17" s="120"/>
    </row>
    <row r="18" spans="1:3" ht="16.5">
      <c r="A18" s="125"/>
      <c r="B18" s="120">
        <v>287140620370.69202</v>
      </c>
      <c r="C18" s="122"/>
    </row>
    <row r="19" spans="1:3" ht="16.5">
      <c r="A19" s="126"/>
      <c r="B19" s="122">
        <v>804116651844.98901</v>
      </c>
      <c r="C19" s="120"/>
    </row>
    <row r="20" spans="1:3" ht="16.5">
      <c r="A20" s="126"/>
      <c r="B20" s="120">
        <v>100204717801.015</v>
      </c>
      <c r="C20" s="122"/>
    </row>
    <row r="21" spans="1:3" ht="16.5">
      <c r="A21" s="126"/>
      <c r="B21" s="123">
        <v>50649516378.670197</v>
      </c>
      <c r="C21" s="127"/>
    </row>
    <row r="22" spans="1:3" ht="16.5">
      <c r="A22" s="126"/>
      <c r="B22" s="127">
        <v>5351667060.3500004</v>
      </c>
      <c r="C22" s="128"/>
    </row>
    <row r="23" spans="1:3" ht="16.5">
      <c r="A23" s="126"/>
      <c r="B23" s="129">
        <v>49842890629.9506</v>
      </c>
      <c r="C23" s="129"/>
    </row>
    <row r="24" spans="1:3" ht="16.5">
      <c r="A24" s="126"/>
      <c r="B24" s="129"/>
      <c r="C24" s="129"/>
    </row>
    <row r="25" spans="1:3" ht="16.5">
      <c r="A25" s="132"/>
      <c r="B25" s="106"/>
      <c r="C25" s="106"/>
    </row>
    <row r="26" spans="1:3" ht="16.5">
      <c r="A26" s="132"/>
      <c r="B26" s="106"/>
      <c r="C26" s="106"/>
    </row>
    <row r="27" spans="1:3">
      <c r="B27" s="101"/>
      <c r="C27" s="101"/>
    </row>
    <row r="28" spans="1:3">
      <c r="B28" s="101"/>
      <c r="C28" s="101"/>
    </row>
  </sheetData>
  <sheetProtection algorithmName="SHA-512" hashValue="aeWkg4PLiFfyQ7P5WkxTQwLUcPBEVJomOk2ll03Qe0A/5Q2DfPn9sgZXTZUTSW/vTp9KCCIqPdnrTwkeMQ16Kg==" saltValue="Hw+DUFxU5oIaelFpdeGU/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M3" sqref="M3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7" t="s">
        <v>222</v>
      </c>
      <c r="B1" s="124">
        <v>45317</v>
      </c>
    </row>
    <row r="2" spans="1:2" ht="16.5">
      <c r="A2" s="121" t="s">
        <v>178</v>
      </c>
      <c r="B2" s="120">
        <v>5351667060.3500004</v>
      </c>
    </row>
    <row r="3" spans="1:2" ht="16.5">
      <c r="A3" s="121" t="s">
        <v>15</v>
      </c>
      <c r="B3" s="120">
        <v>31149538694.629303</v>
      </c>
    </row>
    <row r="4" spans="1:2" ht="16.5">
      <c r="A4" s="121" t="s">
        <v>154</v>
      </c>
      <c r="B4" s="120">
        <v>49842890629.950577</v>
      </c>
    </row>
    <row r="5" spans="1:2" ht="16.5">
      <c r="A5" s="121" t="s">
        <v>225</v>
      </c>
      <c r="B5" s="123">
        <v>50649516378.670189</v>
      </c>
    </row>
    <row r="6" spans="1:2" ht="16.5">
      <c r="A6" s="121" t="s">
        <v>224</v>
      </c>
      <c r="B6" s="120">
        <v>100204717801.01483</v>
      </c>
    </row>
    <row r="7" spans="1:2" ht="16.5">
      <c r="A7" s="121" t="s">
        <v>223</v>
      </c>
      <c r="B7" s="120">
        <v>287140620370.69159</v>
      </c>
    </row>
    <row r="8" spans="1:2" ht="16.5">
      <c r="A8" s="121" t="s">
        <v>128</v>
      </c>
      <c r="B8" s="122">
        <v>804116651844.98926</v>
      </c>
    </row>
    <row r="9" spans="1:2" ht="16.5">
      <c r="A9" s="121" t="s">
        <v>47</v>
      </c>
      <c r="B9" s="122">
        <v>949716593900.38049</v>
      </c>
    </row>
    <row r="10" spans="1:2">
      <c r="A10" s="99"/>
      <c r="B10" s="99"/>
    </row>
    <row r="11" spans="1:2">
      <c r="A11" s="99"/>
      <c r="B11" s="99"/>
    </row>
    <row r="12" spans="1:2" ht="16.5">
      <c r="A12" s="121"/>
      <c r="B12" s="99"/>
    </row>
    <row r="13" spans="1:2" ht="16.5">
      <c r="A13" s="120">
        <v>5351667060.3500004</v>
      </c>
      <c r="B13" s="120"/>
    </row>
    <row r="14" spans="1:2" ht="16.5">
      <c r="A14" s="120">
        <v>31149538694.629303</v>
      </c>
      <c r="B14" s="120"/>
    </row>
    <row r="15" spans="1:2" ht="16.5">
      <c r="A15" s="120">
        <v>49842890629.950577</v>
      </c>
      <c r="B15" s="123"/>
    </row>
    <row r="16" spans="1:2" ht="16.5">
      <c r="A16" s="123">
        <v>50649516378.670189</v>
      </c>
      <c r="B16" s="120"/>
    </row>
    <row r="17" spans="1:17" ht="16.5">
      <c r="A17" s="120">
        <v>100204717801.01483</v>
      </c>
      <c r="B17" s="120"/>
    </row>
    <row r="18" spans="1:17" ht="16.5">
      <c r="A18" s="120">
        <v>287140620370.69159</v>
      </c>
      <c r="B18" s="120"/>
    </row>
    <row r="19" spans="1:17" ht="16.5">
      <c r="A19" s="122">
        <v>804116651844.98926</v>
      </c>
      <c r="B19" s="122"/>
    </row>
    <row r="20" spans="1:17" ht="16.5">
      <c r="A20" s="122">
        <v>949716593900.38049</v>
      </c>
      <c r="B20" s="122"/>
    </row>
    <row r="21" spans="1:17" ht="16.5">
      <c r="A21" s="126"/>
      <c r="B21" s="122"/>
    </row>
    <row r="22" spans="1:17" ht="16.5">
      <c r="A22" s="99"/>
      <c r="B22" s="137"/>
    </row>
    <row r="23" spans="1:17">
      <c r="A23" s="101"/>
      <c r="B23" s="101"/>
    </row>
    <row r="24" spans="1:17">
      <c r="A24" s="101"/>
      <c r="B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54" t="s">
        <v>263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08"/>
    </row>
    <row r="33" spans="1:17" ht="15" customHeight="1">
      <c r="A33" s="154"/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08"/>
    </row>
  </sheetData>
  <sheetProtection algorithmName="SHA-512" hashValue="k+dYNP8/RPvGBrvgKdVG1kaj75fEfR0VslGBrUp5mZW1ZA4VJAbK8y3992/wyFKv7e64h8qI4nbJIWyXwmPAlg==" saltValue="D6k3xVymRHR/7QZNqVL8/w==" spinCount="100000" sheet="1" objects="1" scenarios="1"/>
  <sortState xmlns:xlrd2="http://schemas.microsoft.com/office/spreadsheetml/2017/richdata2" ref="A13:A20">
    <sortCondition ref="A13:A2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"/>
  <sheetViews>
    <sheetView zoomScale="110" zoomScaleNormal="110" workbookViewId="0">
      <selection activeCell="G4" sqref="G4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0">
      <c r="A1" s="101"/>
      <c r="B1" s="101"/>
      <c r="C1" s="101"/>
      <c r="D1" s="101"/>
      <c r="E1" s="101"/>
      <c r="F1" s="101"/>
      <c r="G1" s="101"/>
      <c r="H1" s="101"/>
      <c r="I1" s="101"/>
      <c r="J1" s="101"/>
    </row>
    <row r="2" spans="1:10">
      <c r="A2" s="138" t="s">
        <v>233</v>
      </c>
      <c r="B2" s="139">
        <v>45268</v>
      </c>
      <c r="C2" s="139">
        <v>45275</v>
      </c>
      <c r="D2" s="139">
        <v>45282</v>
      </c>
      <c r="E2" s="139">
        <v>45289</v>
      </c>
      <c r="F2" s="139">
        <v>45296</v>
      </c>
      <c r="G2" s="139">
        <v>45303</v>
      </c>
      <c r="H2" s="139">
        <v>45310</v>
      </c>
      <c r="I2" s="139">
        <v>45317</v>
      </c>
      <c r="J2" s="101"/>
    </row>
    <row r="3" spans="1:10">
      <c r="A3" s="138" t="s">
        <v>234</v>
      </c>
      <c r="B3" s="140">
        <f>2247779681993.52/1000000000</f>
        <v>2247.7796819935202</v>
      </c>
      <c r="C3" s="140">
        <f>2080204371491.04/1000000000</f>
        <v>2080.2043714910401</v>
      </c>
      <c r="D3" s="140">
        <f>2101781808992.51/1000000000</f>
        <v>2101.7818089925099</v>
      </c>
      <c r="E3" s="140">
        <f>2134044598687.96/1000000000</f>
        <v>2134.0445986879599</v>
      </c>
      <c r="F3" s="140">
        <f>2137525044219.98/1000000000</f>
        <v>2137.5250442199799</v>
      </c>
      <c r="G3" s="140">
        <f>2218204777155.8/1000000000</f>
        <v>2218.2047771558</v>
      </c>
      <c r="H3" s="140">
        <f>2215471403911.63/1000000000</f>
        <v>2215.4714039116297</v>
      </c>
      <c r="I3" s="140">
        <f>2278172196680.68/1000000000</f>
        <v>2278.1721966806804</v>
      </c>
      <c r="J3" s="101"/>
    </row>
  </sheetData>
  <sheetProtection algorithmName="SHA-512" hashValue="7oH8PFcvU8IzGY7KV7CanaMNx9asHGno6BPjOj1qxNj59lLSvH4pnUfFKSvnghsGN3h/Q1OvD1aVRy2Gf6Z/9Q==" saltValue="BVdDd3+AOdbRisG98QEAy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topLeftCell="C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0" ht="16.5">
      <c r="A1" s="44" t="s">
        <v>222</v>
      </c>
      <c r="B1" s="45">
        <v>45261</v>
      </c>
      <c r="C1" s="45">
        <v>45268</v>
      </c>
      <c r="D1" s="45">
        <v>45275</v>
      </c>
      <c r="E1" s="45">
        <v>45648</v>
      </c>
      <c r="F1" s="45">
        <v>45655</v>
      </c>
      <c r="G1" s="45">
        <v>45296</v>
      </c>
      <c r="H1" s="45">
        <v>45303</v>
      </c>
      <c r="I1" s="45">
        <v>45310</v>
      </c>
      <c r="J1" s="45">
        <v>45317</v>
      </c>
    </row>
    <row r="2" spans="1:10" ht="16.5">
      <c r="A2" s="46" t="s">
        <v>15</v>
      </c>
      <c r="B2" s="47">
        <v>23002842288.0406</v>
      </c>
      <c r="C2" s="47">
        <v>23062133182.5075</v>
      </c>
      <c r="D2" s="47">
        <v>23529063102.022598</v>
      </c>
      <c r="E2" s="47">
        <v>24230078910.4828</v>
      </c>
      <c r="F2" s="47">
        <v>24405214546.111698</v>
      </c>
      <c r="G2" s="47">
        <v>26318158433.3255</v>
      </c>
      <c r="H2" s="47">
        <v>27950770849.196804</v>
      </c>
      <c r="I2" s="47">
        <v>30206984491.494904</v>
      </c>
      <c r="J2" s="47">
        <v>31149538694.629303</v>
      </c>
    </row>
    <row r="3" spans="1:10" ht="16.5">
      <c r="A3" s="46" t="s">
        <v>47</v>
      </c>
      <c r="B3" s="48">
        <v>869196903201.49829</v>
      </c>
      <c r="C3" s="48">
        <v>866516570168.81689</v>
      </c>
      <c r="D3" s="48">
        <v>854204297161.97668</v>
      </c>
      <c r="E3" s="48">
        <v>864670150184.58435</v>
      </c>
      <c r="F3" s="48">
        <v>881602898033.37561</v>
      </c>
      <c r="G3" s="48">
        <v>903708318785.28052</v>
      </c>
      <c r="H3" s="48">
        <v>912572121651.28699</v>
      </c>
      <c r="I3" s="48">
        <v>930010368618.9447</v>
      </c>
      <c r="J3" s="48">
        <v>949716593900.38049</v>
      </c>
    </row>
    <row r="4" spans="1:10" ht="16.5">
      <c r="A4" s="46" t="s">
        <v>223</v>
      </c>
      <c r="B4" s="47">
        <v>291948133511.51477</v>
      </c>
      <c r="C4" s="47">
        <v>288458901847.26001</v>
      </c>
      <c r="D4" s="47">
        <v>285507286565.07678</v>
      </c>
      <c r="E4" s="47">
        <v>287057877236.40979</v>
      </c>
      <c r="F4" s="47">
        <v>287675389277.73108</v>
      </c>
      <c r="G4" s="47">
        <v>287055376560.05243</v>
      </c>
      <c r="H4" s="47">
        <v>288835807549.41266</v>
      </c>
      <c r="I4" s="47">
        <v>288027196204.47491</v>
      </c>
      <c r="J4" s="47">
        <v>287140620370.69159</v>
      </c>
    </row>
    <row r="5" spans="1:10" ht="16.5">
      <c r="A5" s="46" t="s">
        <v>128</v>
      </c>
      <c r="B5" s="48">
        <v>749487239675.21936</v>
      </c>
      <c r="C5" s="48">
        <v>882093775634.84949</v>
      </c>
      <c r="D5" s="48">
        <v>728772585155.99414</v>
      </c>
      <c r="E5" s="48">
        <v>736654691955.29309</v>
      </c>
      <c r="F5" s="48">
        <v>750658281364.3822</v>
      </c>
      <c r="G5" s="48">
        <v>726920775377.21094</v>
      </c>
      <c r="H5" s="48">
        <v>790548059586.41138</v>
      </c>
      <c r="I5" s="48">
        <v>765722989499.45947</v>
      </c>
      <c r="J5" s="48">
        <v>804116651844.98926</v>
      </c>
    </row>
    <row r="6" spans="1:10" ht="16.5">
      <c r="A6" s="46" t="s">
        <v>224</v>
      </c>
      <c r="B6" s="47">
        <v>96469811252.586914</v>
      </c>
      <c r="C6" s="47">
        <v>96484505230.946899</v>
      </c>
      <c r="D6" s="47">
        <v>96640447824.753601</v>
      </c>
      <c r="E6" s="47">
        <v>96678842690.618378</v>
      </c>
      <c r="F6" s="47">
        <v>96685745868.738373</v>
      </c>
      <c r="G6" s="47">
        <v>96815736652.814392</v>
      </c>
      <c r="H6" s="47">
        <v>99637490377.51947</v>
      </c>
      <c r="I6" s="47">
        <v>99595668997.222809</v>
      </c>
      <c r="J6" s="47">
        <v>100204717801.01483</v>
      </c>
    </row>
    <row r="7" spans="1:10" ht="16.5">
      <c r="A7" s="46" t="s">
        <v>154</v>
      </c>
      <c r="B7" s="49">
        <v>40757011293.125015</v>
      </c>
      <c r="C7" s="49">
        <v>41347090375.940308</v>
      </c>
      <c r="D7" s="49">
        <v>41464152077.994957</v>
      </c>
      <c r="E7" s="49">
        <v>42133843027.756485</v>
      </c>
      <c r="F7" s="49">
        <v>42555783009.607452</v>
      </c>
      <c r="G7" s="49">
        <v>44249451355.676628</v>
      </c>
      <c r="H7" s="49">
        <v>47102830010.420479</v>
      </c>
      <c r="I7" s="49">
        <v>49666823038.976089</v>
      </c>
      <c r="J7" s="49">
        <v>50649516378.670189</v>
      </c>
    </row>
    <row r="8" spans="1:10" ht="16.5">
      <c r="A8" s="46" t="s">
        <v>178</v>
      </c>
      <c r="B8" s="47">
        <v>4265839491.7800002</v>
      </c>
      <c r="C8" s="47">
        <v>4291989601.98</v>
      </c>
      <c r="D8" s="47">
        <v>4336895308.5699997</v>
      </c>
      <c r="E8" s="47">
        <v>4362447114.04</v>
      </c>
      <c r="F8" s="47">
        <v>4392041950.5100002</v>
      </c>
      <c r="G8" s="47">
        <v>4619717314.71</v>
      </c>
      <c r="H8" s="47">
        <v>4848445844.8000002</v>
      </c>
      <c r="I8" s="47">
        <v>5180809308.1199999</v>
      </c>
      <c r="J8" s="47">
        <v>5351667060.3500004</v>
      </c>
    </row>
    <row r="9" spans="1:10" ht="16.5">
      <c r="A9" s="46" t="s">
        <v>225</v>
      </c>
      <c r="B9" s="47">
        <v>45253870390.850006</v>
      </c>
      <c r="C9" s="47">
        <v>45524715951.214706</v>
      </c>
      <c r="D9" s="47">
        <v>45749644294.654205</v>
      </c>
      <c r="E9" s="47">
        <v>45993877873.32811</v>
      </c>
      <c r="F9" s="47">
        <v>46069244637.507507</v>
      </c>
      <c r="G9" s="47">
        <v>47837509740.908691</v>
      </c>
      <c r="H9" s="47">
        <v>46709251286.749229</v>
      </c>
      <c r="I9" s="47">
        <v>47060563752.939224</v>
      </c>
      <c r="J9" s="47">
        <v>49842890629.950577</v>
      </c>
    </row>
    <row r="10" spans="1:10" ht="15.75">
      <c r="A10" s="50" t="s">
        <v>226</v>
      </c>
      <c r="B10" s="51">
        <f t="shared" ref="B10:J10" si="0">SUM(B2:B9)</f>
        <v>2120381651104.615</v>
      </c>
      <c r="C10" s="51">
        <f t="shared" si="0"/>
        <v>2247779681993.5161</v>
      </c>
      <c r="D10" s="51">
        <f t="shared" si="0"/>
        <v>2080204371491.0432</v>
      </c>
      <c r="E10" s="51">
        <f t="shared" si="0"/>
        <v>2101781808992.5132</v>
      </c>
      <c r="F10" s="51">
        <f t="shared" si="0"/>
        <v>2134044598687.9639</v>
      </c>
      <c r="G10" s="51">
        <f t="shared" si="0"/>
        <v>2137525044219.979</v>
      </c>
      <c r="H10" s="51">
        <f t="shared" si="0"/>
        <v>2218204777155.7969</v>
      </c>
      <c r="I10" s="51">
        <f t="shared" si="0"/>
        <v>2215471403911.6323</v>
      </c>
      <c r="J10" s="51">
        <f t="shared" si="0"/>
        <v>2278172196680.6768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227</v>
      </c>
      <c r="B12" s="55" t="s">
        <v>228</v>
      </c>
      <c r="C12" s="56">
        <f>(B10+C10)/2</f>
        <v>2184080666549.0654</v>
      </c>
      <c r="D12" s="57">
        <f t="shared" ref="D12:J12" si="1">(C10+D10)/2</f>
        <v>2163992026742.2798</v>
      </c>
      <c r="E12" s="57">
        <f t="shared" si="1"/>
        <v>2090993090241.7783</v>
      </c>
      <c r="F12" s="57">
        <f t="shared" si="1"/>
        <v>2117913203840.2385</v>
      </c>
      <c r="G12" s="57">
        <f>(F10+G10)/2</f>
        <v>2135784821453.9714</v>
      </c>
      <c r="H12" s="57">
        <f t="shared" si="1"/>
        <v>2177864910687.8879</v>
      </c>
      <c r="I12" s="57">
        <f t="shared" si="1"/>
        <v>2216838090533.7148</v>
      </c>
      <c r="J12" s="57">
        <f t="shared" si="1"/>
        <v>2246821800296.1543</v>
      </c>
    </row>
    <row r="15" spans="1:10">
      <c r="C15" s="140">
        <f>2247779681993.52/1000000000</f>
        <v>2247.7796819935202</v>
      </c>
      <c r="D15" s="140">
        <f>2080204371491.04/1000000000</f>
        <v>2080.2043714910401</v>
      </c>
      <c r="E15" s="140">
        <f>2101781808992.51/1000000000</f>
        <v>2101.7818089925099</v>
      </c>
      <c r="F15" s="140">
        <f>2134044598687.96/1000000000</f>
        <v>2134.0445986879599</v>
      </c>
      <c r="G15" s="140">
        <f>2137525044219.98/1000000000</f>
        <v>2137.5250442199799</v>
      </c>
      <c r="H15" s="140">
        <f>2218204777155.8/1000000000</f>
        <v>2218.2047771558</v>
      </c>
      <c r="I15" s="140">
        <f>2215471403911.63/1000000000</f>
        <v>2215.4714039116297</v>
      </c>
      <c r="J15" s="140">
        <f>2278172196680.68/1000000000</f>
        <v>2278.1721966806804</v>
      </c>
    </row>
    <row r="16" spans="1:10">
      <c r="C16" s="107"/>
      <c r="D16" s="107"/>
      <c r="E16" s="107"/>
      <c r="F16" s="107"/>
      <c r="G16" s="107"/>
      <c r="H16" s="107"/>
      <c r="I16" s="107"/>
      <c r="J16" s="107"/>
    </row>
    <row r="18" spans="3:10">
      <c r="C18" s="70"/>
      <c r="D18" s="70"/>
      <c r="E18" s="70"/>
      <c r="F18" s="70"/>
      <c r="G18" s="70"/>
      <c r="H18" s="70"/>
      <c r="I18" s="70"/>
      <c r="J18" s="70"/>
    </row>
  </sheetData>
  <sheetProtection algorithmName="SHA-512" hashValue="P10hzmMoBEKVuPnaUWYHB3cPJENkUofQ/lmq0njrZ7oAB1UJiUDZswIdFPmFIKRXpUiV0EsMjdI1YfyBfnq0sw==" saltValue="9FhUA7EYRArUfEqgx5L0X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2024-03-08T09:31:20Z</dcterms:modified>
</cp:coreProperties>
</file>