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xr:revisionPtr revIDLastSave="0" documentId="13_ncr:1_{8EE65F3B-5C43-43EC-A05C-B7DEF6D3DF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1" i="1" l="1"/>
  <c r="M111" i="1"/>
  <c r="K111" i="1"/>
  <c r="N113" i="1"/>
  <c r="M113" i="1"/>
  <c r="K113" i="1"/>
  <c r="N114" i="1"/>
  <c r="M114" i="1"/>
  <c r="K114" i="1"/>
  <c r="N124" i="1"/>
  <c r="M124" i="1"/>
  <c r="N103" i="1"/>
  <c r="M103" i="1"/>
  <c r="K103" i="1"/>
  <c r="N129" i="1"/>
  <c r="M129" i="1"/>
  <c r="K129" i="1"/>
  <c r="U162" i="1"/>
  <c r="V162" i="1"/>
  <c r="R162" i="1"/>
  <c r="S162" i="1"/>
  <c r="T162" i="1"/>
  <c r="R52" i="1"/>
  <c r="V52" i="1"/>
  <c r="U52" i="1"/>
  <c r="T52" i="1"/>
  <c r="S52" i="1"/>
  <c r="N105" i="1"/>
  <c r="M105" i="1"/>
  <c r="K105" i="1"/>
  <c r="N112" i="1" l="1"/>
  <c r="M112" i="1"/>
  <c r="K112" i="1"/>
  <c r="N119" i="1"/>
  <c r="M119" i="1"/>
  <c r="K119" i="1"/>
  <c r="N123" i="1" l="1"/>
  <c r="M123" i="1"/>
  <c r="K123" i="1"/>
  <c r="N106" i="1"/>
  <c r="M106" i="1"/>
  <c r="K106" i="1"/>
  <c r="N102" i="1"/>
  <c r="M102" i="1"/>
  <c r="K102" i="1"/>
  <c r="N125" i="1"/>
  <c r="M125" i="1"/>
  <c r="N107" i="1" l="1"/>
  <c r="M107" i="1"/>
  <c r="K107" i="1"/>
  <c r="N104" i="1"/>
  <c r="M104" i="1"/>
  <c r="K104" i="1"/>
  <c r="N122" i="1"/>
  <c r="M122" i="1"/>
  <c r="N101" i="1"/>
  <c r="M101" i="1"/>
  <c r="N128" i="1"/>
  <c r="M128" i="1"/>
  <c r="G129" i="1"/>
  <c r="F129" i="1"/>
  <c r="G128" i="1"/>
  <c r="F128" i="1"/>
  <c r="G125" i="1"/>
  <c r="F125" i="1"/>
  <c r="G124" i="1"/>
  <c r="F124" i="1"/>
  <c r="G123" i="1"/>
  <c r="F123" i="1"/>
  <c r="G122" i="1"/>
  <c r="F122" i="1"/>
  <c r="G119" i="1"/>
  <c r="F119" i="1"/>
  <c r="D129" i="1"/>
  <c r="D123" i="1"/>
  <c r="D119" i="1"/>
  <c r="G114" i="1"/>
  <c r="F114" i="1"/>
  <c r="G113" i="1"/>
  <c r="F113" i="1"/>
  <c r="G112" i="1"/>
  <c r="F112" i="1"/>
  <c r="G111" i="1"/>
  <c r="F111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D114" i="1"/>
  <c r="D113" i="1"/>
  <c r="D112" i="1"/>
  <c r="D111" i="1"/>
  <c r="D107" i="1"/>
  <c r="D106" i="1"/>
  <c r="D105" i="1"/>
  <c r="D104" i="1"/>
  <c r="D103" i="1"/>
  <c r="D102" i="1"/>
  <c r="V173" i="1" l="1"/>
  <c r="R105" i="1" l="1"/>
  <c r="S105" i="1"/>
  <c r="T105" i="1"/>
  <c r="U105" i="1"/>
  <c r="V105" i="1"/>
  <c r="R32" i="1"/>
  <c r="R68" i="1"/>
  <c r="S68" i="1"/>
  <c r="T68" i="1"/>
  <c r="U68" i="1"/>
  <c r="V68" i="1"/>
  <c r="V32" i="1"/>
  <c r="U32" i="1"/>
  <c r="T32" i="1"/>
  <c r="S32" i="1"/>
  <c r="T102" i="1" l="1"/>
  <c r="U102" i="1"/>
  <c r="V102" i="1"/>
  <c r="S102" i="1"/>
  <c r="R102" i="1"/>
  <c r="R87" i="1" l="1"/>
  <c r="O130" i="1" l="1"/>
  <c r="I10" i="4"/>
  <c r="H10" i="4"/>
  <c r="G10" i="4"/>
  <c r="F10" i="4"/>
  <c r="E10" i="4"/>
  <c r="D10" i="4"/>
  <c r="C10" i="4"/>
  <c r="B10" i="4"/>
  <c r="R10" i="1" l="1"/>
  <c r="S10" i="1"/>
  <c r="T10" i="1"/>
  <c r="U10" i="1"/>
  <c r="V10" i="1"/>
  <c r="R104" i="1"/>
  <c r="S104" i="1"/>
  <c r="T104" i="1"/>
  <c r="U104" i="1"/>
  <c r="V104" i="1"/>
  <c r="R155" i="1" l="1"/>
  <c r="S57" i="1" l="1"/>
  <c r="D138" i="1" l="1"/>
  <c r="I4" i="6"/>
  <c r="H4" i="6"/>
  <c r="G4" i="6"/>
  <c r="F4" i="6"/>
  <c r="E4" i="6"/>
  <c r="D4" i="6"/>
  <c r="C4" i="6"/>
  <c r="B4" i="6"/>
  <c r="I3" i="6"/>
  <c r="H3" i="6"/>
  <c r="G3" i="6"/>
  <c r="F3" i="6"/>
  <c r="E3" i="6"/>
  <c r="D3" i="6"/>
  <c r="C3" i="6"/>
  <c r="B3" i="6"/>
  <c r="R107" i="1" l="1"/>
  <c r="S107" i="1"/>
  <c r="T107" i="1"/>
  <c r="U107" i="1"/>
  <c r="V107" i="1"/>
  <c r="R108" i="1"/>
  <c r="S108" i="1"/>
  <c r="T108" i="1"/>
  <c r="U108" i="1"/>
  <c r="V108" i="1"/>
  <c r="R204" i="1" l="1"/>
  <c r="R205" i="1"/>
  <c r="V128" i="1" l="1"/>
  <c r="U128" i="1"/>
  <c r="T128" i="1"/>
  <c r="R128" i="1"/>
  <c r="R95" i="1"/>
  <c r="S95" i="1"/>
  <c r="T95" i="1"/>
  <c r="U95" i="1"/>
  <c r="V95" i="1"/>
  <c r="R57" i="1"/>
  <c r="V57" i="1"/>
  <c r="U57" i="1"/>
  <c r="T57" i="1"/>
  <c r="R184" i="1"/>
  <c r="S128" i="1" l="1"/>
  <c r="R144" i="1" l="1"/>
  <c r="R123" i="1" l="1"/>
  <c r="S123" i="1"/>
  <c r="T123" i="1"/>
  <c r="U123" i="1"/>
  <c r="V123" i="1"/>
  <c r="R81" i="1"/>
  <c r="S81" i="1"/>
  <c r="T81" i="1"/>
  <c r="U81" i="1"/>
  <c r="V81" i="1"/>
  <c r="V198" i="1" l="1"/>
  <c r="T160" i="1"/>
  <c r="S160" i="1"/>
  <c r="R126" i="1" l="1"/>
  <c r="V156" i="1" l="1"/>
  <c r="T148" i="1" l="1"/>
  <c r="R142" i="1"/>
  <c r="S142" i="1"/>
  <c r="T142" i="1"/>
  <c r="U142" i="1"/>
  <c r="V142" i="1"/>
  <c r="R163" i="1"/>
  <c r="S163" i="1"/>
  <c r="T163" i="1"/>
  <c r="U163" i="1"/>
  <c r="V163" i="1"/>
  <c r="R122" i="1" l="1"/>
  <c r="S122" i="1"/>
  <c r="S185" i="1" l="1"/>
  <c r="V122" i="1"/>
  <c r="U122" i="1"/>
  <c r="T122" i="1"/>
  <c r="R70" i="1" l="1"/>
  <c r="V78" i="1" l="1"/>
  <c r="U78" i="1"/>
  <c r="T78" i="1"/>
  <c r="S78" i="1"/>
  <c r="R78" i="1"/>
  <c r="V84" i="1" l="1"/>
  <c r="U84" i="1"/>
  <c r="T84" i="1"/>
  <c r="S84" i="1"/>
  <c r="R84" i="1"/>
  <c r="B4" i="5" l="1"/>
  <c r="B3" i="5" s="1"/>
  <c r="C4" i="5"/>
  <c r="C3" i="5" s="1"/>
  <c r="D4" i="5"/>
  <c r="D3" i="5" s="1"/>
  <c r="E4" i="5"/>
  <c r="E3" i="5" s="1"/>
  <c r="F4" i="5"/>
  <c r="F3" i="5" s="1"/>
  <c r="G4" i="5"/>
  <c r="G3" i="5" s="1"/>
  <c r="H4" i="5"/>
  <c r="H3" i="5" s="1"/>
  <c r="V186" i="1"/>
  <c r="U186" i="1"/>
  <c r="T186" i="1"/>
  <c r="S186" i="1"/>
  <c r="R186" i="1"/>
  <c r="T34" i="1" l="1"/>
  <c r="S22" i="1" l="1"/>
  <c r="T22" i="1"/>
  <c r="V106" i="1" l="1"/>
  <c r="R106" i="1"/>
  <c r="S106" i="1"/>
  <c r="T106" i="1"/>
  <c r="U106" i="1"/>
  <c r="R13" i="1" l="1"/>
  <c r="R50" i="1" l="1"/>
  <c r="V50" i="1"/>
  <c r="U50" i="1"/>
  <c r="T50" i="1"/>
  <c r="S50" i="1"/>
  <c r="V134" i="1" l="1"/>
  <c r="U134" i="1"/>
  <c r="T134" i="1"/>
  <c r="S134" i="1"/>
  <c r="R134" i="1"/>
  <c r="R75" i="1" l="1"/>
  <c r="V191" i="1" l="1"/>
  <c r="U191" i="1"/>
  <c r="T191" i="1"/>
  <c r="S191" i="1"/>
  <c r="R191" i="1"/>
  <c r="S179" i="1" l="1"/>
  <c r="D174" i="1" l="1"/>
  <c r="B18" i="2" s="1"/>
  <c r="B9" i="2" s="1"/>
  <c r="D130" i="1"/>
  <c r="E105" i="1" s="1"/>
  <c r="E104" i="1" l="1"/>
  <c r="E102" i="1"/>
  <c r="E128" i="1"/>
  <c r="B15" i="2"/>
  <c r="B6" i="2" s="1"/>
  <c r="E119" i="1"/>
  <c r="E123" i="1"/>
  <c r="E107" i="1"/>
  <c r="E122" i="1"/>
  <c r="R94" i="1"/>
  <c r="S94" i="1"/>
  <c r="T94" i="1"/>
  <c r="U94" i="1"/>
  <c r="V94" i="1"/>
  <c r="D214" i="1"/>
  <c r="D193" i="1"/>
  <c r="B19" i="2" s="1"/>
  <c r="B10" i="2" s="1"/>
  <c r="D59" i="1"/>
  <c r="B13" i="2" s="1"/>
  <c r="B4" i="2" s="1"/>
  <c r="E134" i="1" l="1"/>
  <c r="B16" i="2"/>
  <c r="B7" i="2" s="1"/>
  <c r="E183" i="1"/>
  <c r="E184" i="1"/>
  <c r="E185" i="1"/>
  <c r="E186" i="1"/>
  <c r="E187" i="1"/>
  <c r="E188" i="1"/>
  <c r="E189" i="1"/>
  <c r="E190" i="1"/>
  <c r="E191" i="1"/>
  <c r="E192" i="1"/>
  <c r="R172" i="1"/>
  <c r="R86" i="1" l="1"/>
  <c r="S86" i="1"/>
  <c r="T86" i="1"/>
  <c r="V86" i="1"/>
  <c r="U86" i="1"/>
  <c r="D23" i="1" l="1"/>
  <c r="B12" i="2" l="1"/>
  <c r="B3" i="2" s="1"/>
  <c r="E10" i="1"/>
  <c r="R120" i="1"/>
  <c r="R20" i="1" l="1"/>
  <c r="R203" i="1" l="1"/>
  <c r="S203" i="1"/>
  <c r="T203" i="1"/>
  <c r="U203" i="1"/>
  <c r="V203" i="1"/>
  <c r="S204" i="1"/>
  <c r="T204" i="1"/>
  <c r="U204" i="1"/>
  <c r="V204" i="1"/>
  <c r="S205" i="1"/>
  <c r="T205" i="1"/>
  <c r="U205" i="1"/>
  <c r="V205" i="1"/>
  <c r="R206" i="1"/>
  <c r="S206" i="1"/>
  <c r="T206" i="1"/>
  <c r="U206" i="1"/>
  <c r="V206" i="1"/>
  <c r="R207" i="1"/>
  <c r="S207" i="1"/>
  <c r="T207" i="1"/>
  <c r="U207" i="1"/>
  <c r="V207" i="1"/>
  <c r="R208" i="1"/>
  <c r="S208" i="1"/>
  <c r="T208" i="1"/>
  <c r="U208" i="1"/>
  <c r="V208" i="1"/>
  <c r="R209" i="1"/>
  <c r="S209" i="1"/>
  <c r="T209" i="1"/>
  <c r="U209" i="1"/>
  <c r="V209" i="1"/>
  <c r="R210" i="1"/>
  <c r="S210" i="1"/>
  <c r="T210" i="1"/>
  <c r="U210" i="1"/>
  <c r="V210" i="1"/>
  <c r="R211" i="1"/>
  <c r="S211" i="1"/>
  <c r="T211" i="1"/>
  <c r="U211" i="1"/>
  <c r="V211" i="1"/>
  <c r="R212" i="1"/>
  <c r="S212" i="1"/>
  <c r="T212" i="1"/>
  <c r="U212" i="1"/>
  <c r="V212" i="1"/>
  <c r="R213" i="1"/>
  <c r="S213" i="1"/>
  <c r="T213" i="1"/>
  <c r="U213" i="1"/>
  <c r="V213" i="1"/>
  <c r="S214" i="1"/>
  <c r="U214" i="1"/>
  <c r="V214" i="1"/>
  <c r="V202" i="1"/>
  <c r="U202" i="1"/>
  <c r="T202" i="1"/>
  <c r="S202" i="1"/>
  <c r="R202" i="1"/>
  <c r="U198" i="1"/>
  <c r="T198" i="1"/>
  <c r="S198" i="1"/>
  <c r="R198" i="1"/>
  <c r="V197" i="1"/>
  <c r="U197" i="1"/>
  <c r="T197" i="1"/>
  <c r="S197" i="1"/>
  <c r="R197" i="1"/>
  <c r="R183" i="1"/>
  <c r="S183" i="1"/>
  <c r="T183" i="1"/>
  <c r="U183" i="1"/>
  <c r="V183" i="1"/>
  <c r="S184" i="1"/>
  <c r="T184" i="1"/>
  <c r="U184" i="1"/>
  <c r="V184" i="1"/>
  <c r="R185" i="1"/>
  <c r="T185" i="1"/>
  <c r="U185" i="1"/>
  <c r="V185" i="1"/>
  <c r="R187" i="1"/>
  <c r="S187" i="1"/>
  <c r="T187" i="1"/>
  <c r="U187" i="1"/>
  <c r="V187" i="1"/>
  <c r="R188" i="1"/>
  <c r="S188" i="1"/>
  <c r="T188" i="1"/>
  <c r="U188" i="1"/>
  <c r="V188" i="1"/>
  <c r="R189" i="1"/>
  <c r="S189" i="1"/>
  <c r="T189" i="1"/>
  <c r="U189" i="1"/>
  <c r="V189" i="1"/>
  <c r="R190" i="1"/>
  <c r="S190" i="1"/>
  <c r="T190" i="1"/>
  <c r="U190" i="1"/>
  <c r="V190" i="1"/>
  <c r="R192" i="1"/>
  <c r="S192" i="1"/>
  <c r="T192" i="1"/>
  <c r="U192" i="1"/>
  <c r="V192" i="1"/>
  <c r="S193" i="1"/>
  <c r="U193" i="1"/>
  <c r="V193" i="1"/>
  <c r="V182" i="1"/>
  <c r="U182" i="1"/>
  <c r="T182" i="1"/>
  <c r="S182" i="1"/>
  <c r="R182" i="1"/>
  <c r="V179" i="1"/>
  <c r="U179" i="1"/>
  <c r="T179" i="1"/>
  <c r="R179" i="1"/>
  <c r="V178" i="1"/>
  <c r="U178" i="1"/>
  <c r="T178" i="1"/>
  <c r="S178" i="1"/>
  <c r="R178" i="1"/>
  <c r="S172" i="1"/>
  <c r="T172" i="1"/>
  <c r="U172" i="1"/>
  <c r="V172" i="1"/>
  <c r="R173" i="1"/>
  <c r="S173" i="1"/>
  <c r="T173" i="1"/>
  <c r="U173" i="1"/>
  <c r="S174" i="1"/>
  <c r="U174" i="1"/>
  <c r="V174" i="1"/>
  <c r="V171" i="1"/>
  <c r="U171" i="1"/>
  <c r="T171" i="1"/>
  <c r="S171" i="1"/>
  <c r="R171" i="1"/>
  <c r="R143" i="1"/>
  <c r="S143" i="1"/>
  <c r="T143" i="1"/>
  <c r="U143" i="1"/>
  <c r="V143" i="1"/>
  <c r="S144" i="1"/>
  <c r="T144" i="1"/>
  <c r="U144" i="1"/>
  <c r="V144" i="1"/>
  <c r="R145" i="1"/>
  <c r="S145" i="1"/>
  <c r="T145" i="1"/>
  <c r="U145" i="1"/>
  <c r="R146" i="1"/>
  <c r="S146" i="1"/>
  <c r="T146" i="1"/>
  <c r="U146" i="1"/>
  <c r="V146" i="1"/>
  <c r="R147" i="1"/>
  <c r="S147" i="1"/>
  <c r="T147" i="1"/>
  <c r="U147" i="1"/>
  <c r="V147" i="1"/>
  <c r="R148" i="1"/>
  <c r="S148" i="1"/>
  <c r="U148" i="1"/>
  <c r="V148" i="1"/>
  <c r="R149" i="1"/>
  <c r="S149" i="1"/>
  <c r="T149" i="1"/>
  <c r="U149" i="1"/>
  <c r="V149" i="1"/>
  <c r="R150" i="1"/>
  <c r="S150" i="1"/>
  <c r="T150" i="1"/>
  <c r="U150" i="1"/>
  <c r="V150" i="1"/>
  <c r="R151" i="1"/>
  <c r="S151" i="1"/>
  <c r="T151" i="1"/>
  <c r="U151" i="1"/>
  <c r="V151" i="1"/>
  <c r="R152" i="1"/>
  <c r="S152" i="1"/>
  <c r="T152" i="1"/>
  <c r="U152" i="1"/>
  <c r="V152" i="1"/>
  <c r="R153" i="1"/>
  <c r="S153" i="1"/>
  <c r="T153" i="1"/>
  <c r="U153" i="1"/>
  <c r="V153" i="1"/>
  <c r="R154" i="1"/>
  <c r="S154" i="1"/>
  <c r="T154" i="1"/>
  <c r="U154" i="1"/>
  <c r="V154" i="1"/>
  <c r="S155" i="1"/>
  <c r="T155" i="1"/>
  <c r="U155" i="1"/>
  <c r="V155" i="1"/>
  <c r="R156" i="1"/>
  <c r="S156" i="1"/>
  <c r="T156" i="1"/>
  <c r="U156" i="1"/>
  <c r="R157" i="1"/>
  <c r="S157" i="1"/>
  <c r="T157" i="1"/>
  <c r="U157" i="1"/>
  <c r="V157" i="1"/>
  <c r="R158" i="1"/>
  <c r="S158" i="1"/>
  <c r="T158" i="1"/>
  <c r="U158" i="1"/>
  <c r="V158" i="1"/>
  <c r="R159" i="1"/>
  <c r="S159" i="1"/>
  <c r="T159" i="1"/>
  <c r="U159" i="1"/>
  <c r="V159" i="1"/>
  <c r="R160" i="1"/>
  <c r="U160" i="1"/>
  <c r="V160" i="1"/>
  <c r="R161" i="1"/>
  <c r="S161" i="1"/>
  <c r="T161" i="1"/>
  <c r="U161" i="1"/>
  <c r="V161" i="1"/>
  <c r="R164" i="1"/>
  <c r="S164" i="1"/>
  <c r="T164" i="1"/>
  <c r="U164" i="1"/>
  <c r="V164" i="1"/>
  <c r="R165" i="1"/>
  <c r="S165" i="1"/>
  <c r="T165" i="1"/>
  <c r="U165" i="1"/>
  <c r="V165" i="1"/>
  <c r="R166" i="1"/>
  <c r="S166" i="1"/>
  <c r="T166" i="1"/>
  <c r="U166" i="1"/>
  <c r="V166" i="1"/>
  <c r="R167" i="1"/>
  <c r="S167" i="1"/>
  <c r="T167" i="1"/>
  <c r="U167" i="1"/>
  <c r="V167" i="1"/>
  <c r="S168" i="1"/>
  <c r="U168" i="1"/>
  <c r="V168" i="1"/>
  <c r="V141" i="1"/>
  <c r="U141" i="1"/>
  <c r="T141" i="1"/>
  <c r="S141" i="1"/>
  <c r="R141" i="1"/>
  <c r="R135" i="1"/>
  <c r="S135" i="1"/>
  <c r="T135" i="1"/>
  <c r="U135" i="1"/>
  <c r="V135" i="1"/>
  <c r="R136" i="1"/>
  <c r="S136" i="1"/>
  <c r="T136" i="1"/>
  <c r="U136" i="1"/>
  <c r="V136" i="1"/>
  <c r="R137" i="1"/>
  <c r="S137" i="1"/>
  <c r="T137" i="1"/>
  <c r="U137" i="1"/>
  <c r="V137" i="1"/>
  <c r="S138" i="1"/>
  <c r="U138" i="1"/>
  <c r="V138" i="1"/>
  <c r="V133" i="1"/>
  <c r="U133" i="1"/>
  <c r="T133" i="1"/>
  <c r="S133" i="1"/>
  <c r="R133" i="1"/>
  <c r="R119" i="1"/>
  <c r="S119" i="1"/>
  <c r="T119" i="1"/>
  <c r="U119" i="1"/>
  <c r="V119" i="1"/>
  <c r="S120" i="1"/>
  <c r="T120" i="1"/>
  <c r="U120" i="1"/>
  <c r="V120" i="1"/>
  <c r="R121" i="1"/>
  <c r="S121" i="1"/>
  <c r="T121" i="1"/>
  <c r="U121" i="1"/>
  <c r="V121" i="1"/>
  <c r="R124" i="1"/>
  <c r="S124" i="1"/>
  <c r="T124" i="1"/>
  <c r="U124" i="1"/>
  <c r="V124" i="1"/>
  <c r="R125" i="1"/>
  <c r="S125" i="1"/>
  <c r="T125" i="1"/>
  <c r="U125" i="1"/>
  <c r="V125" i="1"/>
  <c r="S126" i="1"/>
  <c r="T126" i="1"/>
  <c r="U126" i="1"/>
  <c r="V126" i="1"/>
  <c r="R127" i="1"/>
  <c r="S127" i="1"/>
  <c r="T127" i="1"/>
  <c r="U127" i="1"/>
  <c r="V127" i="1"/>
  <c r="R129" i="1"/>
  <c r="S129" i="1"/>
  <c r="T129" i="1"/>
  <c r="U129" i="1"/>
  <c r="V129" i="1"/>
  <c r="S130" i="1"/>
  <c r="U130" i="1"/>
  <c r="V130" i="1"/>
  <c r="V118" i="1"/>
  <c r="U118" i="1"/>
  <c r="T118" i="1"/>
  <c r="S118" i="1"/>
  <c r="R118" i="1"/>
  <c r="R103" i="1"/>
  <c r="S103" i="1"/>
  <c r="T103" i="1"/>
  <c r="U103" i="1"/>
  <c r="V103" i="1"/>
  <c r="R109" i="1"/>
  <c r="S109" i="1"/>
  <c r="T109" i="1"/>
  <c r="U109" i="1"/>
  <c r="V109" i="1"/>
  <c r="R110" i="1"/>
  <c r="S110" i="1"/>
  <c r="T110" i="1"/>
  <c r="U110" i="1"/>
  <c r="V110" i="1"/>
  <c r="R111" i="1"/>
  <c r="S111" i="1"/>
  <c r="T111" i="1"/>
  <c r="U111" i="1"/>
  <c r="V111" i="1"/>
  <c r="R112" i="1"/>
  <c r="S112" i="1"/>
  <c r="T112" i="1"/>
  <c r="U112" i="1"/>
  <c r="V112" i="1"/>
  <c r="R113" i="1"/>
  <c r="S113" i="1"/>
  <c r="T113" i="1"/>
  <c r="U113" i="1"/>
  <c r="V113" i="1"/>
  <c r="R114" i="1"/>
  <c r="S114" i="1"/>
  <c r="T114" i="1"/>
  <c r="U114" i="1"/>
  <c r="V114" i="1"/>
  <c r="R115" i="1"/>
  <c r="S115" i="1"/>
  <c r="T115" i="1"/>
  <c r="U115" i="1"/>
  <c r="V115" i="1"/>
  <c r="V101" i="1"/>
  <c r="U101" i="1"/>
  <c r="T101" i="1"/>
  <c r="S101" i="1"/>
  <c r="R101" i="1"/>
  <c r="R63" i="1"/>
  <c r="S63" i="1"/>
  <c r="T63" i="1"/>
  <c r="U63" i="1"/>
  <c r="V63" i="1"/>
  <c r="R64" i="1"/>
  <c r="S64" i="1"/>
  <c r="T64" i="1"/>
  <c r="U64" i="1"/>
  <c r="V64" i="1"/>
  <c r="R65" i="1"/>
  <c r="S65" i="1"/>
  <c r="T65" i="1"/>
  <c r="U65" i="1"/>
  <c r="V65" i="1"/>
  <c r="R66" i="1"/>
  <c r="S66" i="1"/>
  <c r="T66" i="1"/>
  <c r="U66" i="1"/>
  <c r="R67" i="1"/>
  <c r="S67" i="1"/>
  <c r="T67" i="1"/>
  <c r="U67" i="1"/>
  <c r="R69" i="1"/>
  <c r="S69" i="1"/>
  <c r="T69" i="1"/>
  <c r="U69" i="1"/>
  <c r="V69" i="1"/>
  <c r="S70" i="1"/>
  <c r="T70" i="1"/>
  <c r="U70" i="1"/>
  <c r="V70" i="1"/>
  <c r="R71" i="1"/>
  <c r="S71" i="1"/>
  <c r="T71" i="1"/>
  <c r="U71" i="1"/>
  <c r="V71" i="1"/>
  <c r="R72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S75" i="1"/>
  <c r="T75" i="1"/>
  <c r="U75" i="1"/>
  <c r="V75" i="1"/>
  <c r="R76" i="1"/>
  <c r="S76" i="1"/>
  <c r="T76" i="1"/>
  <c r="U76" i="1"/>
  <c r="V76" i="1"/>
  <c r="R77" i="1"/>
  <c r="S77" i="1"/>
  <c r="T77" i="1"/>
  <c r="U77" i="1"/>
  <c r="V77" i="1"/>
  <c r="R79" i="1"/>
  <c r="S79" i="1"/>
  <c r="T79" i="1"/>
  <c r="U79" i="1"/>
  <c r="V79" i="1"/>
  <c r="R80" i="1"/>
  <c r="S80" i="1"/>
  <c r="T80" i="1"/>
  <c r="U80" i="1"/>
  <c r="V80" i="1"/>
  <c r="R82" i="1"/>
  <c r="S82" i="1"/>
  <c r="T82" i="1"/>
  <c r="U82" i="1"/>
  <c r="V82" i="1"/>
  <c r="R83" i="1"/>
  <c r="S83" i="1"/>
  <c r="T83" i="1"/>
  <c r="U83" i="1"/>
  <c r="V83" i="1"/>
  <c r="R85" i="1"/>
  <c r="S85" i="1"/>
  <c r="T85" i="1"/>
  <c r="U85" i="1"/>
  <c r="V85" i="1"/>
  <c r="S87" i="1"/>
  <c r="T87" i="1"/>
  <c r="U87" i="1"/>
  <c r="V87" i="1"/>
  <c r="R88" i="1"/>
  <c r="S88" i="1"/>
  <c r="T88" i="1"/>
  <c r="U88" i="1"/>
  <c r="V88" i="1"/>
  <c r="R89" i="1"/>
  <c r="S89" i="1"/>
  <c r="T89" i="1"/>
  <c r="U89" i="1"/>
  <c r="V89" i="1"/>
  <c r="R90" i="1"/>
  <c r="S90" i="1"/>
  <c r="T90" i="1"/>
  <c r="U90" i="1"/>
  <c r="V90" i="1"/>
  <c r="R91" i="1"/>
  <c r="S91" i="1"/>
  <c r="T91" i="1"/>
  <c r="U91" i="1"/>
  <c r="V91" i="1"/>
  <c r="R92" i="1"/>
  <c r="S92" i="1"/>
  <c r="T92" i="1"/>
  <c r="U92" i="1"/>
  <c r="V92" i="1"/>
  <c r="R93" i="1"/>
  <c r="S93" i="1"/>
  <c r="T93" i="1"/>
  <c r="U93" i="1"/>
  <c r="V93" i="1"/>
  <c r="R96" i="1"/>
  <c r="S96" i="1"/>
  <c r="T96" i="1"/>
  <c r="U96" i="1"/>
  <c r="V96" i="1"/>
  <c r="S97" i="1"/>
  <c r="U97" i="1"/>
  <c r="V97" i="1"/>
  <c r="V62" i="1"/>
  <c r="U62" i="1"/>
  <c r="T62" i="1"/>
  <c r="S62" i="1"/>
  <c r="R62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3" i="1"/>
  <c r="S33" i="1"/>
  <c r="T33" i="1"/>
  <c r="U33" i="1"/>
  <c r="V33" i="1"/>
  <c r="R34" i="1"/>
  <c r="S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49" i="1"/>
  <c r="S49" i="1"/>
  <c r="T49" i="1"/>
  <c r="U49" i="1"/>
  <c r="V49" i="1"/>
  <c r="R51" i="1"/>
  <c r="S51" i="1"/>
  <c r="T51" i="1"/>
  <c r="U51" i="1"/>
  <c r="V51" i="1"/>
  <c r="R53" i="1"/>
  <c r="S53" i="1"/>
  <c r="T53" i="1"/>
  <c r="U53" i="1"/>
  <c r="V53" i="1"/>
  <c r="R54" i="1"/>
  <c r="S54" i="1"/>
  <c r="T54" i="1"/>
  <c r="U54" i="1"/>
  <c r="V54" i="1"/>
  <c r="R55" i="1"/>
  <c r="S55" i="1"/>
  <c r="T55" i="1"/>
  <c r="U55" i="1"/>
  <c r="V55" i="1"/>
  <c r="R56" i="1"/>
  <c r="S56" i="1"/>
  <c r="T56" i="1"/>
  <c r="U56" i="1"/>
  <c r="V56" i="1"/>
  <c r="R58" i="1"/>
  <c r="S58" i="1"/>
  <c r="T58" i="1"/>
  <c r="U58" i="1"/>
  <c r="V58" i="1"/>
  <c r="S59" i="1"/>
  <c r="U59" i="1"/>
  <c r="V59" i="1"/>
  <c r="V26" i="1"/>
  <c r="U26" i="1"/>
  <c r="T26" i="1"/>
  <c r="S26" i="1"/>
  <c r="R26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1" i="1"/>
  <c r="S11" i="1"/>
  <c r="T11" i="1"/>
  <c r="U11" i="1"/>
  <c r="V11" i="1"/>
  <c r="R12" i="1"/>
  <c r="S12" i="1"/>
  <c r="T12" i="1"/>
  <c r="U12" i="1"/>
  <c r="V12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R19" i="1"/>
  <c r="S19" i="1"/>
  <c r="T19" i="1"/>
  <c r="U19" i="1"/>
  <c r="V19" i="1"/>
  <c r="S20" i="1"/>
  <c r="T20" i="1"/>
  <c r="U20" i="1"/>
  <c r="V20" i="1"/>
  <c r="R21" i="1"/>
  <c r="S21" i="1"/>
  <c r="T21" i="1"/>
  <c r="U21" i="1"/>
  <c r="V21" i="1"/>
  <c r="R22" i="1"/>
  <c r="U22" i="1"/>
  <c r="V22" i="1"/>
  <c r="S23" i="1"/>
  <c r="U23" i="1"/>
  <c r="V23" i="1"/>
  <c r="V6" i="1"/>
  <c r="U6" i="1"/>
  <c r="T6" i="1"/>
  <c r="V67" i="1" l="1"/>
  <c r="V145" i="1"/>
  <c r="O193" i="1" l="1"/>
  <c r="O214" i="1"/>
  <c r="K214" i="1"/>
  <c r="H214" i="1"/>
  <c r="K199" i="1"/>
  <c r="H199" i="1"/>
  <c r="D199" i="1"/>
  <c r="H193" i="1"/>
  <c r="K193" i="1"/>
  <c r="B5" i="3" s="1"/>
  <c r="H174" i="1"/>
  <c r="O174" i="1"/>
  <c r="K174" i="1"/>
  <c r="O168" i="1"/>
  <c r="K168" i="1"/>
  <c r="L162" i="1" s="1"/>
  <c r="H168" i="1"/>
  <c r="D168" i="1"/>
  <c r="O138" i="1"/>
  <c r="K138" i="1"/>
  <c r="H138" i="1"/>
  <c r="T138" i="1" s="1"/>
  <c r="H130" i="1"/>
  <c r="K130" i="1"/>
  <c r="O97" i="1"/>
  <c r="K97" i="1"/>
  <c r="L68" i="1" s="1"/>
  <c r="H97" i="1"/>
  <c r="D97" i="1"/>
  <c r="E68" i="1" s="1"/>
  <c r="O59" i="1"/>
  <c r="K59" i="1"/>
  <c r="H59" i="1"/>
  <c r="O23" i="1"/>
  <c r="H23" i="1"/>
  <c r="B17" i="2" l="1"/>
  <c r="B8" i="2" s="1"/>
  <c r="E162" i="1"/>
  <c r="E52" i="1"/>
  <c r="L52" i="1"/>
  <c r="L102" i="1"/>
  <c r="L105" i="1"/>
  <c r="E32" i="1"/>
  <c r="L32" i="1"/>
  <c r="L160" i="1"/>
  <c r="L161" i="1"/>
  <c r="L163" i="1"/>
  <c r="E58" i="1"/>
  <c r="E57" i="1"/>
  <c r="C17" i="2"/>
  <c r="C8" i="2" s="1"/>
  <c r="B4" i="3"/>
  <c r="C15" i="2"/>
  <c r="C6" i="2" s="1"/>
  <c r="L104" i="1"/>
  <c r="L134" i="1"/>
  <c r="C16" i="2"/>
  <c r="C7" i="2" s="1"/>
  <c r="B6" i="3"/>
  <c r="C18" i="2"/>
  <c r="C9" i="2" s="1"/>
  <c r="B2" i="3"/>
  <c r="C19" i="2"/>
  <c r="C10" i="2" s="1"/>
  <c r="B7" i="3"/>
  <c r="C14" i="2"/>
  <c r="C5" i="2" s="1"/>
  <c r="B8" i="3"/>
  <c r="C13" i="2"/>
  <c r="C4" i="2" s="1"/>
  <c r="E95" i="1"/>
  <c r="B14" i="2"/>
  <c r="B5" i="2" s="1"/>
  <c r="L128" i="1"/>
  <c r="B9" i="3"/>
  <c r="L81" i="1"/>
  <c r="L95" i="1"/>
  <c r="L57" i="1"/>
  <c r="L183" i="1"/>
  <c r="L184" i="1"/>
  <c r="L185" i="1"/>
  <c r="L186" i="1"/>
  <c r="L187" i="1"/>
  <c r="L188" i="1"/>
  <c r="L189" i="1"/>
  <c r="L190" i="1"/>
  <c r="L191" i="1"/>
  <c r="L192" i="1"/>
  <c r="L122" i="1"/>
  <c r="L123" i="1"/>
  <c r="E78" i="1"/>
  <c r="E81" i="1"/>
  <c r="E161" i="1"/>
  <c r="E163" i="1"/>
  <c r="L88" i="1"/>
  <c r="L96" i="1"/>
  <c r="L78" i="1"/>
  <c r="L142" i="1"/>
  <c r="E142" i="1"/>
  <c r="L107" i="1"/>
  <c r="L120" i="1"/>
  <c r="L182" i="1"/>
  <c r="E84" i="1"/>
  <c r="L84" i="1"/>
  <c r="L55" i="1"/>
  <c r="L37" i="1"/>
  <c r="L212" i="1"/>
  <c r="L213" i="1"/>
  <c r="E50" i="1"/>
  <c r="L49" i="1"/>
  <c r="L51" i="1"/>
  <c r="L50" i="1"/>
  <c r="L53" i="1"/>
  <c r="L101" i="1"/>
  <c r="L118" i="1"/>
  <c r="L157" i="1"/>
  <c r="L164" i="1"/>
  <c r="L89" i="1"/>
  <c r="L65" i="1"/>
  <c r="L106" i="1"/>
  <c r="L26" i="1"/>
  <c r="L40" i="1"/>
  <c r="T193" i="1"/>
  <c r="L93" i="1"/>
  <c r="L94" i="1"/>
  <c r="E86" i="1"/>
  <c r="E94" i="1"/>
  <c r="T214" i="1"/>
  <c r="L86" i="1"/>
  <c r="T59" i="1"/>
  <c r="T174" i="1"/>
  <c r="R174" i="1"/>
  <c r="T97" i="1"/>
  <c r="T168" i="1"/>
  <c r="T23" i="1"/>
  <c r="R138" i="1"/>
  <c r="R214" i="1"/>
  <c r="T130" i="1"/>
  <c r="O194" i="1"/>
  <c r="O215" i="1" s="1"/>
  <c r="R168" i="1"/>
  <c r="L156" i="1"/>
  <c r="R130" i="1"/>
  <c r="R97" i="1"/>
  <c r="L64" i="1"/>
  <c r="L66" i="1"/>
  <c r="L69" i="1"/>
  <c r="L71" i="1"/>
  <c r="L73" i="1"/>
  <c r="L75" i="1"/>
  <c r="L77" i="1"/>
  <c r="L80" i="1"/>
  <c r="L83" i="1"/>
  <c r="L87" i="1"/>
  <c r="L91" i="1"/>
  <c r="L63" i="1"/>
  <c r="L67" i="1"/>
  <c r="L70" i="1"/>
  <c r="L72" i="1"/>
  <c r="L74" i="1"/>
  <c r="L76" i="1"/>
  <c r="L79" i="1"/>
  <c r="L82" i="1"/>
  <c r="L85" i="1"/>
  <c r="L90" i="1"/>
  <c r="L92" i="1"/>
  <c r="E28" i="1"/>
  <c r="E30" i="1"/>
  <c r="E33" i="1"/>
  <c r="E35" i="1"/>
  <c r="E37" i="1"/>
  <c r="E39" i="1"/>
  <c r="E41" i="1"/>
  <c r="E43" i="1"/>
  <c r="E45" i="1"/>
  <c r="E47" i="1"/>
  <c r="E49" i="1"/>
  <c r="E53" i="1"/>
  <c r="E55" i="1"/>
  <c r="E27" i="1"/>
  <c r="E29" i="1"/>
  <c r="E31" i="1"/>
  <c r="E34" i="1"/>
  <c r="E36" i="1"/>
  <c r="E38" i="1"/>
  <c r="E40" i="1"/>
  <c r="E42" i="1"/>
  <c r="E44" i="1"/>
  <c r="E46" i="1"/>
  <c r="E48" i="1"/>
  <c r="E51" i="1"/>
  <c r="E54" i="1"/>
  <c r="E56" i="1"/>
  <c r="E26" i="1"/>
  <c r="R193" i="1"/>
  <c r="H194" i="1"/>
  <c r="H215" i="1" s="1"/>
  <c r="J10" i="4"/>
  <c r="I12" i="4"/>
  <c r="H12" i="4"/>
  <c r="G12" i="4"/>
  <c r="F12" i="4"/>
  <c r="E12" i="4"/>
  <c r="C12" i="4"/>
  <c r="E210" i="1"/>
  <c r="L211" i="1"/>
  <c r="L210" i="1"/>
  <c r="L208" i="1"/>
  <c r="L207" i="1"/>
  <c r="L206" i="1"/>
  <c r="L204" i="1"/>
  <c r="L203" i="1"/>
  <c r="L202" i="1"/>
  <c r="L197" i="1"/>
  <c r="E197" i="1"/>
  <c r="L179" i="1"/>
  <c r="L171" i="1"/>
  <c r="E173" i="1"/>
  <c r="E167" i="1"/>
  <c r="E164" i="1"/>
  <c r="L155" i="1"/>
  <c r="L153" i="1"/>
  <c r="L150" i="1"/>
  <c r="L147" i="1"/>
  <c r="L145" i="1"/>
  <c r="L141" i="1"/>
  <c r="L136" i="1"/>
  <c r="E137" i="1"/>
  <c r="L137" i="1"/>
  <c r="E93" i="1"/>
  <c r="E92" i="1"/>
  <c r="E90" i="1"/>
  <c r="E88" i="1"/>
  <c r="E85" i="1"/>
  <c r="E82" i="1"/>
  <c r="E79" i="1"/>
  <c r="E76" i="1"/>
  <c r="E74" i="1"/>
  <c r="E72" i="1"/>
  <c r="E70" i="1"/>
  <c r="E67" i="1"/>
  <c r="E65" i="1"/>
  <c r="E63" i="1"/>
  <c r="L54" i="1"/>
  <c r="R59" i="1"/>
  <c r="L34" i="1"/>
  <c r="K23" i="1"/>
  <c r="L10" i="1" s="1"/>
  <c r="E15" i="1"/>
  <c r="S6" i="1"/>
  <c r="R6" i="1"/>
  <c r="C12" i="2" l="1"/>
  <c r="C3" i="2" s="1"/>
  <c r="B3" i="3"/>
  <c r="J12" i="4"/>
  <c r="I4" i="5"/>
  <c r="I3" i="5" s="1"/>
  <c r="L7" i="1"/>
  <c r="L8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E8" i="1"/>
  <c r="E6" i="1"/>
  <c r="E11" i="1"/>
  <c r="E9" i="1"/>
  <c r="E20" i="1"/>
  <c r="R23" i="1"/>
  <c r="L6" i="1"/>
  <c r="L42" i="1"/>
  <c r="L133" i="1"/>
  <c r="L143" i="1"/>
  <c r="L146" i="1"/>
  <c r="L149" i="1"/>
  <c r="L151" i="1"/>
  <c r="L154" i="1"/>
  <c r="L158" i="1"/>
  <c r="E19" i="1"/>
  <c r="L62" i="1"/>
  <c r="E66" i="1"/>
  <c r="E133" i="1"/>
  <c r="E141" i="1"/>
  <c r="E143" i="1"/>
  <c r="E144" i="1"/>
  <c r="E149" i="1"/>
  <c r="E150" i="1"/>
  <c r="E151" i="1"/>
  <c r="E152" i="1"/>
  <c r="E157" i="1"/>
  <c r="E160" i="1"/>
  <c r="E166" i="1"/>
  <c r="E12" i="1"/>
  <c r="E14" i="1"/>
  <c r="E17" i="1"/>
  <c r="E21" i="1"/>
  <c r="L30" i="1"/>
  <c r="L39" i="1"/>
  <c r="L45" i="1"/>
  <c r="K194" i="1"/>
  <c r="L135" i="1"/>
  <c r="E145" i="1"/>
  <c r="E146" i="1"/>
  <c r="E147" i="1"/>
  <c r="E148" i="1"/>
  <c r="E153" i="1"/>
  <c r="E154" i="1"/>
  <c r="E155" i="1"/>
  <c r="E156" i="1"/>
  <c r="E158" i="1"/>
  <c r="E159" i="1"/>
  <c r="E165" i="1"/>
  <c r="L178" i="1"/>
  <c r="L111" i="1"/>
  <c r="L110" i="1"/>
  <c r="L35" i="1"/>
  <c r="L46" i="1"/>
  <c r="L56" i="1"/>
  <c r="E136" i="1"/>
  <c r="L166" i="1"/>
  <c r="L173" i="1"/>
  <c r="E205" i="1"/>
  <c r="E209" i="1"/>
  <c r="E213" i="1"/>
  <c r="D12" i="4"/>
  <c r="E103" i="1"/>
  <c r="L38" i="1"/>
  <c r="L41" i="1"/>
  <c r="L31" i="1"/>
  <c r="L43" i="1"/>
  <c r="L144" i="1"/>
  <c r="L148" i="1"/>
  <c r="L152" i="1"/>
  <c r="E172" i="1"/>
  <c r="E182" i="1"/>
  <c r="E198" i="1"/>
  <c r="L205" i="1"/>
  <c r="L209" i="1"/>
  <c r="L29" i="1"/>
  <c r="E7" i="1"/>
  <c r="E18" i="1"/>
  <c r="E22" i="1"/>
  <c r="L28" i="1"/>
  <c r="L48" i="1"/>
  <c r="E62" i="1"/>
  <c r="E71" i="1"/>
  <c r="E75" i="1"/>
  <c r="E80" i="1"/>
  <c r="E87" i="1"/>
  <c r="E91" i="1"/>
  <c r="E96" i="1"/>
  <c r="E135" i="1"/>
  <c r="L159" i="1"/>
  <c r="L165" i="1"/>
  <c r="L172" i="1"/>
  <c r="L198" i="1"/>
  <c r="R199" i="1"/>
  <c r="E204" i="1"/>
  <c r="E208" i="1"/>
  <c r="E212" i="1"/>
  <c r="E171" i="1"/>
  <c r="E179" i="1"/>
  <c r="E203" i="1"/>
  <c r="E207" i="1"/>
  <c r="E211" i="1"/>
  <c r="L47" i="1"/>
  <c r="L58" i="1"/>
  <c r="L27" i="1"/>
  <c r="L36" i="1"/>
  <c r="E178" i="1"/>
  <c r="E13" i="1"/>
  <c r="E16" i="1"/>
  <c r="L33" i="1"/>
  <c r="L44" i="1"/>
  <c r="E64" i="1"/>
  <c r="E69" i="1"/>
  <c r="E73" i="1"/>
  <c r="E77" i="1"/>
  <c r="E83" i="1"/>
  <c r="E89" i="1"/>
  <c r="L167" i="1"/>
  <c r="E202" i="1"/>
  <c r="E206" i="1"/>
  <c r="L121" i="1" l="1"/>
  <c r="L103" i="1"/>
  <c r="L108" i="1"/>
  <c r="L114" i="1"/>
  <c r="L125" i="1"/>
  <c r="L109" i="1"/>
  <c r="K215" i="1"/>
  <c r="L23" i="1"/>
  <c r="L168" i="1"/>
  <c r="L59" i="1"/>
  <c r="L138" i="1"/>
  <c r="L97" i="1"/>
  <c r="L130" i="1"/>
  <c r="L193" i="1"/>
  <c r="L174" i="1"/>
  <c r="L113" i="1"/>
  <c r="L112" i="1"/>
  <c r="L129" i="1"/>
  <c r="L124" i="1"/>
  <c r="L126" i="1"/>
  <c r="L115" i="1"/>
  <c r="L127" i="1"/>
  <c r="L119" i="1"/>
  <c r="E127" i="1"/>
  <c r="E124" i="1"/>
  <c r="E115" i="1"/>
  <c r="E112" i="1"/>
  <c r="E109" i="1"/>
  <c r="E114" i="1"/>
  <c r="E110" i="1"/>
  <c r="E120" i="1"/>
  <c r="E111" i="1"/>
  <c r="D194" i="1"/>
  <c r="E129" i="1"/>
  <c r="E101" i="1"/>
  <c r="E113" i="1"/>
  <c r="E108" i="1"/>
  <c r="E126" i="1"/>
  <c r="E125" i="1"/>
  <c r="E121" i="1"/>
  <c r="E118" i="1"/>
  <c r="E130" i="1" l="1"/>
  <c r="R194" i="1"/>
  <c r="E59" i="1"/>
  <c r="E168" i="1"/>
  <c r="D215" i="1"/>
  <c r="E97" i="1"/>
  <c r="E23" i="1"/>
  <c r="E193" i="1"/>
  <c r="E138" i="1"/>
  <c r="E174" i="1"/>
</calcChain>
</file>

<file path=xl/sharedStrings.xml><?xml version="1.0" encoding="utf-8"?>
<sst xmlns="http://schemas.openxmlformats.org/spreadsheetml/2006/main" count="450" uniqueCount="284">
  <si>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</si>
  <si>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</si>
  <si>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</si>
  <si>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</si>
  <si>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</si>
  <si>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</si>
  <si>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</si>
  <si>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</si>
  <si>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</si>
  <si>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</si>
  <si>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</si>
  <si>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</si>
  <si>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</si>
  <si>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</si>
  <si>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</si>
  <si>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</si>
  <si>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</si>
  <si>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</si>
  <si>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</si>
  <si>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</si>
  <si>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</si>
  <si>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</si>
  <si>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</si>
  <si>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</si>
  <si>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</si>
  <si>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</si>
  <si>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</si>
  <si>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</si>
  <si>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</si>
  <si>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</si>
  <si>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</si>
  <si>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</si>
  <si>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</si>
  <si>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</si>
  <si>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</si>
  <si>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</si>
  <si>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</si>
  <si>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</si>
  <si>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</si>
  <si>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</si>
  <si>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</si>
  <si>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</si>
  <si>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</si>
  <si>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</si>
  <si>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</si>
  <si>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</si>
  <si>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</si>
  <si>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</si>
  <si>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</si>
  <si>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</si>
  <si>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</si>
  <si>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</si>
  <si>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</si>
  <si>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</si>
  <si>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</si>
  <si>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</si>
  <si>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</si>
  <si>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</si>
  <si>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</si>
  <si>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</si>
  <si>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</si>
  <si>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</si>
  <si>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</si>
  <si>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</si>
  <si>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</si>
  <si>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</si>
  <si>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</si>
  <si>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</si>
  <si>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</si>
  <si>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</si>
  <si>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</si>
  <si>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</si>
  <si>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</si>
  <si>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</si>
  <si>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</si>
  <si>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</si>
  <si>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</si>
  <si>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</si>
  <si>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</si>
  <si>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</si>
  <si>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</si>
  <si>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</si>
  <si>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</si>
  <si>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</si>
  <si>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</si>
  <si>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</si>
  <si>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</si>
  <si>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</si>
  <si>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</si>
  <si>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</si>
  <si>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</si>
  <si>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</si>
  <si>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</si>
  <si>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</si>
  <si>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</si>
  <si>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</si>
  <si>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</si>
  <si>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</si>
  <si>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</si>
  <si>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</si>
  <si>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</si>
  <si>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</si>
  <si>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</si>
  <si>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</si>
  <si>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</si>
  <si>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</si>
  <si>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</si>
  <si>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</si>
  <si>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</si>
  <si>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</si>
  <si>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</si>
  <si>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</si>
  <si>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</si>
  <si>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</si>
  <si>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</si>
  <si>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</si>
  <si>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</si>
  <si>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</si>
  <si>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</si>
  <si>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</si>
  <si>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</si>
  <si>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</si>
  <si>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</si>
  <si>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</si>
  <si>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</si>
  <si>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</si>
  <si>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</si>
  <si>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</si>
  <si>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</si>
  <si>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</si>
  <si>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</si>
  <si>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</si>
  <si>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</si>
  <si>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</si>
  <si>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</si>
  <si>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</si>
  <si>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</si>
  <si>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</si>
  <si>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</si>
  <si>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</si>
  <si>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</si>
  <si>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</si>
  <si>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</si>
  <si>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</si>
  <si>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</si>
  <si>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</si>
  <si>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</si>
  <si>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</si>
  <si>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</si>
  <si>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</si>
  <si>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</si>
  <si>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</si>
  <si>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</si>
  <si>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</si>
  <si>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</si>
  <si>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</si>
  <si>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</si>
  <si>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</si>
  <si>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</si>
  <si>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</si>
  <si>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</si>
  <si>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</si>
  <si>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</si>
  <si>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</si>
  <si>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</si>
  <si>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</si>
  <si>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</si>
  <si>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</si>
  <si>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</si>
  <si>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</si>
  <si>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</si>
  <si>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</si>
  <si>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</si>
  <si>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</si>
  <si>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</si>
  <si>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</si>
  <si>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</si>
  <si>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</si>
  <si>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</si>
  <si>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</si>
  <si>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</si>
  <si>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</si>
  <si>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</si>
  <si>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</si>
  <si>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</si>
  <si>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</si>
  <si>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</si>
  <si>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</si>
  <si>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</si>
  <si>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</si>
  <si>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</si>
  <si>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</si>
  <si>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</si>
  <si>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</si>
  <si>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</si>
  <si>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</si>
  <si>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</si>
  <si>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</si>
  <si>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</si>
  <si>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</si>
  <si>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</si>
  <si>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</si>
  <si>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</si>
  <si>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</si>
  <si>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</si>
  <si>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</si>
  <si>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</si>
  <si>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</si>
  <si>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</si>
  <si>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</si>
  <si>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</si>
  <si>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</si>
  <si>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</si>
  <si>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</si>
  <si>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</si>
  <si>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</si>
  <si>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</si>
  <si>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</si>
  <si>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</si>
  <si>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</si>
  <si>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</si>
  <si>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</si>
  <si>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</si>
  <si>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</si>
  <si>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</si>
  <si>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</si>
  <si>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</si>
  <si>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</si>
  <si>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</si>
  <si>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</si>
  <si>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</si>
  <si>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</si>
  <si>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</si>
  <si>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</si>
  <si>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</si>
  <si>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</si>
  <si>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</si>
  <si>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</si>
  <si>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</si>
  <si>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</si>
  <si>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</si>
  <si>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</si>
  <si>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</si>
  <si>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</si>
  <si>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</si>
  <si>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</si>
  <si>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</si>
  <si>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</si>
  <si>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</si>
  <si>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</si>
  <si>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</si>
  <si>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</si>
  <si>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</si>
  <si>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</si>
  <si>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</si>
  <si>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</si>
  <si>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</si>
  <si>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</si>
  <si>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</si>
  <si>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</si>
  <si>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Zedcrest Money Market Fund</t>
  </si>
  <si>
    <t>Zedcrest Investment Managers Limited</t>
  </si>
  <si>
    <t>Zedcrest Fixed Income Fund</t>
  </si>
  <si>
    <t>Zedcrest Dollar Fund</t>
  </si>
  <si>
    <t>EXCHANGE TRADED FUNDS (ETFs)</t>
  </si>
  <si>
    <t>ETFs AGGREGATE</t>
  </si>
  <si>
    <t>CardinalStone Equity Fund</t>
  </si>
  <si>
    <t>CardinalStone Dollar Fund</t>
  </si>
  <si>
    <t>AIICO Eurobond Fund</t>
  </si>
  <si>
    <t>Comercio Partners Asset Management Limited</t>
  </si>
  <si>
    <t>Comercio Partners Money Market Fund</t>
  </si>
  <si>
    <t>Comercio Partners Fixed Income Fund</t>
  </si>
  <si>
    <t>Comercio Partners Dollar Fund</t>
  </si>
  <si>
    <t>NAV, Unit Price and Yield as at Week Ended May 24, 2024</t>
  </si>
  <si>
    <t>Week Ended May 24, 2024</t>
  </si>
  <si>
    <t>WEEKLY VALUATION REPORT OF COLLECTIVE INVESTMENT SCHEMES AS AT WEEK ENDED FRIDAY, MAY 31, 2024</t>
  </si>
  <si>
    <t>NAV, Unit Price and Yield as at Week Ended May 31,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</si>
  <si>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31st May, 2024 = N1,483.482</t>
    </r>
  </si>
  <si>
    <t>STL Asset Management Limited</t>
  </si>
  <si>
    <t>STL Money Market Fund</t>
  </si>
  <si>
    <t>STL Balanced Fund</t>
  </si>
  <si>
    <t xml:space="preserve">      19,323.19 </t>
  </si>
  <si>
    <t>Week Ended May 31, 2024</t>
  </si>
  <si>
    <t>The chart above shows that the Dollar Fund category (Eurobonds and Fixed Income) has the highest share of the Aggregate Net Asset Value (NAV) at 49.07%, followed by Money Market Fund with 34.74%, Bond/Fixed Income Fund at 8.24%, Real Estate Investment Trust at 3.40%.  Next is Shari'ah Compliant Fund at 1.76%, Balanced Fund at 1.67%, Equity Fund at 0.95% and Ethical Fund at 0.17%.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</si>
</sst>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7" borderId="14" applyNumberFormat="0" applyAlignment="0" applyProtection="0"/>
    <xf numFmtId="0" fontId="36" fillId="18" borderId="15" applyNumberFormat="0" applyAlignment="0" applyProtection="0"/>
    <xf numFmtId="0" fontId="37" fillId="18" borderId="14" applyNumberFormat="0" applyAlignment="0" applyProtection="0"/>
    <xf numFmtId="0" fontId="38" fillId="0" borderId="16" applyNumberFormat="0" applyFill="0" applyAlignment="0" applyProtection="0"/>
    <xf numFmtId="0" fontId="39" fillId="19" borderId="17" applyNumberFormat="0" applyAlignment="0" applyProtection="0"/>
    <xf numFmtId="0" fontId="40" fillId="0" borderId="0" applyNumberFormat="0" applyFill="0" applyBorder="0" applyAlignment="0" applyProtection="0"/>
    <xf numFmtId="0" fontId="1" fillId="20" borderId="18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4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171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4" fontId="0" fillId="0" borderId="0" xfId="0" applyNumberFormat="1"/>
    <xf numFmtId="0" fontId="45" fillId="0" borderId="0" xfId="0" applyFont="1" applyAlignment="1">
      <alignment horizontal="right"/>
    </xf>
    <xf numFmtId="166" fontId="0" fillId="0" borderId="0" xfId="0" applyNumberFormat="1"/>
    <xf numFmtId="4" fontId="46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7" fillId="3" borderId="5" xfId="0" applyFont="1" applyFill="1" applyBorder="1" applyAlignment="1">
      <alignment horizontal="center" wrapText="1"/>
    </xf>
    <xf numFmtId="0" fontId="23" fillId="3" borderId="5" xfId="0" applyFont="1" applyFill="1" applyBorder="1"/>
    <xf numFmtId="0" fontId="19" fillId="3" borderId="5" xfId="0" applyFont="1" applyFill="1" applyBorder="1" applyAlignment="1">
      <alignment horizontal="right"/>
    </xf>
    <xf numFmtId="165" fontId="6" fillId="5" borderId="5" xfId="2" applyNumberFormat="1" applyFont="1" applyFill="1" applyBorder="1" applyAlignment="1">
      <alignment horizontal="center"/>
    </xf>
    <xf numFmtId="0" fontId="45" fillId="0" borderId="5" xfId="0" applyFont="1" applyBorder="1" applyAlignment="1">
      <alignment horizontal="right"/>
    </xf>
    <xf numFmtId="164" fontId="12" fillId="3" borderId="0" xfId="1" applyFont="1" applyFill="1" applyBorder="1" applyAlignment="1">
      <alignment horizontal="right" vertical="top" wrapText="1"/>
    </xf>
    <xf numFmtId="164" fontId="21" fillId="0" borderId="0" xfId="1" applyFont="1"/>
    <xf numFmtId="164" fontId="12" fillId="0" borderId="0" xfId="1" applyFont="1"/>
    <xf numFmtId="4" fontId="12" fillId="3" borderId="5" xfId="0" applyNumberFormat="1" applyFont="1" applyFill="1" applyBorder="1"/>
    <xf numFmtId="4" fontId="12" fillId="3" borderId="5" xfId="0" applyNumberFormat="1" applyFont="1" applyFill="1" applyBorder="1" applyAlignment="1">
      <alignment horizontal="right"/>
    </xf>
    <xf numFmtId="0" fontId="48" fillId="0" borderId="5" xfId="0" applyFont="1" applyBorder="1" applyAlignment="1">
      <alignment horizontal="right"/>
    </xf>
    <xf numFmtId="4" fontId="50" fillId="3" borderId="5" xfId="0" applyNumberFormat="1" applyFont="1" applyFill="1" applyBorder="1"/>
    <xf numFmtId="0" fontId="49" fillId="0" borderId="5" xfId="0" applyFont="1" applyBorder="1" applyAlignment="1">
      <alignment horizontal="right"/>
    </xf>
    <xf numFmtId="4" fontId="50" fillId="3" borderId="5" xfId="0" applyNumberFormat="1" applyFont="1" applyFill="1" applyBorder="1" applyAlignment="1">
      <alignment horizontal="right"/>
    </xf>
    <xf numFmtId="164" fontId="50" fillId="3" borderId="5" xfId="1" applyFont="1" applyFill="1" applyBorder="1" applyAlignment="1">
      <alignment horizontal="right" vertical="top" wrapText="1"/>
    </xf>
    <xf numFmtId="0" fontId="49" fillId="0" borderId="0" xfId="0" applyFont="1" applyAlignment="1">
      <alignment horizontal="right"/>
    </xf>
    <xf numFmtId="16" fontId="49" fillId="3" borderId="5" xfId="0" applyNumberFormat="1" applyFont="1" applyFill="1" applyBorder="1"/>
    <xf numFmtId="0" fontId="49" fillId="0" borderId="10" xfId="0" applyFont="1" applyBorder="1" applyAlignment="1">
      <alignment horizontal="right"/>
    </xf>
    <xf numFmtId="4" fontId="50" fillId="3" borderId="0" xfId="0" applyNumberFormat="1" applyFont="1" applyFill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4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left" wrapText="1"/>
    </xf>
    <xf numFmtId="49" fontId="6" fillId="0" borderId="5" xfId="0" applyNumberFormat="1" applyFont="1" applyBorder="1" applyAlignment="1">
      <alignment wrapText="1"/>
    </xf>
    <xf numFmtId="0" fontId="4" fillId="3" borderId="5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3" fillId="13" borderId="0" xfId="0" applyFont="1" applyFill="1" applyAlignment="1">
      <alignment horizontal="center" wrapText="1"/>
    </xf>
    <xf numFmtId="16" fontId="49" fillId="3" borderId="5" xfId="0" applyNumberFormat="1" applyFont="1" applyFill="1" applyBorder="1" applyAlignment="1">
      <alignment horizontal="center" wrapText="1"/>
    </xf>
    <xf numFmtId="0" fontId="49" fillId="0" borderId="5" xfId="0" applyFont="1" applyBorder="1" applyAlignment="1">
      <alignment horizontal="right" wrapText="1"/>
    </xf>
    <xf numFmtId="0" fontId="51" fillId="0" borderId="5" xfId="0" applyFont="1" applyBorder="1" applyAlignment="1">
      <alignment horizontal="right" wrapText="1"/>
    </xf>
    <xf numFmtId="164" fontId="52" fillId="0" borderId="0" xfId="1" applyFont="1"/>
    <xf numFmtId="4" fontId="52" fillId="3" borderId="5" xfId="0" applyNumberFormat="1" applyFont="1" applyFill="1" applyBorder="1"/>
    <xf numFmtId="0" fontId="51" fillId="0" borderId="5" xfId="0" applyFont="1" applyBorder="1" applyAlignment="1">
      <alignment horizontal="right"/>
    </xf>
    <xf numFmtId="4" fontId="52" fillId="3" borderId="5" xfId="0" applyNumberFormat="1" applyFont="1" applyFill="1" applyBorder="1" applyAlignment="1">
      <alignment horizontal="right"/>
    </xf>
    <xf numFmtId="164" fontId="52" fillId="3" borderId="5" xfId="1" applyFont="1" applyFill="1" applyBorder="1" applyAlignment="1">
      <alignment horizontal="right" vertical="top" wrapText="1"/>
    </xf>
    <xf numFmtId="4" fontId="50" fillId="3" borderId="0" xfId="0" applyNumberFormat="1" applyFont="1" applyFill="1" applyAlignment="1">
      <alignment horizontal="right"/>
    </xf>
    <xf numFmtId="0" fontId="39" fillId="0" borderId="0" xfId="0" applyFont="1"/>
    <xf numFmtId="16" fontId="53" fillId="3" borderId="0" xfId="0" applyNumberFormat="1" applyFont="1" applyFill="1"/>
    <xf numFmtId="164" fontId="54" fillId="0" borderId="0" xfId="1" applyFont="1"/>
    <xf numFmtId="43" fontId="54" fillId="0" borderId="0" xfId="0" applyNumberFormat="1" applyFont="1"/>
    <xf numFmtId="4" fontId="54" fillId="0" borderId="0" xfId="0" applyNumberFormat="1" applyFont="1"/>
  </cellXfs>
  <cellStyles count="60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 xr:uid="{3E2F10A3-2931-47B9-9037-A926F090663B}"/>
    <cellStyle name="60% - Accent2 2" xfId="49" xr:uid="{7FDA209E-90DD-4F22-BA51-BAAF09033C88}"/>
    <cellStyle name="60% - Accent3 2" xfId="50" xr:uid="{6559FD3E-55FB-4384-B79B-375CB83EE83A}"/>
    <cellStyle name="60% - Accent4 2" xfId="51" xr:uid="{C278CF58-7B61-4265-BD37-E951024486D1}"/>
    <cellStyle name="60% - Accent5 2" xfId="52" xr:uid="{7400C4F0-C71C-4F86-9EB1-93161B660D96}"/>
    <cellStyle name="60% - Accent6 2" xfId="53" xr:uid="{9482E2F4-C0F8-4C05-9696-FE40E0AE3EE9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 13" xfId="3" xr:uid="{00000000-0005-0000-0000-000001000000}"/>
    <cellStyle name="Comma 2" xfId="7" xr:uid="{00000000-0005-0000-0000-000002000000}"/>
    <cellStyle name="Comma 2 2" xfId="43" xr:uid="{7FDEEF4F-409F-4574-BF1F-11F6886F052E}"/>
    <cellStyle name="Comma 3" xfId="54" xr:uid="{9D6EB6E4-FDCC-4865-9F62-1335F0BDF101}"/>
    <cellStyle name="Comma 3 2" xfId="4" xr:uid="{00000000-0005-0000-0000-000003000000}"/>
    <cellStyle name="Comma 3 2 2" xfId="44" xr:uid="{0B2E002E-CCC3-4E39-B06E-0A234DE2B917}"/>
    <cellStyle name="Comma 4" xfId="9" xr:uid="{7E9A854F-1E87-4896-8102-790EF57093D9}"/>
    <cellStyle name="Comma 5" xfId="55" xr:uid="{D2975A73-C7C2-43F9-B839-6A818D0DA01D}"/>
    <cellStyle name="Comma 6" xfId="57" xr:uid="{C3684CE0-A1E3-46A2-BB48-FBDC7D9C1F4E}"/>
    <cellStyle name="Comma 8" xfId="59" xr:uid="{9F382DD6-A311-454E-98B2-DDC2BEC7740F}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 xr:uid="{4FFB5546-03D1-4007-AD06-C80F9706DDB8}"/>
    <cellStyle name="Normal" xfId="0" builtinId="0"/>
    <cellStyle name="Normal 2" xfId="8" xr:uid="{6E835889-8A32-48B2-8C41-226AFE52856D}"/>
    <cellStyle name="Normal 2 2" xfId="45" xr:uid="{AB75C98A-BA03-437B-BC9F-4D0C9A93CC4B}"/>
    <cellStyle name="Normal 27 2" xfId="6" xr:uid="{00000000-0005-0000-0000-000005000000}"/>
    <cellStyle name="Note" xfId="22" builtinId="10" customBuiltin="1"/>
    <cellStyle name="Output" xfId="17" builtinId="21" customBuiltin="1"/>
    <cellStyle name="Percent" xfId="2" builtinId="5"/>
    <cellStyle name="Percent 2 2" xfId="5" xr:uid="{00000000-0005-0000-0000-000007000000}"/>
    <cellStyle name="Percent 5" xfId="56" xr:uid="{D11B0100-E898-4AB2-A152-5E22447C24BA}"/>
    <cellStyle name="Percent 6" xfId="58" xr:uid="{80D5C716-5C3E-47A5-972E-C7B1C79EA500}"/>
    <cellStyle name="Title 2" xfId="46" xr:uid="{75225FE6-AD44-4FD3-AD7C-4F10A4B75329}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May 24,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26.745861363273004</c:v>
                </c:pt>
                <c:pt idx="1">
                  <c:v>984.56612172851305</c:v>
                </c:pt>
                <c:pt idx="2">
                  <c:v>239.7472082621791</c:v>
                </c:pt>
                <c:pt idx="3">
                  <c:v>1403.9426416315687</c:v>
                </c:pt>
                <c:pt idx="4">
                  <c:v>98.590301385434415</c:v>
                </c:pt>
                <c:pt idx="5" formatCode="_-* #,##0.00_-;\-* #,##0.00_-;_-* &quot;-&quot;??_-;_-@_-">
                  <c:v>47.384871316741325</c:v>
                </c:pt>
                <c:pt idx="6">
                  <c:v>4.7632378417700005</c:v>
                </c:pt>
                <c:pt idx="7">
                  <c:v>50.977525627555075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May 31,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27.6542160115843</c:v>
                </c:pt>
                <c:pt idx="1">
                  <c:v>1008.1575286280232</c:v>
                </c:pt>
                <c:pt idx="2">
                  <c:v>239.13905996020239</c:v>
                </c:pt>
                <c:pt idx="3">
                  <c:v>1423.9851130769678</c:v>
                </c:pt>
                <c:pt idx="4">
                  <c:v>98.591493716940278</c:v>
                </c:pt>
                <c:pt idx="5" formatCode="_-* #,##0.00_-;\-* #,##0.00_-;_-* &quot;-&quot;??_-;_-@_-">
                  <c:v>48.530220711204059</c:v>
                </c:pt>
                <c:pt idx="6">
                  <c:v>4.90875028525</c:v>
                </c:pt>
                <c:pt idx="7">
                  <c:v>51.193488214241377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31ST MAY,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52536576715378"/>
          <c:y val="0.14742728847951844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31-May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2.6526971099187786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1.8232066883237173E-2"/>
                  <c:y val="3.1761457967088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4908750285.25</c:v>
                </c:pt>
                <c:pt idx="1">
                  <c:v>27654216011.584301</c:v>
                </c:pt>
                <c:pt idx="2" formatCode="_-* #,##0.00_-;\-* #,##0.00_-;_-* &quot;-&quot;??_-;_-@_-">
                  <c:v>48530220711.204056</c:v>
                </c:pt>
                <c:pt idx="3">
                  <c:v>51193488214.241379</c:v>
                </c:pt>
                <c:pt idx="4">
                  <c:v>98591493716.940277</c:v>
                </c:pt>
                <c:pt idx="5">
                  <c:v>239139059960.20239</c:v>
                </c:pt>
                <c:pt idx="6">
                  <c:v>1008157528628.0232</c:v>
                </c:pt>
                <c:pt idx="7">
                  <c:v>1423985113076.9678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45394</c:v>
                </c:pt>
                <c:pt idx="1">
                  <c:v>45401</c:v>
                </c:pt>
                <c:pt idx="2">
                  <c:v>45408</c:v>
                </c:pt>
                <c:pt idx="3">
                  <c:v>45415</c:v>
                </c:pt>
                <c:pt idx="4">
                  <c:v>45422</c:v>
                </c:pt>
                <c:pt idx="5">
                  <c:v>45429</c:v>
                </c:pt>
                <c:pt idx="6">
                  <c:v>45436</c:v>
                </c:pt>
                <c:pt idx="7">
                  <c:v>45443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2515.3217074592571</c:v>
                </c:pt>
                <c:pt idx="1">
                  <c:v>2510.7979153396032</c:v>
                </c:pt>
                <c:pt idx="2">
                  <c:v>2662.1939749035823</c:v>
                </c:pt>
                <c:pt idx="3">
                  <c:v>2732.0956989192559</c:v>
                </c:pt>
                <c:pt idx="4">
                  <c:v>2805.3798287181139</c:v>
                </c:pt>
                <c:pt idx="5">
                  <c:v>2882.6977794869722</c:v>
                </c:pt>
                <c:pt idx="6">
                  <c:v>2856.7177691570346</c:v>
                </c:pt>
                <c:pt idx="7">
                  <c:v>2902.1598706044138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45394</c:v>
                </c:pt>
                <c:pt idx="1">
                  <c:v>45401</c:v>
                </c:pt>
                <c:pt idx="2">
                  <c:v>45408</c:v>
                </c:pt>
                <c:pt idx="3">
                  <c:v>45415</c:v>
                </c:pt>
                <c:pt idx="4">
                  <c:v>45422</c:v>
                </c:pt>
                <c:pt idx="5">
                  <c:v>45429</c:v>
                </c:pt>
                <c:pt idx="6">
                  <c:v>45436</c:v>
                </c:pt>
                <c:pt idx="7">
                  <c:v>45443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13.204581677229028</c:v>
                </c:pt>
                <c:pt idx="1">
                  <c:v>12.730402807627465</c:v>
                </c:pt>
                <c:pt idx="2">
                  <c:v>12.735357486958618</c:v>
                </c:pt>
                <c:pt idx="3">
                  <c:v>13.067918239830002</c:v>
                </c:pt>
                <c:pt idx="4">
                  <c:v>13.03449671834</c:v>
                </c:pt>
                <c:pt idx="5">
                  <c:v>13.029745632197505</c:v>
                </c:pt>
                <c:pt idx="6">
                  <c:v>12.86344406107283</c:v>
                </c:pt>
                <c:pt idx="7">
                  <c:v>13.116887577834783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B11-8A27-E544860A68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310515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18</xdr:row>
      <xdr:rowOff>181841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845486-119B-33F4-4827-DA39EBDC8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219"/>
  <sheetViews>
    <sheetView tabSelected="1" zoomScaleNormal="100" workbookViewId="0">
      <pane ySplit="3" topLeftCell="A4" activePane="bottomLeft" state="frozen"/>
      <selection activeCell="H6" sqref="H6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47" t="s">
        <v>275</v>
      </c>
      <c r="B1" s="148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50"/>
    </row>
    <row r="2" spans="1:25" ht="15" customHeight="1">
      <c r="A2" s="1"/>
      <c r="B2" s="1"/>
      <c r="C2" s="1"/>
      <c r="D2" s="153" t="s">
        <v>273</v>
      </c>
      <c r="E2" s="154"/>
      <c r="F2" s="154"/>
      <c r="G2" s="154"/>
      <c r="H2" s="154"/>
      <c r="I2" s="154"/>
      <c r="J2" s="155"/>
      <c r="K2" s="153" t="s">
        <v>276</v>
      </c>
      <c r="L2" s="154"/>
      <c r="M2" s="154"/>
      <c r="N2" s="154"/>
      <c r="O2" s="154"/>
      <c r="P2" s="154"/>
      <c r="Q2" s="155"/>
      <c r="R2" s="153" t="s">
        <v>0</v>
      </c>
      <c r="S2" s="154"/>
      <c r="T2" s="155"/>
      <c r="U2" s="151" t="s">
        <v>1</v>
      </c>
      <c r="V2" s="151"/>
    </row>
    <row r="3" spans="1:25" ht="25.5">
      <c r="A3" s="82" t="s">
        <v>2</v>
      </c>
      <c r="B3" s="82" t="s">
        <v>3</v>
      </c>
      <c r="C3" s="76" t="s">
        <v>4</v>
      </c>
      <c r="D3" s="77" t="s">
        <v>5</v>
      </c>
      <c r="E3" s="78" t="s">
        <v>6</v>
      </c>
      <c r="F3" s="78" t="s">
        <v>7</v>
      </c>
      <c r="G3" s="78" t="s">
        <v>8</v>
      </c>
      <c r="H3" s="78" t="s">
        <v>229</v>
      </c>
      <c r="I3" s="78" t="s">
        <v>9</v>
      </c>
      <c r="J3" s="78" t="s">
        <v>10</v>
      </c>
      <c r="K3" s="79" t="s">
        <v>5</v>
      </c>
      <c r="L3" s="78" t="s">
        <v>6</v>
      </c>
      <c r="M3" s="78" t="s">
        <v>7</v>
      </c>
      <c r="N3" s="78" t="s">
        <v>8</v>
      </c>
      <c r="O3" s="78" t="s">
        <v>229</v>
      </c>
      <c r="P3" s="78" t="s">
        <v>9</v>
      </c>
      <c r="Q3" s="78" t="s">
        <v>10</v>
      </c>
      <c r="R3" s="77" t="s">
        <v>11</v>
      </c>
      <c r="S3" s="78" t="s">
        <v>12</v>
      </c>
      <c r="T3" s="78" t="s">
        <v>235</v>
      </c>
      <c r="U3" s="78" t="s">
        <v>13</v>
      </c>
      <c r="V3" s="78" t="s">
        <v>14</v>
      </c>
    </row>
    <row r="4" spans="1:25" ht="7.5" customHeight="1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</row>
    <row r="5" spans="1:25" ht="15" customHeight="1">
      <c r="A5" s="144" t="s">
        <v>15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</row>
    <row r="6" spans="1:25">
      <c r="A6" s="75">
        <v>1</v>
      </c>
      <c r="B6" s="138" t="s">
        <v>16</v>
      </c>
      <c r="C6" s="139" t="s">
        <v>17</v>
      </c>
      <c r="D6" s="2">
        <v>1036608409.29</v>
      </c>
      <c r="E6" s="3">
        <f t="shared" ref="E6:E22" si="0">(D6/$D$23)</f>
        <v>3.8757712649832785E-2</v>
      </c>
      <c r="F6" s="8">
        <v>313.23419999999999</v>
      </c>
      <c r="G6" s="8">
        <v>313.23419999999999</v>
      </c>
      <c r="H6" s="60">
        <v>1739</v>
      </c>
      <c r="I6" s="5">
        <v>-1.23E-2</v>
      </c>
      <c r="J6" s="5">
        <v>4.6699999999999998E-2</v>
      </c>
      <c r="K6" s="2">
        <v>1091528878.0799999</v>
      </c>
      <c r="L6" s="3">
        <f>(K6/$K$23)</f>
        <v>3.9470613725688712E-2</v>
      </c>
      <c r="M6" s="8">
        <v>329.51190000000003</v>
      </c>
      <c r="N6" s="8">
        <v>329.51190000000003</v>
      </c>
      <c r="O6" s="60">
        <v>1739</v>
      </c>
      <c r="P6" s="5">
        <v>5.1999999999999998E-2</v>
      </c>
      <c r="Q6" s="5">
        <v>9.9199999999999997E-2</v>
      </c>
      <c r="R6" s="80">
        <f>((K6-D6)/D6)</f>
        <v>5.2980921530065936E-2</v>
      </c>
      <c r="S6" s="80">
        <f>((N6-G6)/G6)</f>
        <v>5.1966547714138618E-2</v>
      </c>
      <c r="T6" s="80">
        <f>((O6-H6)/H6)</f>
        <v>0</v>
      </c>
      <c r="U6" s="81">
        <f>P6-I6</f>
        <v>6.4299999999999996E-2</v>
      </c>
      <c r="V6" s="83">
        <f>Q6-J6</f>
        <v>5.2499999999999998E-2</v>
      </c>
    </row>
    <row r="7" spans="1:25">
      <c r="A7" s="75">
        <v>2</v>
      </c>
      <c r="B7" s="138" t="s">
        <v>18</v>
      </c>
      <c r="C7" s="139" t="s">
        <v>19</v>
      </c>
      <c r="D7" s="4">
        <v>579603911.42999995</v>
      </c>
      <c r="E7" s="3">
        <f t="shared" si="0"/>
        <v>2.1670788745876884E-2</v>
      </c>
      <c r="F7" s="4">
        <v>214.09899999999999</v>
      </c>
      <c r="G7" s="4">
        <v>216.6112</v>
      </c>
      <c r="H7" s="60">
        <v>394</v>
      </c>
      <c r="I7" s="5">
        <v>-2.8040000000000001E-3</v>
      </c>
      <c r="J7" s="5">
        <v>0.1067</v>
      </c>
      <c r="K7" s="4">
        <v>600357653.52999997</v>
      </c>
      <c r="L7" s="3">
        <f t="shared" ref="L7:L22" si="1">(K7/$K$23)</f>
        <v>2.1709443987799591E-2</v>
      </c>
      <c r="M7" s="4">
        <v>221.7773</v>
      </c>
      <c r="N7" s="4">
        <v>224.3596</v>
      </c>
      <c r="O7" s="60">
        <v>397</v>
      </c>
      <c r="P7" s="5">
        <v>8.6119999999999999E-3</v>
      </c>
      <c r="Q7" s="5">
        <v>0.1464</v>
      </c>
      <c r="R7" s="80">
        <f t="shared" ref="R7:R23" si="2">((K7-D7)/D7)</f>
        <v>3.5806766812177558E-2</v>
      </c>
      <c r="S7" s="80">
        <f t="shared" ref="S7:S23" si="3">((N7-G7)/G7)</f>
        <v>3.5771003530750044E-2</v>
      </c>
      <c r="T7" s="80">
        <f t="shared" ref="T7:T23" si="4">((O7-H7)/H7)</f>
        <v>7.6142131979695434E-3</v>
      </c>
      <c r="U7" s="81">
        <f t="shared" ref="U7:U23" si="5">P7-I7</f>
        <v>1.1415999999999999E-2</v>
      </c>
      <c r="V7" s="83">
        <f t="shared" ref="V7:V23" si="6">Q7-J7</f>
        <v>3.9699999999999999E-2</v>
      </c>
    </row>
    <row r="8" spans="1:25">
      <c r="A8" s="75">
        <v>3</v>
      </c>
      <c r="B8" s="138" t="s">
        <v>20</v>
      </c>
      <c r="C8" s="139" t="s">
        <v>21</v>
      </c>
      <c r="D8" s="4">
        <v>3827308550.1900001</v>
      </c>
      <c r="E8" s="3">
        <f t="shared" si="0"/>
        <v>0.14309909477978527</v>
      </c>
      <c r="F8" s="4">
        <v>35.498100000000001</v>
      </c>
      <c r="G8" s="4">
        <v>36.568399999999997</v>
      </c>
      <c r="H8" s="62">
        <v>6466</v>
      </c>
      <c r="I8" s="6">
        <v>-0.53190000000000004</v>
      </c>
      <c r="J8" s="6">
        <v>0.40889999999999999</v>
      </c>
      <c r="K8" s="4">
        <v>3888961497.1100001</v>
      </c>
      <c r="L8" s="3">
        <f t="shared" si="1"/>
        <v>0.14062815939099199</v>
      </c>
      <c r="M8" s="4">
        <v>36.084000000000003</v>
      </c>
      <c r="N8" s="4">
        <v>37.171900000000001</v>
      </c>
      <c r="O8" s="62">
        <v>6482</v>
      </c>
      <c r="P8" s="6">
        <v>0.8629</v>
      </c>
      <c r="Q8" s="6">
        <v>0.43619999999999998</v>
      </c>
      <c r="R8" s="80">
        <f t="shared" si="2"/>
        <v>1.6108695212707483E-2</v>
      </c>
      <c r="S8" s="80">
        <f t="shared" si="3"/>
        <v>1.6503319806171556E-2</v>
      </c>
      <c r="T8" s="80">
        <f t="shared" si="4"/>
        <v>2.4744819053510673E-3</v>
      </c>
      <c r="U8" s="81">
        <f t="shared" si="5"/>
        <v>1.3948</v>
      </c>
      <c r="V8" s="83">
        <f t="shared" si="6"/>
        <v>2.7299999999999991E-2</v>
      </c>
      <c r="X8" s="102"/>
      <c r="Y8" s="102"/>
    </row>
    <row r="9" spans="1:25">
      <c r="A9" s="75">
        <v>4</v>
      </c>
      <c r="B9" s="138" t="s">
        <v>22</v>
      </c>
      <c r="C9" s="139" t="s">
        <v>23</v>
      </c>
      <c r="D9" s="4">
        <v>600517924.10000002</v>
      </c>
      <c r="E9" s="3">
        <f t="shared" si="0"/>
        <v>2.2452741975422852E-2</v>
      </c>
      <c r="F9" s="4">
        <v>195.36</v>
      </c>
      <c r="G9" s="4">
        <v>195.36</v>
      </c>
      <c r="H9" s="60">
        <v>1773</v>
      </c>
      <c r="I9" s="5">
        <v>-1.3599999999999999E-2</v>
      </c>
      <c r="J9" s="5">
        <v>0.13730000000000001</v>
      </c>
      <c r="K9" s="4">
        <v>616731617.30999994</v>
      </c>
      <c r="L9" s="3">
        <f t="shared" si="1"/>
        <v>2.2301540461376747E-2</v>
      </c>
      <c r="M9" s="4">
        <v>200.09809999999999</v>
      </c>
      <c r="N9" s="4">
        <v>200.09809999999999</v>
      </c>
      <c r="O9" s="60">
        <v>1773</v>
      </c>
      <c r="P9" s="5">
        <v>2.4299999999999999E-2</v>
      </c>
      <c r="Q9" s="5">
        <v>0.16059999999999999</v>
      </c>
      <c r="R9" s="80">
        <f t="shared" si="2"/>
        <v>2.6999515850088043E-2</v>
      </c>
      <c r="S9" s="80">
        <f t="shared" si="3"/>
        <v>2.4253173628173495E-2</v>
      </c>
      <c r="T9" s="80">
        <f t="shared" si="4"/>
        <v>0</v>
      </c>
      <c r="U9" s="81">
        <f t="shared" si="5"/>
        <v>3.7899999999999996E-2</v>
      </c>
      <c r="V9" s="83">
        <f t="shared" si="6"/>
        <v>2.3299999999999987E-2</v>
      </c>
    </row>
    <row r="10" spans="1:25">
      <c r="A10" s="75">
        <v>5</v>
      </c>
      <c r="B10" s="138" t="s">
        <v>266</v>
      </c>
      <c r="C10" s="139" t="s">
        <v>99</v>
      </c>
      <c r="D10" s="4">
        <v>552752358.13999999</v>
      </c>
      <c r="E10" s="3">
        <f t="shared" si="0"/>
        <v>2.066683703442174E-2</v>
      </c>
      <c r="F10" s="4">
        <v>0.81479999999999997</v>
      </c>
      <c r="G10" s="4">
        <v>0.82110000000000005</v>
      </c>
      <c r="H10" s="60">
        <v>544</v>
      </c>
      <c r="I10" s="5">
        <v>-3.49E-2</v>
      </c>
      <c r="J10" s="5">
        <v>-0.18140000000000001</v>
      </c>
      <c r="K10" s="4">
        <v>598630566.21000004</v>
      </c>
      <c r="L10" s="3">
        <f t="shared" si="1"/>
        <v>2.1646991039602596E-2</v>
      </c>
      <c r="M10" s="4">
        <v>0.876</v>
      </c>
      <c r="N10" s="4">
        <v>0.88290000000000002</v>
      </c>
      <c r="O10" s="60">
        <v>543</v>
      </c>
      <c r="P10" s="5">
        <v>8.3000000000000004E-2</v>
      </c>
      <c r="Q10" s="5">
        <v>-0.1198</v>
      </c>
      <c r="R10" s="80">
        <f t="shared" ref="R10" si="7">((K10-D10)/D10)</f>
        <v>8.2999570050463919E-2</v>
      </c>
      <c r="S10" s="80">
        <f t="shared" ref="S10" si="8">((N10-G10)/G10)</f>
        <v>7.5264888564121252E-2</v>
      </c>
      <c r="T10" s="80">
        <f t="shared" ref="T10" si="9">((O10-H10)/H10)</f>
        <v>-1.838235294117647E-3</v>
      </c>
      <c r="U10" s="81">
        <f t="shared" ref="U10" si="10">P10-I10</f>
        <v>0.1179</v>
      </c>
      <c r="V10" s="83">
        <f t="shared" ref="V10" si="11">Q10-J10</f>
        <v>6.1600000000000002E-2</v>
      </c>
    </row>
    <row r="11" spans="1:25">
      <c r="A11" s="75">
        <v>6</v>
      </c>
      <c r="B11" s="138" t="s">
        <v>24</v>
      </c>
      <c r="C11" s="139" t="s">
        <v>25</v>
      </c>
      <c r="D11" s="7">
        <v>85288502.049999997</v>
      </c>
      <c r="E11" s="3">
        <f t="shared" si="0"/>
        <v>3.1888485807795605E-3</v>
      </c>
      <c r="F11" s="4">
        <v>151.62049999999999</v>
      </c>
      <c r="G11" s="4">
        <v>152.11940000000001</v>
      </c>
      <c r="H11" s="62">
        <v>90</v>
      </c>
      <c r="I11" s="6">
        <v>-1.835E-3</v>
      </c>
      <c r="J11" s="6">
        <v>0.31280000000000002</v>
      </c>
      <c r="K11" s="7">
        <v>86381787.459999993</v>
      </c>
      <c r="L11" s="3">
        <f t="shared" si="1"/>
        <v>3.1236389931941959E-3</v>
      </c>
      <c r="M11" s="4">
        <v>153.61490000000001</v>
      </c>
      <c r="N11" s="4">
        <v>154.12440000000001</v>
      </c>
      <c r="O11" s="62">
        <v>91</v>
      </c>
      <c r="P11" s="6">
        <v>2.258E-3</v>
      </c>
      <c r="Q11" s="6">
        <v>0.315</v>
      </c>
      <c r="R11" s="80">
        <f t="shared" si="2"/>
        <v>1.2818672901056028E-2</v>
      </c>
      <c r="S11" s="80">
        <f t="shared" si="3"/>
        <v>1.3180435894435525E-2</v>
      </c>
      <c r="T11" s="80">
        <f t="shared" si="4"/>
        <v>1.1111111111111112E-2</v>
      </c>
      <c r="U11" s="81">
        <f t="shared" si="5"/>
        <v>4.0930000000000003E-3</v>
      </c>
      <c r="V11" s="83">
        <f t="shared" si="6"/>
        <v>2.1999999999999797E-3</v>
      </c>
    </row>
    <row r="12" spans="1:25">
      <c r="A12" s="75">
        <v>7</v>
      </c>
      <c r="B12" s="138" t="s">
        <v>26</v>
      </c>
      <c r="C12" s="139" t="s">
        <v>27</v>
      </c>
      <c r="D12" s="4">
        <v>1011998153.74</v>
      </c>
      <c r="E12" s="3">
        <f t="shared" si="0"/>
        <v>3.783756073489785E-2</v>
      </c>
      <c r="F12" s="4">
        <v>271.02999999999997</v>
      </c>
      <c r="G12" s="4">
        <v>274.72000000000003</v>
      </c>
      <c r="H12" s="62">
        <v>1616</v>
      </c>
      <c r="I12" s="6">
        <v>-7.3000000000000001E-3</v>
      </c>
      <c r="J12" s="6">
        <v>8.9899999999999994E-2</v>
      </c>
      <c r="K12" s="4">
        <v>1022549001.22</v>
      </c>
      <c r="L12" s="3">
        <f t="shared" si="1"/>
        <v>3.6976242638433722E-2</v>
      </c>
      <c r="M12" s="4">
        <v>274.7</v>
      </c>
      <c r="N12" s="4">
        <v>278.45999999999998</v>
      </c>
      <c r="O12" s="62">
        <v>1618</v>
      </c>
      <c r="P12" s="6">
        <v>1.3599999999999999E-2</v>
      </c>
      <c r="Q12" s="6">
        <v>0.1046</v>
      </c>
      <c r="R12" s="80">
        <f t="shared" si="2"/>
        <v>1.0425757637015132E-2</v>
      </c>
      <c r="S12" s="80">
        <f t="shared" si="3"/>
        <v>1.3613861386138439E-2</v>
      </c>
      <c r="T12" s="80">
        <f t="shared" si="4"/>
        <v>1.2376237623762376E-3</v>
      </c>
      <c r="U12" s="81">
        <f t="shared" si="5"/>
        <v>2.0899999999999998E-2</v>
      </c>
      <c r="V12" s="83">
        <f t="shared" si="6"/>
        <v>1.4700000000000005E-2</v>
      </c>
    </row>
    <row r="13" spans="1:25">
      <c r="A13" s="75">
        <v>8</v>
      </c>
      <c r="B13" s="138" t="s">
        <v>28</v>
      </c>
      <c r="C13" s="139" t="s">
        <v>29</v>
      </c>
      <c r="D13" s="2">
        <v>313116037.74000001</v>
      </c>
      <c r="E13" s="3">
        <f t="shared" si="0"/>
        <v>1.1707083704919149E-2</v>
      </c>
      <c r="F13" s="4">
        <v>157.29</v>
      </c>
      <c r="G13" s="4">
        <v>159.63999999999999</v>
      </c>
      <c r="H13" s="60">
        <v>2466</v>
      </c>
      <c r="I13" s="5">
        <v>-1.18E-2</v>
      </c>
      <c r="J13" s="5">
        <v>-6.2600000000000003E-2</v>
      </c>
      <c r="K13" s="2">
        <v>324208330.30000001</v>
      </c>
      <c r="L13" s="3">
        <f t="shared" si="1"/>
        <v>1.1723649304112968E-2</v>
      </c>
      <c r="M13" s="4">
        <v>162.86000000000001</v>
      </c>
      <c r="N13" s="4">
        <v>165.43</v>
      </c>
      <c r="O13" s="60">
        <v>2466</v>
      </c>
      <c r="P13" s="5">
        <v>3.5400000000000001E-2</v>
      </c>
      <c r="Q13" s="5">
        <v>-2.938E-2</v>
      </c>
      <c r="R13" s="80">
        <f t="shared" si="2"/>
        <v>3.542550116583499E-2</v>
      </c>
      <c r="S13" s="80">
        <f t="shared" si="3"/>
        <v>3.6269105487346659E-2</v>
      </c>
      <c r="T13" s="80">
        <f t="shared" si="4"/>
        <v>0</v>
      </c>
      <c r="U13" s="81">
        <f t="shared" si="5"/>
        <v>4.7199999999999999E-2</v>
      </c>
      <c r="V13" s="83">
        <f t="shared" si="6"/>
        <v>3.322E-2</v>
      </c>
    </row>
    <row r="14" spans="1:25">
      <c r="A14" s="75">
        <v>9</v>
      </c>
      <c r="B14" s="138" t="s">
        <v>30</v>
      </c>
      <c r="C14" s="139" t="s">
        <v>31</v>
      </c>
      <c r="D14" s="7">
        <v>48390122.299999997</v>
      </c>
      <c r="E14" s="3">
        <f t="shared" si="0"/>
        <v>1.8092564544004014E-3</v>
      </c>
      <c r="F14" s="4">
        <v>173.55</v>
      </c>
      <c r="G14" s="4">
        <v>178.28</v>
      </c>
      <c r="H14" s="60">
        <v>13</v>
      </c>
      <c r="I14" s="5">
        <v>-1.1000000000000001E-3</v>
      </c>
      <c r="J14" s="5">
        <v>-3.8800000000000001E-2</v>
      </c>
      <c r="K14" s="7">
        <v>50158658.369999997</v>
      </c>
      <c r="L14" s="3">
        <f t="shared" si="1"/>
        <v>1.8137797993979879E-3</v>
      </c>
      <c r="M14" s="4">
        <v>179.65</v>
      </c>
      <c r="N14" s="4">
        <v>184.62</v>
      </c>
      <c r="O14" s="60">
        <v>13</v>
      </c>
      <c r="P14" s="5">
        <v>3.5400000000000001E-2</v>
      </c>
      <c r="Q14" s="5">
        <v>-4.7999999999999996E-3</v>
      </c>
      <c r="R14" s="80">
        <f t="shared" si="2"/>
        <v>3.6547460224129261E-2</v>
      </c>
      <c r="S14" s="80">
        <f t="shared" si="3"/>
        <v>3.5562037244783504E-2</v>
      </c>
      <c r="T14" s="80">
        <f t="shared" si="4"/>
        <v>0</v>
      </c>
      <c r="U14" s="81">
        <f t="shared" si="5"/>
        <v>3.6499999999999998E-2</v>
      </c>
      <c r="V14" s="83">
        <f t="shared" si="6"/>
        <v>3.4000000000000002E-2</v>
      </c>
    </row>
    <row r="15" spans="1:25" ht="14.25" customHeight="1">
      <c r="A15" s="75">
        <v>10</v>
      </c>
      <c r="B15" s="138" t="s">
        <v>238</v>
      </c>
      <c r="C15" s="139" t="s">
        <v>32</v>
      </c>
      <c r="D15" s="2">
        <v>478016642.93300003</v>
      </c>
      <c r="E15" s="3">
        <f t="shared" si="0"/>
        <v>1.7872546202209998E-2</v>
      </c>
      <c r="F15" s="4">
        <v>1.5586</v>
      </c>
      <c r="G15" s="4">
        <v>1.6080000000000001</v>
      </c>
      <c r="H15" s="60">
        <v>443</v>
      </c>
      <c r="I15" s="5">
        <v>1.0241120041483143E-2</v>
      </c>
      <c r="J15" s="5">
        <v>-8.0309199268307152E-2</v>
      </c>
      <c r="K15" s="2">
        <v>484385878.26429999</v>
      </c>
      <c r="L15" s="3">
        <f t="shared" si="1"/>
        <v>1.7515805838118556E-2</v>
      </c>
      <c r="M15" s="4">
        <v>1.5794999999999999</v>
      </c>
      <c r="N15" s="4">
        <v>1.6296999999999999</v>
      </c>
      <c r="O15" s="60">
        <v>440</v>
      </c>
      <c r="P15" s="5">
        <v>1.3409470037212934E-2</v>
      </c>
      <c r="Q15" s="5">
        <v>-6.7976633032395206E-2</v>
      </c>
      <c r="R15" s="80">
        <f t="shared" si="2"/>
        <v>1.3324296183956691E-2</v>
      </c>
      <c r="S15" s="80">
        <f t="shared" si="3"/>
        <v>1.3495024875621785E-2</v>
      </c>
      <c r="T15" s="80">
        <f t="shared" si="4"/>
        <v>-6.7720090293453723E-3</v>
      </c>
      <c r="U15" s="81">
        <f t="shared" si="5"/>
        <v>3.1683499957297911E-3</v>
      </c>
      <c r="V15" s="83">
        <f t="shared" si="6"/>
        <v>1.2332566235911946E-2</v>
      </c>
    </row>
    <row r="16" spans="1:25">
      <c r="A16" s="75">
        <v>11</v>
      </c>
      <c r="B16" s="138" t="s">
        <v>33</v>
      </c>
      <c r="C16" s="139" t="s">
        <v>34</v>
      </c>
      <c r="D16" s="2">
        <v>1564231722.3900001</v>
      </c>
      <c r="E16" s="3">
        <f t="shared" si="0"/>
        <v>5.8485000768678873E-2</v>
      </c>
      <c r="F16" s="4">
        <v>3.17</v>
      </c>
      <c r="G16" s="4">
        <v>3.23</v>
      </c>
      <c r="H16" s="60">
        <v>3670</v>
      </c>
      <c r="I16" s="5">
        <v>-8.3000000000000001E-3</v>
      </c>
      <c r="J16" s="5">
        <v>0.1431</v>
      </c>
      <c r="K16" s="2">
        <v>1584329387.73</v>
      </c>
      <c r="L16" s="3">
        <f t="shared" si="1"/>
        <v>5.7290699800215901E-2</v>
      </c>
      <c r="M16" s="4">
        <v>3.25</v>
      </c>
      <c r="N16" s="4">
        <v>3.31</v>
      </c>
      <c r="O16" s="60">
        <v>3669</v>
      </c>
      <c r="P16" s="5">
        <v>1.5800000000000002E-2</v>
      </c>
      <c r="Q16" s="5">
        <v>0.1716</v>
      </c>
      <c r="R16" s="80">
        <f t="shared" si="2"/>
        <v>1.2848266054400532E-2</v>
      </c>
      <c r="S16" s="80">
        <f t="shared" si="3"/>
        <v>2.4767801857585162E-2</v>
      </c>
      <c r="T16" s="80">
        <f t="shared" si="4"/>
        <v>-2.7247956403269756E-4</v>
      </c>
      <c r="U16" s="81">
        <f t="shared" si="5"/>
        <v>2.4100000000000003E-2</v>
      </c>
      <c r="V16" s="83">
        <f t="shared" si="6"/>
        <v>2.8499999999999998E-2</v>
      </c>
    </row>
    <row r="17" spans="1:22">
      <c r="A17" s="75">
        <v>12</v>
      </c>
      <c r="B17" s="138" t="s">
        <v>35</v>
      </c>
      <c r="C17" s="139" t="s">
        <v>36</v>
      </c>
      <c r="D17" s="4">
        <v>564020360.12</v>
      </c>
      <c r="E17" s="3">
        <f t="shared" si="0"/>
        <v>2.1088135934724611E-2</v>
      </c>
      <c r="F17" s="4">
        <v>18.694576999999999</v>
      </c>
      <c r="G17" s="4">
        <v>18.849537000000002</v>
      </c>
      <c r="H17" s="60">
        <v>327</v>
      </c>
      <c r="I17" s="5">
        <v>5.7579970039338679E-3</v>
      </c>
      <c r="J17" s="5">
        <v>1.7814160722138483E-2</v>
      </c>
      <c r="K17" s="4">
        <v>576633552.28000009</v>
      </c>
      <c r="L17" s="3">
        <f t="shared" si="1"/>
        <v>2.0851560284278148E-2</v>
      </c>
      <c r="M17" s="4">
        <v>18.658505999999999</v>
      </c>
      <c r="N17" s="4">
        <v>18.823233999999999</v>
      </c>
      <c r="O17" s="60">
        <v>327</v>
      </c>
      <c r="P17" s="5">
        <v>5.1561958315505141E-2</v>
      </c>
      <c r="Q17" s="5">
        <v>1.6276043546067598E-2</v>
      </c>
      <c r="R17" s="80">
        <f t="shared" si="2"/>
        <v>2.2363008593016969E-2</v>
      </c>
      <c r="S17" s="80">
        <f t="shared" si="3"/>
        <v>-1.3954188901298839E-3</v>
      </c>
      <c r="T17" s="80">
        <f t="shared" si="4"/>
        <v>0</v>
      </c>
      <c r="U17" s="81">
        <f t="shared" si="5"/>
        <v>4.5803961311571273E-2</v>
      </c>
      <c r="V17" s="83">
        <f t="shared" si="6"/>
        <v>-1.5381171760708856E-3</v>
      </c>
    </row>
    <row r="18" spans="1:22">
      <c r="A18" s="75">
        <v>13</v>
      </c>
      <c r="B18" s="138" t="s">
        <v>37</v>
      </c>
      <c r="C18" s="139" t="s">
        <v>38</v>
      </c>
      <c r="D18" s="4">
        <v>332817437.16000003</v>
      </c>
      <c r="E18" s="3">
        <f t="shared" si="0"/>
        <v>1.2443698583475786E-2</v>
      </c>
      <c r="F18" s="4">
        <v>2.3932370000000001</v>
      </c>
      <c r="G18" s="4">
        <v>2.4236170000000001</v>
      </c>
      <c r="H18" s="60">
        <v>22</v>
      </c>
      <c r="I18" s="5">
        <v>-8.8000000000000092E-3</v>
      </c>
      <c r="J18" s="5">
        <v>0.1095</v>
      </c>
      <c r="K18" s="4">
        <v>343641091.33999997</v>
      </c>
      <c r="L18" s="3">
        <f t="shared" si="1"/>
        <v>1.2426354491338656E-2</v>
      </c>
      <c r="M18" s="4">
        <v>2.4710679999999998</v>
      </c>
      <c r="N18" s="4">
        <v>2.5022929999999999</v>
      </c>
      <c r="O18" s="60">
        <v>22</v>
      </c>
      <c r="P18" s="5">
        <v>2.76</v>
      </c>
      <c r="Q18" s="5">
        <v>14.56</v>
      </c>
      <c r="R18" s="80">
        <f t="shared" si="2"/>
        <v>3.252129537550804E-2</v>
      </c>
      <c r="S18" s="80">
        <f t="shared" si="3"/>
        <v>3.2462224848232926E-2</v>
      </c>
      <c r="T18" s="80">
        <f t="shared" si="4"/>
        <v>0</v>
      </c>
      <c r="U18" s="81">
        <f t="shared" si="5"/>
        <v>2.7687999999999997</v>
      </c>
      <c r="V18" s="83">
        <f t="shared" si="6"/>
        <v>14.4505</v>
      </c>
    </row>
    <row r="19" spans="1:22">
      <c r="A19" s="75">
        <v>14</v>
      </c>
      <c r="B19" s="138" t="s">
        <v>39</v>
      </c>
      <c r="C19" s="139" t="s">
        <v>40</v>
      </c>
      <c r="D19" s="2">
        <v>1367321544.54</v>
      </c>
      <c r="E19" s="3">
        <f t="shared" si="0"/>
        <v>5.1122733568700257E-2</v>
      </c>
      <c r="F19" s="4">
        <v>25.01</v>
      </c>
      <c r="G19" s="4">
        <v>25.49</v>
      </c>
      <c r="H19" s="60">
        <v>8834</v>
      </c>
      <c r="I19" s="5">
        <v>-8.5000000000000006E-3</v>
      </c>
      <c r="J19" s="5">
        <v>-6.8999999999999999E-3</v>
      </c>
      <c r="K19" s="2">
        <v>1402319291.1900001</v>
      </c>
      <c r="L19" s="3">
        <f t="shared" si="1"/>
        <v>5.0709059718148257E-2</v>
      </c>
      <c r="M19" s="4">
        <v>25.66</v>
      </c>
      <c r="N19" s="4">
        <v>26.14</v>
      </c>
      <c r="O19" s="60">
        <v>8834</v>
      </c>
      <c r="P19" s="5">
        <v>4.8899999999999999E-2</v>
      </c>
      <c r="Q19" s="5">
        <v>1.8599999999999998E-2</v>
      </c>
      <c r="R19" s="80">
        <f t="shared" si="2"/>
        <v>2.559584231650075E-2</v>
      </c>
      <c r="S19" s="80">
        <f t="shared" si="3"/>
        <v>2.5500196155355127E-2</v>
      </c>
      <c r="T19" s="80">
        <f t="shared" si="4"/>
        <v>0</v>
      </c>
      <c r="U19" s="81">
        <f t="shared" si="5"/>
        <v>5.74E-2</v>
      </c>
      <c r="V19" s="83">
        <f t="shared" si="6"/>
        <v>2.5499999999999998E-2</v>
      </c>
    </row>
    <row r="20" spans="1:22" ht="12.75" customHeight="1">
      <c r="A20" s="75">
        <v>15</v>
      </c>
      <c r="B20" s="138" t="s">
        <v>41</v>
      </c>
      <c r="C20" s="139" t="s">
        <v>42</v>
      </c>
      <c r="D20" s="2">
        <v>592735097.42999995</v>
      </c>
      <c r="E20" s="3">
        <f t="shared" si="0"/>
        <v>2.2161750163108767E-2</v>
      </c>
      <c r="F20" s="4">
        <v>5776.55</v>
      </c>
      <c r="G20" s="4">
        <v>5845.48</v>
      </c>
      <c r="H20" s="60">
        <v>21</v>
      </c>
      <c r="I20" s="5">
        <v>-4.1000000000000003E-3</v>
      </c>
      <c r="J20" s="5">
        <v>7.2999999999999995E-2</v>
      </c>
      <c r="K20" s="2">
        <v>610051362.63</v>
      </c>
      <c r="L20" s="3">
        <f t="shared" si="1"/>
        <v>2.2059976763559329E-2</v>
      </c>
      <c r="M20" s="4">
        <v>5944.99</v>
      </c>
      <c r="N20" s="4">
        <v>6016.47</v>
      </c>
      <c r="O20" s="60">
        <v>21</v>
      </c>
      <c r="P20" s="5">
        <v>2.93E-2</v>
      </c>
      <c r="Q20" s="5">
        <v>0.10440000000000001</v>
      </c>
      <c r="R20" s="80">
        <f t="shared" si="2"/>
        <v>2.9214172191052077E-2</v>
      </c>
      <c r="S20" s="80">
        <f t="shared" si="3"/>
        <v>2.9251661112517827E-2</v>
      </c>
      <c r="T20" s="80">
        <f t="shared" si="4"/>
        <v>0</v>
      </c>
      <c r="U20" s="81">
        <f t="shared" si="5"/>
        <v>3.3399999999999999E-2</v>
      </c>
      <c r="V20" s="83">
        <f t="shared" si="6"/>
        <v>3.1400000000000011E-2</v>
      </c>
    </row>
    <row r="21" spans="1:22">
      <c r="A21" s="75">
        <v>16</v>
      </c>
      <c r="B21" s="138" t="s">
        <v>43</v>
      </c>
      <c r="C21" s="139" t="s">
        <v>42</v>
      </c>
      <c r="D21" s="4">
        <v>10818719993.440001</v>
      </c>
      <c r="E21" s="3">
        <f t="shared" si="0"/>
        <v>0.40450071308214053</v>
      </c>
      <c r="F21" s="4">
        <v>18261.04</v>
      </c>
      <c r="G21" s="4">
        <v>18499.12</v>
      </c>
      <c r="H21" s="60">
        <v>17376</v>
      </c>
      <c r="I21" s="5">
        <v>-1.55E-2</v>
      </c>
      <c r="J21" s="5">
        <v>7.4000000000000003E-3</v>
      </c>
      <c r="K21" s="4">
        <v>11280080754.559999</v>
      </c>
      <c r="L21" s="3">
        <f t="shared" si="1"/>
        <v>0.4078973256676231</v>
      </c>
      <c r="M21" s="4">
        <v>19071.53</v>
      </c>
      <c r="N21" s="4" t="s">
        <v>281</v>
      </c>
      <c r="O21" s="60">
        <v>17372</v>
      </c>
      <c r="P21" s="5">
        <v>4.4499999999999998E-2</v>
      </c>
      <c r="Q21" s="5">
        <v>5.2299999999999999E-2</v>
      </c>
      <c r="R21" s="80">
        <f t="shared" si="2"/>
        <v>4.2644671587743092E-2</v>
      </c>
      <c r="S21" s="80" t="e">
        <f t="shared" si="3"/>
        <v>#VALUE!</v>
      </c>
      <c r="T21" s="80">
        <f t="shared" si="4"/>
        <v>-2.3020257826887662E-4</v>
      </c>
      <c r="U21" s="81">
        <f t="shared" si="5"/>
        <v>0.06</v>
      </c>
      <c r="V21" s="83">
        <f t="shared" si="6"/>
        <v>4.4899999999999995E-2</v>
      </c>
    </row>
    <row r="22" spans="1:22">
      <c r="A22" s="75">
        <v>17</v>
      </c>
      <c r="B22" s="139" t="s">
        <v>44</v>
      </c>
      <c r="C22" s="139" t="s">
        <v>45</v>
      </c>
      <c r="D22" s="4">
        <v>2972414596.2800002</v>
      </c>
      <c r="E22" s="3">
        <f t="shared" si="0"/>
        <v>0.11113549703662463</v>
      </c>
      <c r="F22" s="4">
        <v>1.4641</v>
      </c>
      <c r="G22" s="8">
        <v>1.4782</v>
      </c>
      <c r="H22" s="60">
        <v>3793</v>
      </c>
      <c r="I22" s="5">
        <v>-1.41E-2</v>
      </c>
      <c r="J22" s="5">
        <v>7.7200000000000005E-2</v>
      </c>
      <c r="K22" s="4">
        <v>3093266704</v>
      </c>
      <c r="L22" s="3">
        <f t="shared" si="1"/>
        <v>0.11185515809611946</v>
      </c>
      <c r="M22" s="4">
        <v>1.5274000000000001</v>
      </c>
      <c r="N22" s="8">
        <v>1.5423</v>
      </c>
      <c r="O22" s="60">
        <v>3182</v>
      </c>
      <c r="P22" s="5">
        <v>4.3200000000000002E-2</v>
      </c>
      <c r="Q22" s="5">
        <v>0.12379999999999999</v>
      </c>
      <c r="R22" s="80">
        <f t="shared" si="2"/>
        <v>4.0657890682964326E-2</v>
      </c>
      <c r="S22" s="80">
        <f t="shared" si="3"/>
        <v>4.3363550263834427E-2</v>
      </c>
      <c r="T22" s="80">
        <f t="shared" si="4"/>
        <v>-0.16108621144213023</v>
      </c>
      <c r="U22" s="81">
        <f t="shared" si="5"/>
        <v>5.7300000000000004E-2</v>
      </c>
      <c r="V22" s="83">
        <f t="shared" si="6"/>
        <v>4.6599999999999989E-2</v>
      </c>
    </row>
    <row r="23" spans="1:22">
      <c r="A23" s="75"/>
      <c r="B23" s="19"/>
      <c r="C23" s="71" t="s">
        <v>46</v>
      </c>
      <c r="D23" s="58">
        <f>SUM(D6:D22)</f>
        <v>26745861363.273003</v>
      </c>
      <c r="E23" s="100">
        <f>(D23/$D$194)</f>
        <v>9.3624444290712067E-3</v>
      </c>
      <c r="F23" s="30"/>
      <c r="G23" s="31"/>
      <c r="H23" s="65">
        <f>SUM(H6:H22)</f>
        <v>49587</v>
      </c>
      <c r="I23" s="28"/>
      <c r="J23" s="60">
        <v>0</v>
      </c>
      <c r="K23" s="58">
        <f>SUM(K6:K22)</f>
        <v>27654216011.584301</v>
      </c>
      <c r="L23" s="100">
        <f>(K23/$K$194)</f>
        <v>9.5288396382605008E-3</v>
      </c>
      <c r="M23" s="30"/>
      <c r="N23" s="31"/>
      <c r="O23" s="65">
        <f>SUM(O6:O22)</f>
        <v>48989</v>
      </c>
      <c r="P23" s="28"/>
      <c r="Q23" s="65"/>
      <c r="R23" s="80">
        <f t="shared" si="2"/>
        <v>3.3962437626280255E-2</v>
      </c>
      <c r="S23" s="80" t="e">
        <f t="shared" si="3"/>
        <v>#DIV/0!</v>
      </c>
      <c r="T23" s="80">
        <f t="shared" si="4"/>
        <v>-1.2059612398410875E-2</v>
      </c>
      <c r="U23" s="81">
        <f t="shared" si="5"/>
        <v>0</v>
      </c>
      <c r="V23" s="83">
        <f t="shared" si="6"/>
        <v>0</v>
      </c>
    </row>
    <row r="24" spans="1:22" ht="9" customHeight="1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</row>
    <row r="25" spans="1:22" ht="15" customHeight="1">
      <c r="A25" s="144" t="s">
        <v>47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</row>
    <row r="26" spans="1:22">
      <c r="A26" s="75">
        <v>18</v>
      </c>
      <c r="B26" s="138" t="s">
        <v>48</v>
      </c>
      <c r="C26" s="139" t="s">
        <v>17</v>
      </c>
      <c r="D26" s="9">
        <v>962145242.23000002</v>
      </c>
      <c r="E26" s="3">
        <f>(D26/$K$59)</f>
        <v>9.5436002302076728E-4</v>
      </c>
      <c r="F26" s="8">
        <v>100</v>
      </c>
      <c r="G26" s="8">
        <v>100</v>
      </c>
      <c r="H26" s="60">
        <v>773</v>
      </c>
      <c r="I26" s="5">
        <v>0.1401</v>
      </c>
      <c r="J26" s="5">
        <v>0.1401</v>
      </c>
      <c r="K26" s="9">
        <v>954763666.74000001</v>
      </c>
      <c r="L26" s="3">
        <f t="shared" ref="L26:L58" si="12">(K26/$K$59)</f>
        <v>9.4703817570981636E-4</v>
      </c>
      <c r="M26" s="8">
        <v>100</v>
      </c>
      <c r="N26" s="8">
        <v>100</v>
      </c>
      <c r="O26" s="60">
        <v>773</v>
      </c>
      <c r="P26" s="5">
        <v>0.17030000000000001</v>
      </c>
      <c r="Q26" s="5">
        <v>0.17030000000000001</v>
      </c>
      <c r="R26" s="80">
        <f>((K26-D26)/D26)</f>
        <v>-7.6719970811178735E-3</v>
      </c>
      <c r="S26" s="80">
        <f>((N26-G26)/G26)</f>
        <v>0</v>
      </c>
      <c r="T26" s="80">
        <f>((O26-H26)/H26)</f>
        <v>0</v>
      </c>
      <c r="U26" s="81">
        <f>P26-I26</f>
        <v>3.0200000000000005E-2</v>
      </c>
      <c r="V26" s="83">
        <f>Q26-J26</f>
        <v>3.0200000000000005E-2</v>
      </c>
    </row>
    <row r="27" spans="1:22">
      <c r="A27" s="75">
        <v>19</v>
      </c>
      <c r="B27" s="138" t="s">
        <v>49</v>
      </c>
      <c r="C27" s="139" t="s">
        <v>50</v>
      </c>
      <c r="D27" s="9">
        <v>5387142889.1700001</v>
      </c>
      <c r="E27" s="3">
        <f t="shared" ref="E27:E58" si="13">(D27/$K$59)</f>
        <v>5.343552705003583E-3</v>
      </c>
      <c r="F27" s="8">
        <v>100</v>
      </c>
      <c r="G27" s="8">
        <v>100</v>
      </c>
      <c r="H27" s="60">
        <v>1425</v>
      </c>
      <c r="I27" s="5">
        <v>0.18056900000000001</v>
      </c>
      <c r="J27" s="5">
        <v>0.18056900000000001</v>
      </c>
      <c r="K27" s="9">
        <v>5387142889.1700001</v>
      </c>
      <c r="L27" s="3">
        <f t="shared" si="12"/>
        <v>5.343552705003583E-3</v>
      </c>
      <c r="M27" s="8">
        <v>100</v>
      </c>
      <c r="N27" s="8">
        <v>100</v>
      </c>
      <c r="O27" s="60">
        <v>1443</v>
      </c>
      <c r="P27" s="5">
        <v>0.19122600000000001</v>
      </c>
      <c r="Q27" s="5">
        <v>0.19122600000000001</v>
      </c>
      <c r="R27" s="80">
        <f t="shared" ref="R27:R59" si="14">((K27-D27)/D27)</f>
        <v>0</v>
      </c>
      <c r="S27" s="80">
        <f t="shared" ref="S27:S59" si="15">((N27-G27)/G27)</f>
        <v>0</v>
      </c>
      <c r="T27" s="80">
        <f t="shared" ref="T27:T59" si="16">((O27-H27)/H27)</f>
        <v>1.2631578947368421E-2</v>
      </c>
      <c r="U27" s="81">
        <f t="shared" ref="U27:U59" si="17">P27-I27</f>
        <v>1.0657E-2</v>
      </c>
      <c r="V27" s="83">
        <f t="shared" ref="V27:V59" si="18">Q27-J27</f>
        <v>1.0657E-2</v>
      </c>
    </row>
    <row r="28" spans="1:22">
      <c r="A28" s="75">
        <v>20</v>
      </c>
      <c r="B28" s="138" t="s">
        <v>51</v>
      </c>
      <c r="C28" s="139" t="s">
        <v>19</v>
      </c>
      <c r="D28" s="9">
        <v>424038152.92000002</v>
      </c>
      <c r="E28" s="3">
        <f t="shared" si="13"/>
        <v>4.2060703895854758E-4</v>
      </c>
      <c r="F28" s="8">
        <v>100</v>
      </c>
      <c r="G28" s="8">
        <v>100</v>
      </c>
      <c r="H28" s="60">
        <v>1445</v>
      </c>
      <c r="I28" s="5">
        <v>0.15709999999999999</v>
      </c>
      <c r="J28" s="5">
        <v>0.15709999999999999</v>
      </c>
      <c r="K28" s="9">
        <v>427510376.63</v>
      </c>
      <c r="L28" s="3">
        <f t="shared" si="12"/>
        <v>4.2405116709467853E-4</v>
      </c>
      <c r="M28" s="8">
        <v>100</v>
      </c>
      <c r="N28" s="8">
        <v>100</v>
      </c>
      <c r="O28" s="60">
        <v>1476</v>
      </c>
      <c r="P28" s="5">
        <v>0.16650000000000001</v>
      </c>
      <c r="Q28" s="5">
        <v>0.16650000000000001</v>
      </c>
      <c r="R28" s="80">
        <f t="shared" si="14"/>
        <v>8.1884700376361093E-3</v>
      </c>
      <c r="S28" s="80">
        <f t="shared" si="15"/>
        <v>0</v>
      </c>
      <c r="T28" s="80">
        <f t="shared" si="16"/>
        <v>2.1453287197231833E-2</v>
      </c>
      <c r="U28" s="81">
        <f t="shared" si="17"/>
        <v>9.4000000000000195E-3</v>
      </c>
      <c r="V28" s="83">
        <f t="shared" si="18"/>
        <v>9.4000000000000195E-3</v>
      </c>
    </row>
    <row r="29" spans="1:22">
      <c r="A29" s="75">
        <v>21</v>
      </c>
      <c r="B29" s="138" t="s">
        <v>52</v>
      </c>
      <c r="C29" s="139" t="s">
        <v>21</v>
      </c>
      <c r="D29" s="9">
        <v>86821062222.979996</v>
      </c>
      <c r="E29" s="3">
        <f t="shared" si="13"/>
        <v>8.6118547704675322E-2</v>
      </c>
      <c r="F29" s="8">
        <v>1</v>
      </c>
      <c r="G29" s="8">
        <v>1</v>
      </c>
      <c r="H29" s="60">
        <v>57878</v>
      </c>
      <c r="I29" s="5">
        <v>0.1668</v>
      </c>
      <c r="J29" s="5">
        <v>0.1668</v>
      </c>
      <c r="K29" s="9">
        <v>87547101551.949997</v>
      </c>
      <c r="L29" s="3">
        <f t="shared" si="12"/>
        <v>8.6838712270582055E-2</v>
      </c>
      <c r="M29" s="8">
        <v>1</v>
      </c>
      <c r="N29" s="8">
        <v>1</v>
      </c>
      <c r="O29" s="60">
        <v>58024</v>
      </c>
      <c r="P29" s="5">
        <v>0.18720000000000001</v>
      </c>
      <c r="Q29" s="5">
        <v>0.18720000000000001</v>
      </c>
      <c r="R29" s="80">
        <f t="shared" si="14"/>
        <v>8.3624792231329261E-3</v>
      </c>
      <c r="S29" s="80">
        <f t="shared" si="15"/>
        <v>0</v>
      </c>
      <c r="T29" s="80">
        <f t="shared" si="16"/>
        <v>2.5225474273471785E-3</v>
      </c>
      <c r="U29" s="81">
        <f t="shared" si="17"/>
        <v>2.0400000000000001E-2</v>
      </c>
      <c r="V29" s="83">
        <f t="shared" si="18"/>
        <v>2.0400000000000001E-2</v>
      </c>
    </row>
    <row r="30" spans="1:22">
      <c r="A30" s="75">
        <v>22</v>
      </c>
      <c r="B30" s="138" t="s">
        <v>53</v>
      </c>
      <c r="C30" s="139" t="s">
        <v>23</v>
      </c>
      <c r="D30" s="9">
        <v>53263325138.440002</v>
      </c>
      <c r="E30" s="3">
        <f t="shared" si="13"/>
        <v>5.2832343781556393E-2</v>
      </c>
      <c r="F30" s="8">
        <v>1</v>
      </c>
      <c r="G30" s="8">
        <v>1</v>
      </c>
      <c r="H30" s="60">
        <v>27582</v>
      </c>
      <c r="I30" s="5">
        <v>0.1893</v>
      </c>
      <c r="J30" s="5">
        <v>0.1893</v>
      </c>
      <c r="K30" s="9">
        <v>55563810330.300003</v>
      </c>
      <c r="L30" s="3">
        <f t="shared" si="12"/>
        <v>5.5114214547319233E-2</v>
      </c>
      <c r="M30" s="8">
        <v>1</v>
      </c>
      <c r="N30" s="8">
        <v>1</v>
      </c>
      <c r="O30" s="60">
        <v>27675</v>
      </c>
      <c r="P30" s="5">
        <v>0.18820000000000001</v>
      </c>
      <c r="Q30" s="5">
        <v>0.18820000000000001</v>
      </c>
      <c r="R30" s="80">
        <f t="shared" si="14"/>
        <v>4.3190791898190119E-2</v>
      </c>
      <c r="S30" s="80">
        <f t="shared" si="15"/>
        <v>0</v>
      </c>
      <c r="T30" s="80">
        <f t="shared" si="16"/>
        <v>3.371764194039591E-3</v>
      </c>
      <c r="U30" s="81">
        <f t="shared" si="17"/>
        <v>-1.0999999999999899E-3</v>
      </c>
      <c r="V30" s="83">
        <f t="shared" si="18"/>
        <v>-1.0999999999999899E-3</v>
      </c>
    </row>
    <row r="31" spans="1:22" ht="15" customHeight="1">
      <c r="A31" s="75">
        <v>23</v>
      </c>
      <c r="B31" s="138" t="s">
        <v>54</v>
      </c>
      <c r="C31" s="139" t="s">
        <v>40</v>
      </c>
      <c r="D31" s="9">
        <v>9135565105.1499996</v>
      </c>
      <c r="E31" s="3">
        <f t="shared" si="13"/>
        <v>9.0616444808802512E-3</v>
      </c>
      <c r="F31" s="8">
        <v>100</v>
      </c>
      <c r="G31" s="8">
        <v>100</v>
      </c>
      <c r="H31" s="60">
        <v>2891</v>
      </c>
      <c r="I31" s="5">
        <v>0.182</v>
      </c>
      <c r="J31" s="5">
        <v>0.182</v>
      </c>
      <c r="K31" s="9">
        <v>9355085862.6200008</v>
      </c>
      <c r="L31" s="3">
        <f t="shared" si="12"/>
        <v>9.2793889813540427E-3</v>
      </c>
      <c r="M31" s="8">
        <v>100</v>
      </c>
      <c r="N31" s="8">
        <v>100</v>
      </c>
      <c r="O31" s="60">
        <v>2891</v>
      </c>
      <c r="P31" s="5">
        <v>0.18160000000000001</v>
      </c>
      <c r="Q31" s="5">
        <v>0.15090000000000001</v>
      </c>
      <c r="R31" s="80">
        <f t="shared" si="14"/>
        <v>2.4029247774311258E-2</v>
      </c>
      <c r="S31" s="80">
        <f t="shared" si="15"/>
        <v>0</v>
      </c>
      <c r="T31" s="80">
        <f t="shared" si="16"/>
        <v>0</v>
      </c>
      <c r="U31" s="81">
        <f t="shared" si="17"/>
        <v>-3.999999999999837E-4</v>
      </c>
      <c r="V31" s="83">
        <f t="shared" si="18"/>
        <v>-3.1099999999999989E-2</v>
      </c>
    </row>
    <row r="32" spans="1:22" ht="15" customHeight="1">
      <c r="A32" s="75">
        <v>24</v>
      </c>
      <c r="B32" s="138" t="s">
        <v>270</v>
      </c>
      <c r="C32" s="139" t="s">
        <v>269</v>
      </c>
      <c r="D32" s="9">
        <v>226108326.09999999</v>
      </c>
      <c r="E32" s="3">
        <f t="shared" si="13"/>
        <v>2.2427876564856412E-4</v>
      </c>
      <c r="F32" s="8">
        <v>1</v>
      </c>
      <c r="G32" s="8">
        <v>1</v>
      </c>
      <c r="H32" s="60">
        <v>62</v>
      </c>
      <c r="I32" s="5">
        <v>0.16500000000000001</v>
      </c>
      <c r="J32" s="5">
        <v>0.16500000000000001</v>
      </c>
      <c r="K32" s="9">
        <v>238483244.46000001</v>
      </c>
      <c r="L32" s="3">
        <f t="shared" si="12"/>
        <v>2.3655355208679143E-4</v>
      </c>
      <c r="M32" s="8">
        <v>1</v>
      </c>
      <c r="N32" s="8">
        <v>1</v>
      </c>
      <c r="O32" s="60">
        <v>73</v>
      </c>
      <c r="P32" s="5">
        <v>0.16500000000000001</v>
      </c>
      <c r="Q32" s="5">
        <v>0.16500000000000001</v>
      </c>
      <c r="R32" s="80">
        <f t="shared" si="14"/>
        <v>5.4730042778376106E-2</v>
      </c>
      <c r="S32" s="80">
        <f t="shared" si="15"/>
        <v>0</v>
      </c>
      <c r="T32" s="80">
        <f t="shared" si="16"/>
        <v>0.17741935483870969</v>
      </c>
      <c r="U32" s="81">
        <f t="shared" si="17"/>
        <v>0</v>
      </c>
      <c r="V32" s="83">
        <f t="shared" si="18"/>
        <v>0</v>
      </c>
    </row>
    <row r="33" spans="1:22">
      <c r="A33" s="75">
        <v>25</v>
      </c>
      <c r="B33" s="138" t="s">
        <v>55</v>
      </c>
      <c r="C33" s="139" t="s">
        <v>56</v>
      </c>
      <c r="D33" s="9">
        <v>19676229397.32</v>
      </c>
      <c r="E33" s="3">
        <f t="shared" si="13"/>
        <v>1.9517018758067398E-2</v>
      </c>
      <c r="F33" s="8">
        <v>100</v>
      </c>
      <c r="G33" s="8">
        <v>100</v>
      </c>
      <c r="H33" s="60">
        <v>2314</v>
      </c>
      <c r="I33" s="5">
        <v>0.19896732376710999</v>
      </c>
      <c r="J33" s="5">
        <v>0.19896732376710999</v>
      </c>
      <c r="K33" s="9">
        <v>19949781398.290001</v>
      </c>
      <c r="L33" s="3">
        <f t="shared" si="12"/>
        <v>1.9788357307056137E-2</v>
      </c>
      <c r="M33" s="8">
        <v>100</v>
      </c>
      <c r="N33" s="8">
        <v>100</v>
      </c>
      <c r="O33" s="60">
        <v>2370</v>
      </c>
      <c r="P33" s="5">
        <v>0.20208558215679701</v>
      </c>
      <c r="Q33" s="5">
        <v>0.20208558215679701</v>
      </c>
      <c r="R33" s="80">
        <f t="shared" si="14"/>
        <v>1.3902663739388013E-2</v>
      </c>
      <c r="S33" s="80">
        <f t="shared" si="15"/>
        <v>0</v>
      </c>
      <c r="T33" s="80">
        <f t="shared" si="16"/>
        <v>2.4200518582541054E-2</v>
      </c>
      <c r="U33" s="81">
        <f t="shared" si="17"/>
        <v>3.1182583896870175E-3</v>
      </c>
      <c r="V33" s="83">
        <f t="shared" si="18"/>
        <v>3.1182583896870175E-3</v>
      </c>
    </row>
    <row r="34" spans="1:22">
      <c r="A34" s="75">
        <v>26</v>
      </c>
      <c r="B34" s="138" t="s">
        <v>57</v>
      </c>
      <c r="C34" s="139" t="s">
        <v>58</v>
      </c>
      <c r="D34" s="9">
        <v>6781341203.0900002</v>
      </c>
      <c r="E34" s="3">
        <f t="shared" si="13"/>
        <v>6.7264698328628868E-3</v>
      </c>
      <c r="F34" s="8">
        <v>100</v>
      </c>
      <c r="G34" s="8">
        <v>100</v>
      </c>
      <c r="H34" s="60">
        <v>5973</v>
      </c>
      <c r="I34" s="5">
        <v>0.18310000000000001</v>
      </c>
      <c r="J34" s="5">
        <v>0.18310000000000001</v>
      </c>
      <c r="K34" s="9">
        <v>6938659282.4899998</v>
      </c>
      <c r="L34" s="3">
        <f t="shared" si="12"/>
        <v>6.8825149695927491E-3</v>
      </c>
      <c r="M34" s="8">
        <v>100</v>
      </c>
      <c r="N34" s="8">
        <v>100</v>
      </c>
      <c r="O34" s="60">
        <v>5987</v>
      </c>
      <c r="P34" s="5">
        <v>0.18529999999999999</v>
      </c>
      <c r="Q34" s="5">
        <v>0.18529999999999999</v>
      </c>
      <c r="R34" s="80">
        <f t="shared" si="14"/>
        <v>2.3198667444769734E-2</v>
      </c>
      <c r="S34" s="80">
        <f t="shared" si="15"/>
        <v>0</v>
      </c>
      <c r="T34" s="80">
        <f t="shared" si="16"/>
        <v>2.343880796919471E-3</v>
      </c>
      <c r="U34" s="81">
        <f t="shared" si="17"/>
        <v>2.1999999999999797E-3</v>
      </c>
      <c r="V34" s="83">
        <f t="shared" si="18"/>
        <v>2.1999999999999797E-3</v>
      </c>
    </row>
    <row r="35" spans="1:22">
      <c r="A35" s="75">
        <v>27</v>
      </c>
      <c r="B35" s="138" t="s">
        <v>59</v>
      </c>
      <c r="C35" s="139" t="s">
        <v>60</v>
      </c>
      <c r="D35" s="9">
        <v>44514190.369999997</v>
      </c>
      <c r="E35" s="3">
        <f t="shared" si="13"/>
        <v>4.4154002827889667E-5</v>
      </c>
      <c r="F35" s="8">
        <v>100</v>
      </c>
      <c r="G35" s="8">
        <v>100</v>
      </c>
      <c r="H35" s="60">
        <v>0</v>
      </c>
      <c r="I35" s="5">
        <v>0</v>
      </c>
      <c r="J35" s="5">
        <v>0</v>
      </c>
      <c r="K35" s="9">
        <v>44514190.369999997</v>
      </c>
      <c r="L35" s="3">
        <f t="shared" si="12"/>
        <v>4.4154002827889667E-5</v>
      </c>
      <c r="M35" s="8">
        <v>100</v>
      </c>
      <c r="N35" s="8">
        <v>100</v>
      </c>
      <c r="O35" s="60">
        <v>0</v>
      </c>
      <c r="P35" s="5">
        <v>0</v>
      </c>
      <c r="Q35" s="5">
        <v>0</v>
      </c>
      <c r="R35" s="80">
        <f t="shared" si="14"/>
        <v>0</v>
      </c>
      <c r="S35" s="80">
        <f t="shared" si="15"/>
        <v>0</v>
      </c>
      <c r="T35" s="80" t="e">
        <f t="shared" si="16"/>
        <v>#DIV/0!</v>
      </c>
      <c r="U35" s="81">
        <f t="shared" si="17"/>
        <v>0</v>
      </c>
      <c r="V35" s="83">
        <f t="shared" si="18"/>
        <v>0</v>
      </c>
    </row>
    <row r="36" spans="1:22">
      <c r="A36" s="75">
        <v>28</v>
      </c>
      <c r="B36" s="138" t="s">
        <v>61</v>
      </c>
      <c r="C36" s="139" t="s">
        <v>62</v>
      </c>
      <c r="D36" s="9">
        <v>5442809283.8500004</v>
      </c>
      <c r="E36" s="3">
        <f t="shared" si="13"/>
        <v>5.3987686738370998E-3</v>
      </c>
      <c r="F36" s="8">
        <v>1</v>
      </c>
      <c r="G36" s="8">
        <v>1</v>
      </c>
      <c r="H36" s="60">
        <v>2281</v>
      </c>
      <c r="I36" s="5">
        <v>0.17519999999999999</v>
      </c>
      <c r="J36" s="5">
        <v>0.17519999999999999</v>
      </c>
      <c r="K36" s="9">
        <v>5352265771.3900003</v>
      </c>
      <c r="L36" s="3">
        <f t="shared" si="12"/>
        <v>5.3089577961826732E-3</v>
      </c>
      <c r="M36" s="8">
        <v>1</v>
      </c>
      <c r="N36" s="8">
        <v>1</v>
      </c>
      <c r="O36" s="60">
        <v>2329</v>
      </c>
      <c r="P36" s="5">
        <v>0.13619999999999999</v>
      </c>
      <c r="Q36" s="5">
        <v>0.13619999999999999</v>
      </c>
      <c r="R36" s="80">
        <f t="shared" si="14"/>
        <v>-1.6635437278440444E-2</v>
      </c>
      <c r="S36" s="80">
        <f t="shared" si="15"/>
        <v>0</v>
      </c>
      <c r="T36" s="80">
        <f t="shared" si="16"/>
        <v>2.1043402016659361E-2</v>
      </c>
      <c r="U36" s="81">
        <f t="shared" si="17"/>
        <v>-3.9000000000000007E-2</v>
      </c>
      <c r="V36" s="83">
        <f t="shared" si="18"/>
        <v>-3.9000000000000007E-2</v>
      </c>
    </row>
    <row r="37" spans="1:22">
      <c r="A37" s="75">
        <v>29</v>
      </c>
      <c r="B37" s="138" t="s">
        <v>63</v>
      </c>
      <c r="C37" s="139" t="s">
        <v>64</v>
      </c>
      <c r="D37" s="9">
        <v>13628993055.940001</v>
      </c>
      <c r="E37" s="3">
        <f t="shared" si="13"/>
        <v>1.3518713761417188E-2</v>
      </c>
      <c r="F37" s="11">
        <v>100</v>
      </c>
      <c r="G37" s="11">
        <v>100</v>
      </c>
      <c r="H37" s="60">
        <v>2693</v>
      </c>
      <c r="I37" s="5">
        <v>0.15790000000000001</v>
      </c>
      <c r="J37" s="5">
        <v>0.15790000000000001</v>
      </c>
      <c r="K37" s="9">
        <v>13897295139.030001</v>
      </c>
      <c r="L37" s="3">
        <f t="shared" si="12"/>
        <v>1.3784844872350939E-2</v>
      </c>
      <c r="M37" s="11">
        <v>100</v>
      </c>
      <c r="N37" s="11">
        <v>100</v>
      </c>
      <c r="O37" s="60">
        <v>2693</v>
      </c>
      <c r="P37" s="5">
        <v>0.15959999999999999</v>
      </c>
      <c r="Q37" s="5">
        <v>0.15959999999999999</v>
      </c>
      <c r="R37" s="80">
        <f t="shared" si="14"/>
        <v>1.968612662643221E-2</v>
      </c>
      <c r="S37" s="80">
        <f t="shared" si="15"/>
        <v>0</v>
      </c>
      <c r="T37" s="80">
        <f t="shared" si="16"/>
        <v>0</v>
      </c>
      <c r="U37" s="81">
        <f t="shared" si="17"/>
        <v>1.6999999999999793E-3</v>
      </c>
      <c r="V37" s="83">
        <f t="shared" si="18"/>
        <v>1.6999999999999793E-3</v>
      </c>
    </row>
    <row r="38" spans="1:22">
      <c r="A38" s="75">
        <v>30</v>
      </c>
      <c r="B38" s="138" t="s">
        <v>65</v>
      </c>
      <c r="C38" s="139" t="s">
        <v>64</v>
      </c>
      <c r="D38" s="9">
        <v>529157263.76999998</v>
      </c>
      <c r="E38" s="3">
        <f t="shared" si="13"/>
        <v>5.2487557623074753E-4</v>
      </c>
      <c r="F38" s="11">
        <v>1000000</v>
      </c>
      <c r="G38" s="11">
        <v>1000000</v>
      </c>
      <c r="H38" s="60">
        <v>3</v>
      </c>
      <c r="I38" s="5">
        <v>0.14799999999999999</v>
      </c>
      <c r="J38" s="5">
        <v>0.14799999999999999</v>
      </c>
      <c r="K38" s="9">
        <v>530423350.06</v>
      </c>
      <c r="L38" s="3">
        <f t="shared" si="12"/>
        <v>5.2613141795592214E-4</v>
      </c>
      <c r="M38" s="11">
        <v>1000000</v>
      </c>
      <c r="N38" s="11">
        <v>1000000</v>
      </c>
      <c r="O38" s="60">
        <v>3</v>
      </c>
      <c r="P38" s="5">
        <v>0.15609999999999999</v>
      </c>
      <c r="Q38" s="5">
        <v>0.15609999999999999</v>
      </c>
      <c r="R38" s="80">
        <f t="shared" si="14"/>
        <v>2.3926465281412638E-3</v>
      </c>
      <c r="S38" s="80">
        <f t="shared" si="15"/>
        <v>0</v>
      </c>
      <c r="T38" s="80">
        <f t="shared" si="16"/>
        <v>0</v>
      </c>
      <c r="U38" s="81">
        <f t="shared" si="17"/>
        <v>8.0999999999999961E-3</v>
      </c>
      <c r="V38" s="83">
        <f t="shared" si="18"/>
        <v>8.0999999999999961E-3</v>
      </c>
    </row>
    <row r="39" spans="1:22">
      <c r="A39" s="75">
        <v>31</v>
      </c>
      <c r="B39" s="138" t="s">
        <v>66</v>
      </c>
      <c r="C39" s="139" t="s">
        <v>67</v>
      </c>
      <c r="D39" s="9">
        <v>3223742107.27</v>
      </c>
      <c r="E39" s="3">
        <f t="shared" si="13"/>
        <v>3.1976571277081184E-3</v>
      </c>
      <c r="F39" s="8">
        <v>1</v>
      </c>
      <c r="G39" s="8">
        <v>1</v>
      </c>
      <c r="H39" s="60">
        <v>516</v>
      </c>
      <c r="I39" s="5">
        <v>0.1847</v>
      </c>
      <c r="J39" s="5">
        <v>0.1847</v>
      </c>
      <c r="K39" s="9">
        <v>3312828955.5500002</v>
      </c>
      <c r="L39" s="3">
        <f t="shared" si="12"/>
        <v>3.286023127812523E-3</v>
      </c>
      <c r="M39" s="8">
        <v>1</v>
      </c>
      <c r="N39" s="8">
        <v>1</v>
      </c>
      <c r="O39" s="60">
        <v>532</v>
      </c>
      <c r="P39" s="5">
        <v>0.20960000000000001</v>
      </c>
      <c r="Q39" s="5">
        <v>0.20960000000000001</v>
      </c>
      <c r="R39" s="80">
        <f t="shared" si="14"/>
        <v>2.7634607644047151E-2</v>
      </c>
      <c r="S39" s="80">
        <f t="shared" si="15"/>
        <v>0</v>
      </c>
      <c r="T39" s="80">
        <f t="shared" si="16"/>
        <v>3.1007751937984496E-2</v>
      </c>
      <c r="U39" s="81">
        <f t="shared" si="17"/>
        <v>2.4900000000000005E-2</v>
      </c>
      <c r="V39" s="83">
        <f t="shared" si="18"/>
        <v>2.4900000000000005E-2</v>
      </c>
    </row>
    <row r="40" spans="1:22">
      <c r="A40" s="75">
        <v>32</v>
      </c>
      <c r="B40" s="138" t="s">
        <v>68</v>
      </c>
      <c r="C40" s="139" t="s">
        <v>27</v>
      </c>
      <c r="D40" s="9">
        <v>216962122712.04001</v>
      </c>
      <c r="E40" s="3">
        <f t="shared" si="13"/>
        <v>0.21520656896477125</v>
      </c>
      <c r="F40" s="8">
        <v>100</v>
      </c>
      <c r="G40" s="8">
        <v>100</v>
      </c>
      <c r="H40" s="60">
        <v>15120</v>
      </c>
      <c r="I40" s="5">
        <v>0.1973</v>
      </c>
      <c r="J40" s="5">
        <v>0.1973</v>
      </c>
      <c r="K40" s="9">
        <v>220548939522.42999</v>
      </c>
      <c r="L40" s="3">
        <f t="shared" si="12"/>
        <v>0.2187643629687214</v>
      </c>
      <c r="M40" s="8">
        <v>100</v>
      </c>
      <c r="N40" s="8">
        <v>100</v>
      </c>
      <c r="O40" s="60">
        <v>15194</v>
      </c>
      <c r="P40" s="5">
        <v>0.2006</v>
      </c>
      <c r="Q40" s="5">
        <v>0.2006</v>
      </c>
      <c r="R40" s="80">
        <f t="shared" si="14"/>
        <v>1.6531995380366635E-2</v>
      </c>
      <c r="S40" s="80">
        <f t="shared" si="15"/>
        <v>0</v>
      </c>
      <c r="T40" s="80">
        <f t="shared" si="16"/>
        <v>4.8941798941798944E-3</v>
      </c>
      <c r="U40" s="81">
        <f t="shared" si="17"/>
        <v>3.2999999999999974E-3</v>
      </c>
      <c r="V40" s="83">
        <f t="shared" si="18"/>
        <v>3.2999999999999974E-3</v>
      </c>
    </row>
    <row r="41" spans="1:22">
      <c r="A41" s="75">
        <v>33</v>
      </c>
      <c r="B41" s="138" t="s">
        <v>69</v>
      </c>
      <c r="C41" s="139" t="s">
        <v>70</v>
      </c>
      <c r="D41" s="9">
        <v>574072199.42999995</v>
      </c>
      <c r="E41" s="3">
        <f t="shared" si="13"/>
        <v>5.694270817093839E-4</v>
      </c>
      <c r="F41" s="8">
        <v>1</v>
      </c>
      <c r="G41" s="8">
        <v>1</v>
      </c>
      <c r="H41" s="61">
        <v>531</v>
      </c>
      <c r="I41" s="12">
        <v>0.14760000000000001</v>
      </c>
      <c r="J41" s="12">
        <v>0.14760000000000001</v>
      </c>
      <c r="K41" s="9">
        <v>573620900.01999998</v>
      </c>
      <c r="L41" s="3">
        <f t="shared" si="12"/>
        <v>5.6897943399840162E-4</v>
      </c>
      <c r="M41" s="8">
        <v>1</v>
      </c>
      <c r="N41" s="8">
        <v>1</v>
      </c>
      <c r="O41" s="61">
        <v>536</v>
      </c>
      <c r="P41" s="12">
        <v>0.15040000000000001</v>
      </c>
      <c r="Q41" s="12">
        <v>0.15040000000000001</v>
      </c>
      <c r="R41" s="80">
        <f t="shared" si="14"/>
        <v>-7.8613702326652424E-4</v>
      </c>
      <c r="S41" s="80">
        <f t="shared" si="15"/>
        <v>0</v>
      </c>
      <c r="T41" s="80">
        <f t="shared" si="16"/>
        <v>9.4161958568738224E-3</v>
      </c>
      <c r="U41" s="81">
        <f t="shared" si="17"/>
        <v>2.7999999999999969E-3</v>
      </c>
      <c r="V41" s="83">
        <f t="shared" si="18"/>
        <v>2.7999999999999969E-3</v>
      </c>
    </row>
    <row r="42" spans="1:22">
      <c r="A42" s="75">
        <v>34</v>
      </c>
      <c r="B42" s="138" t="s">
        <v>71</v>
      </c>
      <c r="C42" s="139" t="s">
        <v>72</v>
      </c>
      <c r="D42" s="9">
        <v>628492778.44000006</v>
      </c>
      <c r="E42" s="3">
        <f t="shared" si="13"/>
        <v>6.2340731541756216E-4</v>
      </c>
      <c r="F42" s="8">
        <v>10</v>
      </c>
      <c r="G42" s="8">
        <v>10</v>
      </c>
      <c r="H42" s="60">
        <v>357</v>
      </c>
      <c r="I42" s="5">
        <v>0.1144</v>
      </c>
      <c r="J42" s="5">
        <v>0.1144</v>
      </c>
      <c r="K42" s="9">
        <v>639335895</v>
      </c>
      <c r="L42" s="3">
        <f t="shared" si="12"/>
        <v>6.3416269466345856E-4</v>
      </c>
      <c r="M42" s="8">
        <v>10</v>
      </c>
      <c r="N42" s="8">
        <v>10</v>
      </c>
      <c r="O42" s="60">
        <v>357</v>
      </c>
      <c r="P42" s="5">
        <v>3.0000000000000001E-3</v>
      </c>
      <c r="Q42" s="5">
        <v>5.2900000000000003E-2</v>
      </c>
      <c r="R42" s="80">
        <f t="shared" si="14"/>
        <v>1.725257144069969E-2</v>
      </c>
      <c r="S42" s="80">
        <f t="shared" si="15"/>
        <v>0</v>
      </c>
      <c r="T42" s="80">
        <f t="shared" si="16"/>
        <v>0</v>
      </c>
      <c r="U42" s="81">
        <f t="shared" si="17"/>
        <v>-0.1114</v>
      </c>
      <c r="V42" s="83">
        <f t="shared" si="18"/>
        <v>-6.1499999999999999E-2</v>
      </c>
    </row>
    <row r="43" spans="1:22">
      <c r="A43" s="75">
        <v>35</v>
      </c>
      <c r="B43" s="138" t="s">
        <v>73</v>
      </c>
      <c r="C43" s="139" t="s">
        <v>74</v>
      </c>
      <c r="D43" s="9">
        <v>3122835954.4000001</v>
      </c>
      <c r="E43" s="3">
        <f t="shared" si="13"/>
        <v>3.0975674591745507E-3</v>
      </c>
      <c r="F43" s="8">
        <v>100</v>
      </c>
      <c r="G43" s="8">
        <v>100</v>
      </c>
      <c r="H43" s="60">
        <v>674</v>
      </c>
      <c r="I43" s="5">
        <v>0.17249999999999999</v>
      </c>
      <c r="J43" s="5">
        <v>0.17249999999999999</v>
      </c>
      <c r="K43" s="9">
        <v>3122835954.4000001</v>
      </c>
      <c r="L43" s="3">
        <f t="shared" si="12"/>
        <v>3.0975674591745507E-3</v>
      </c>
      <c r="M43" s="8">
        <v>100</v>
      </c>
      <c r="N43" s="8">
        <v>100</v>
      </c>
      <c r="O43" s="60">
        <v>679</v>
      </c>
      <c r="P43" s="5">
        <v>0.17169999999999999</v>
      </c>
      <c r="Q43" s="5">
        <v>0.17169999999999999</v>
      </c>
      <c r="R43" s="80">
        <f t="shared" si="14"/>
        <v>0</v>
      </c>
      <c r="S43" s="80">
        <f t="shared" si="15"/>
        <v>0</v>
      </c>
      <c r="T43" s="80">
        <f t="shared" si="16"/>
        <v>7.4183976261127599E-3</v>
      </c>
      <c r="U43" s="81">
        <f t="shared" si="17"/>
        <v>-7.9999999999999516E-4</v>
      </c>
      <c r="V43" s="83">
        <f t="shared" si="18"/>
        <v>-7.9999999999999516E-4</v>
      </c>
    </row>
    <row r="44" spans="1:22" ht="15.75" customHeight="1">
      <c r="A44" s="75">
        <v>36</v>
      </c>
      <c r="B44" s="138" t="s">
        <v>239</v>
      </c>
      <c r="C44" s="139" t="s">
        <v>32</v>
      </c>
      <c r="D44" s="9">
        <v>23212182434.813099</v>
      </c>
      <c r="E44" s="3">
        <f t="shared" si="13"/>
        <v>2.3024360554448259E-2</v>
      </c>
      <c r="F44" s="8">
        <v>1</v>
      </c>
      <c r="G44" s="8">
        <v>1</v>
      </c>
      <c r="H44" s="60">
        <v>12037</v>
      </c>
      <c r="I44" s="5">
        <v>0.18113328820062752</v>
      </c>
      <c r="J44" s="5">
        <v>0.18113328820062752</v>
      </c>
      <c r="K44" s="9">
        <v>23441948249.313</v>
      </c>
      <c r="L44" s="3">
        <f t="shared" si="12"/>
        <v>2.3252267213849577E-2</v>
      </c>
      <c r="M44" s="8">
        <v>1</v>
      </c>
      <c r="N44" s="8">
        <v>1</v>
      </c>
      <c r="O44" s="60">
        <v>12081</v>
      </c>
      <c r="P44" s="5">
        <v>0.18143936491410209</v>
      </c>
      <c r="Q44" s="5">
        <v>0.18143936491410209</v>
      </c>
      <c r="R44" s="80">
        <f t="shared" si="14"/>
        <v>9.8985011489183938E-3</v>
      </c>
      <c r="S44" s="80">
        <f t="shared" si="15"/>
        <v>0</v>
      </c>
      <c r="T44" s="80">
        <f t="shared" si="16"/>
        <v>3.6553958627565009E-3</v>
      </c>
      <c r="U44" s="81">
        <f t="shared" si="17"/>
        <v>3.0607671347457344E-4</v>
      </c>
      <c r="V44" s="83">
        <f t="shared" si="18"/>
        <v>3.0607671347457344E-4</v>
      </c>
    </row>
    <row r="45" spans="1:22">
      <c r="A45" s="75">
        <v>37</v>
      </c>
      <c r="B45" s="138" t="s">
        <v>75</v>
      </c>
      <c r="C45" s="139" t="s">
        <v>34</v>
      </c>
      <c r="D45" s="9">
        <v>3499839215.4299998</v>
      </c>
      <c r="E45" s="3">
        <f t="shared" si="13"/>
        <v>3.4715201900965267E-3</v>
      </c>
      <c r="F45" s="8">
        <v>1</v>
      </c>
      <c r="G45" s="8">
        <v>1</v>
      </c>
      <c r="H45" s="60">
        <v>910</v>
      </c>
      <c r="I45" s="5">
        <v>0.1421</v>
      </c>
      <c r="J45" s="5">
        <v>0.1421</v>
      </c>
      <c r="K45" s="9">
        <v>3513513281.3299999</v>
      </c>
      <c r="L45" s="3">
        <f t="shared" si="12"/>
        <v>3.4850836119941038E-3</v>
      </c>
      <c r="M45" s="8">
        <v>1</v>
      </c>
      <c r="N45" s="8">
        <v>1</v>
      </c>
      <c r="O45" s="60">
        <v>918</v>
      </c>
      <c r="P45" s="5">
        <v>0.14779999999999999</v>
      </c>
      <c r="Q45" s="5">
        <v>0.14779999999999999</v>
      </c>
      <c r="R45" s="80">
        <f t="shared" si="14"/>
        <v>3.9070554554947066E-3</v>
      </c>
      <c r="S45" s="80">
        <f t="shared" si="15"/>
        <v>0</v>
      </c>
      <c r="T45" s="80">
        <f t="shared" si="16"/>
        <v>8.7912087912087912E-3</v>
      </c>
      <c r="U45" s="81">
        <f t="shared" si="17"/>
        <v>5.6999999999999829E-3</v>
      </c>
      <c r="V45" s="83">
        <f t="shared" si="18"/>
        <v>5.6999999999999829E-3</v>
      </c>
    </row>
    <row r="46" spans="1:22">
      <c r="A46" s="75">
        <v>38</v>
      </c>
      <c r="B46" s="138" t="s">
        <v>76</v>
      </c>
      <c r="C46" s="139" t="s">
        <v>36</v>
      </c>
      <c r="D46" s="13">
        <v>4474901581.6199999</v>
      </c>
      <c r="E46" s="3">
        <f t="shared" si="13"/>
        <v>4.4386928178870855E-3</v>
      </c>
      <c r="F46" s="8">
        <v>10</v>
      </c>
      <c r="G46" s="8">
        <v>10</v>
      </c>
      <c r="H46" s="60">
        <v>2068</v>
      </c>
      <c r="I46" s="5">
        <v>0.20250000000000001</v>
      </c>
      <c r="J46" s="5">
        <v>0.20250000000000001</v>
      </c>
      <c r="K46" s="13">
        <v>4524033136.7700005</v>
      </c>
      <c r="L46" s="3">
        <f t="shared" si="12"/>
        <v>4.4874268239871659E-3</v>
      </c>
      <c r="M46" s="8">
        <v>10</v>
      </c>
      <c r="N46" s="8">
        <v>10</v>
      </c>
      <c r="O46" s="60">
        <v>2085</v>
      </c>
      <c r="P46" s="5">
        <v>0.20330000000000001</v>
      </c>
      <c r="Q46" s="5">
        <v>0.20330000000000001</v>
      </c>
      <c r="R46" s="80">
        <f t="shared" si="14"/>
        <v>1.09793599376132E-2</v>
      </c>
      <c r="S46" s="80">
        <f t="shared" si="15"/>
        <v>0</v>
      </c>
      <c r="T46" s="80">
        <f t="shared" si="16"/>
        <v>8.2205029013539647E-3</v>
      </c>
      <c r="U46" s="81">
        <f t="shared" si="17"/>
        <v>7.9999999999999516E-4</v>
      </c>
      <c r="V46" s="83">
        <f t="shared" si="18"/>
        <v>7.9999999999999516E-4</v>
      </c>
    </row>
    <row r="47" spans="1:22">
      <c r="A47" s="75">
        <v>39</v>
      </c>
      <c r="B47" s="138" t="s">
        <v>77</v>
      </c>
      <c r="C47" s="139" t="s">
        <v>78</v>
      </c>
      <c r="D47" s="9">
        <v>4674507763.7600002</v>
      </c>
      <c r="E47" s="3">
        <f t="shared" si="13"/>
        <v>4.6366838822514403E-3</v>
      </c>
      <c r="F47" s="8">
        <v>100</v>
      </c>
      <c r="G47" s="8">
        <v>100</v>
      </c>
      <c r="H47" s="60">
        <v>2264</v>
      </c>
      <c r="I47" s="5">
        <v>0.19570000000000001</v>
      </c>
      <c r="J47" s="5">
        <v>0.19570000000000001</v>
      </c>
      <c r="K47" s="9">
        <v>4930200616.8000002</v>
      </c>
      <c r="L47" s="3">
        <f t="shared" si="12"/>
        <v>4.8903077909951123E-3</v>
      </c>
      <c r="M47" s="8">
        <v>100</v>
      </c>
      <c r="N47" s="8">
        <v>100</v>
      </c>
      <c r="O47" s="60">
        <v>2291</v>
      </c>
      <c r="P47" s="5">
        <v>0.2001</v>
      </c>
      <c r="Q47" s="5">
        <v>0.2001</v>
      </c>
      <c r="R47" s="80">
        <f t="shared" si="14"/>
        <v>5.469941777021034E-2</v>
      </c>
      <c r="S47" s="80">
        <f t="shared" si="15"/>
        <v>0</v>
      </c>
      <c r="T47" s="80">
        <f t="shared" si="16"/>
        <v>1.1925795053003533E-2</v>
      </c>
      <c r="U47" s="81">
        <f t="shared" si="17"/>
        <v>4.3999999999999873E-3</v>
      </c>
      <c r="V47" s="83">
        <f t="shared" si="18"/>
        <v>4.3999999999999873E-3</v>
      </c>
    </row>
    <row r="48" spans="1:22">
      <c r="A48" s="75">
        <v>40</v>
      </c>
      <c r="B48" s="138" t="s">
        <v>79</v>
      </c>
      <c r="C48" s="139" t="s">
        <v>80</v>
      </c>
      <c r="D48" s="9">
        <v>155024683.59999999</v>
      </c>
      <c r="E48" s="3">
        <f t="shared" si="13"/>
        <v>1.5377029799199066E-4</v>
      </c>
      <c r="F48" s="8">
        <v>1</v>
      </c>
      <c r="G48" s="8">
        <v>1</v>
      </c>
      <c r="H48" s="60">
        <v>72</v>
      </c>
      <c r="I48" s="5">
        <v>0.223</v>
      </c>
      <c r="J48" s="5">
        <v>0.223</v>
      </c>
      <c r="K48" s="9">
        <v>156435683.66</v>
      </c>
      <c r="L48" s="3">
        <f t="shared" si="12"/>
        <v>1.5516988091423517E-4</v>
      </c>
      <c r="M48" s="8">
        <v>1</v>
      </c>
      <c r="N48" s="8">
        <v>1</v>
      </c>
      <c r="O48" s="60">
        <v>72</v>
      </c>
      <c r="P48" s="5">
        <v>0.16569999999999999</v>
      </c>
      <c r="Q48" s="5">
        <v>0.16569999999999999</v>
      </c>
      <c r="R48" s="80">
        <f t="shared" si="14"/>
        <v>9.1017767444100273E-3</v>
      </c>
      <c r="S48" s="80">
        <f t="shared" si="15"/>
        <v>0</v>
      </c>
      <c r="T48" s="80">
        <f t="shared" si="16"/>
        <v>0</v>
      </c>
      <c r="U48" s="81">
        <f t="shared" si="17"/>
        <v>-5.7300000000000018E-2</v>
      </c>
      <c r="V48" s="83">
        <f t="shared" si="18"/>
        <v>-5.7300000000000018E-2</v>
      </c>
    </row>
    <row r="49" spans="1:22">
      <c r="A49" s="75">
        <v>41</v>
      </c>
      <c r="B49" s="138" t="s">
        <v>81</v>
      </c>
      <c r="C49" s="139" t="s">
        <v>38</v>
      </c>
      <c r="D49" s="13">
        <v>762647416.62</v>
      </c>
      <c r="E49" s="3">
        <f t="shared" si="13"/>
        <v>7.5647643841718674E-4</v>
      </c>
      <c r="F49" s="8">
        <v>10</v>
      </c>
      <c r="G49" s="8">
        <v>10</v>
      </c>
      <c r="H49" s="60">
        <v>686</v>
      </c>
      <c r="I49" s="5">
        <v>0.17245456410000001</v>
      </c>
      <c r="J49" s="5">
        <v>0.17245456410000001</v>
      </c>
      <c r="K49" s="13">
        <v>873745089.62</v>
      </c>
      <c r="L49" s="3">
        <f t="shared" si="12"/>
        <v>8.6667516217337403E-4</v>
      </c>
      <c r="M49" s="8">
        <v>10</v>
      </c>
      <c r="N49" s="8">
        <v>10</v>
      </c>
      <c r="O49" s="60">
        <v>684</v>
      </c>
      <c r="P49" s="5">
        <v>0.11068608100000001</v>
      </c>
      <c r="Q49" s="5">
        <v>0.11068608100000001</v>
      </c>
      <c r="R49" s="80">
        <f t="shared" si="14"/>
        <v>0.14567370265591026</v>
      </c>
      <c r="S49" s="80">
        <f t="shared" si="15"/>
        <v>0</v>
      </c>
      <c r="T49" s="80">
        <f t="shared" si="16"/>
        <v>-2.9154518950437317E-3</v>
      </c>
      <c r="U49" s="81">
        <f t="shared" si="17"/>
        <v>-6.1768483100000007E-2</v>
      </c>
      <c r="V49" s="83">
        <f t="shared" si="18"/>
        <v>-6.1768483100000007E-2</v>
      </c>
    </row>
    <row r="50" spans="1:22">
      <c r="A50" s="75">
        <v>42</v>
      </c>
      <c r="B50" s="138" t="s">
        <v>247</v>
      </c>
      <c r="C50" s="139" t="s">
        <v>248</v>
      </c>
      <c r="D50" s="13">
        <v>590867304.70000005</v>
      </c>
      <c r="E50" s="3">
        <f t="shared" si="13"/>
        <v>5.8608628901883706E-4</v>
      </c>
      <c r="F50" s="8">
        <v>1</v>
      </c>
      <c r="G50" s="8">
        <v>1</v>
      </c>
      <c r="H50" s="60">
        <v>42</v>
      </c>
      <c r="I50" s="5">
        <v>0.19220000000000001</v>
      </c>
      <c r="J50" s="5">
        <v>0.19220000000000001</v>
      </c>
      <c r="K50" s="13">
        <v>595784952.99000001</v>
      </c>
      <c r="L50" s="3">
        <f t="shared" si="12"/>
        <v>5.9096414605045811E-4</v>
      </c>
      <c r="M50" s="8">
        <v>1</v>
      </c>
      <c r="N50" s="8">
        <v>1</v>
      </c>
      <c r="O50" s="60">
        <v>44</v>
      </c>
      <c r="P50" s="5">
        <v>0.19220000000000001</v>
      </c>
      <c r="Q50" s="5">
        <v>0.19220000000000001</v>
      </c>
      <c r="R50" s="80">
        <f t="shared" si="14"/>
        <v>8.322762574410494E-3</v>
      </c>
      <c r="S50" s="80">
        <f t="shared" si="15"/>
        <v>0</v>
      </c>
      <c r="T50" s="80">
        <f t="shared" si="16"/>
        <v>4.7619047619047616E-2</v>
      </c>
      <c r="U50" s="81">
        <f t="shared" si="17"/>
        <v>0</v>
      </c>
      <c r="V50" s="83">
        <f t="shared" si="18"/>
        <v>0</v>
      </c>
    </row>
    <row r="51" spans="1:22">
      <c r="A51" s="75">
        <v>43</v>
      </c>
      <c r="B51" s="138" t="s">
        <v>82</v>
      </c>
      <c r="C51" s="139" t="s">
        <v>42</v>
      </c>
      <c r="D51" s="9">
        <v>452263819301.71997</v>
      </c>
      <c r="E51" s="3">
        <f t="shared" si="13"/>
        <v>0.44860431674521606</v>
      </c>
      <c r="F51" s="8">
        <v>100</v>
      </c>
      <c r="G51" s="8">
        <v>100</v>
      </c>
      <c r="H51" s="60">
        <v>121476</v>
      </c>
      <c r="I51" s="5">
        <v>0.1852</v>
      </c>
      <c r="J51" s="5">
        <v>0.1852</v>
      </c>
      <c r="K51" s="9">
        <v>461335416566</v>
      </c>
      <c r="L51" s="3">
        <f t="shared" si="12"/>
        <v>0.45760251098240573</v>
      </c>
      <c r="M51" s="8">
        <v>100</v>
      </c>
      <c r="N51" s="8">
        <v>100</v>
      </c>
      <c r="O51" s="60">
        <v>122128</v>
      </c>
      <c r="P51" s="5">
        <v>0.19189999999999999</v>
      </c>
      <c r="Q51" s="5">
        <v>0.19189999999999999</v>
      </c>
      <c r="R51" s="80">
        <f t="shared" si="14"/>
        <v>2.0058198062994002E-2</v>
      </c>
      <c r="S51" s="80">
        <f t="shared" si="15"/>
        <v>0</v>
      </c>
      <c r="T51" s="80">
        <f t="shared" si="16"/>
        <v>5.3673153544733119E-3</v>
      </c>
      <c r="U51" s="81">
        <f t="shared" si="17"/>
        <v>6.6999999999999837E-3</v>
      </c>
      <c r="V51" s="83">
        <f t="shared" si="18"/>
        <v>6.6999999999999837E-3</v>
      </c>
    </row>
    <row r="52" spans="1:22">
      <c r="A52" s="75">
        <v>44</v>
      </c>
      <c r="B52" s="138" t="s">
        <v>279</v>
      </c>
      <c r="C52" s="138" t="s">
        <v>278</v>
      </c>
      <c r="D52" s="9">
        <v>0</v>
      </c>
      <c r="E52" s="3">
        <f t="shared" si="13"/>
        <v>0</v>
      </c>
      <c r="F52" s="8">
        <v>0</v>
      </c>
      <c r="G52" s="8">
        <v>0</v>
      </c>
      <c r="H52" s="60">
        <v>0</v>
      </c>
      <c r="I52" s="5">
        <v>0</v>
      </c>
      <c r="J52" s="5">
        <v>0</v>
      </c>
      <c r="K52" s="9">
        <v>158732131.41</v>
      </c>
      <c r="L52" s="3">
        <f t="shared" si="12"/>
        <v>1.5744774690718688E-4</v>
      </c>
      <c r="M52" s="8">
        <v>100</v>
      </c>
      <c r="N52" s="8">
        <v>100</v>
      </c>
      <c r="O52" s="60">
        <v>18</v>
      </c>
      <c r="P52" s="5">
        <v>0.18959999999999999</v>
      </c>
      <c r="Q52" s="5">
        <v>0.18959999999999999</v>
      </c>
      <c r="R52" s="80" t="e">
        <f t="shared" si="14"/>
        <v>#DIV/0!</v>
      </c>
      <c r="S52" s="80" t="e">
        <f t="shared" si="15"/>
        <v>#DIV/0!</v>
      </c>
      <c r="T52" s="80" t="e">
        <f t="shared" si="16"/>
        <v>#DIV/0!</v>
      </c>
      <c r="U52" s="81">
        <f t="shared" si="17"/>
        <v>0.18959999999999999</v>
      </c>
      <c r="V52" s="83">
        <f t="shared" si="18"/>
        <v>0.18959999999999999</v>
      </c>
    </row>
    <row r="53" spans="1:22">
      <c r="A53" s="75">
        <v>45</v>
      </c>
      <c r="B53" s="138" t="s">
        <v>83</v>
      </c>
      <c r="C53" s="139" t="s">
        <v>84</v>
      </c>
      <c r="D53" s="9">
        <v>3124755953.5799999</v>
      </c>
      <c r="E53" s="3">
        <f t="shared" si="13"/>
        <v>3.0994719226393156E-3</v>
      </c>
      <c r="F53" s="8">
        <v>1</v>
      </c>
      <c r="G53" s="8">
        <v>1</v>
      </c>
      <c r="H53" s="60">
        <v>339</v>
      </c>
      <c r="I53" s="5">
        <v>0.1893911848</v>
      </c>
      <c r="J53" s="5">
        <v>0.1893911848</v>
      </c>
      <c r="K53" s="9">
        <v>3280995937.3000002</v>
      </c>
      <c r="L53" s="3">
        <f t="shared" si="12"/>
        <v>3.2544476871238831E-3</v>
      </c>
      <c r="M53" s="8">
        <v>1</v>
      </c>
      <c r="N53" s="8">
        <v>1</v>
      </c>
      <c r="O53" s="60">
        <v>346</v>
      </c>
      <c r="P53" s="5">
        <v>0.19649800000000001</v>
      </c>
      <c r="Q53" s="5">
        <v>0.19649800000000001</v>
      </c>
      <c r="R53" s="80">
        <f t="shared" si="14"/>
        <v>5.0000699587754292E-2</v>
      </c>
      <c r="S53" s="80">
        <f t="shared" si="15"/>
        <v>0</v>
      </c>
      <c r="T53" s="80">
        <f t="shared" si="16"/>
        <v>2.0648967551622419E-2</v>
      </c>
      <c r="U53" s="81">
        <f t="shared" si="17"/>
        <v>7.1068152000000051E-3</v>
      </c>
      <c r="V53" s="83">
        <f t="shared" si="18"/>
        <v>7.1068152000000051E-3</v>
      </c>
    </row>
    <row r="54" spans="1:22">
      <c r="A54" s="75">
        <v>46</v>
      </c>
      <c r="B54" s="138" t="s">
        <v>85</v>
      </c>
      <c r="C54" s="139" t="s">
        <v>45</v>
      </c>
      <c r="D54" s="9">
        <v>33099618732.400002</v>
      </c>
      <c r="E54" s="3">
        <f t="shared" si="13"/>
        <v>3.2831792445615578E-2</v>
      </c>
      <c r="F54" s="8">
        <v>1</v>
      </c>
      <c r="G54" s="8">
        <v>1</v>
      </c>
      <c r="H54" s="60">
        <v>22562</v>
      </c>
      <c r="I54" s="5">
        <v>0.1666</v>
      </c>
      <c r="J54" s="5">
        <v>0.1666</v>
      </c>
      <c r="K54" s="9">
        <v>38135208770.110001</v>
      </c>
      <c r="L54" s="3">
        <f t="shared" si="12"/>
        <v>3.7826636896723144E-2</v>
      </c>
      <c r="M54" s="8">
        <v>1</v>
      </c>
      <c r="N54" s="8">
        <v>1</v>
      </c>
      <c r="O54" s="60">
        <v>23290</v>
      </c>
      <c r="P54" s="5">
        <v>0.17660000000000001</v>
      </c>
      <c r="Q54" s="5">
        <v>0.17660000000000001</v>
      </c>
      <c r="R54" s="80">
        <f t="shared" si="14"/>
        <v>0.15213438192207468</v>
      </c>
      <c r="S54" s="80">
        <f t="shared" si="15"/>
        <v>0</v>
      </c>
      <c r="T54" s="80">
        <f t="shared" si="16"/>
        <v>3.2266643028100346E-2</v>
      </c>
      <c r="U54" s="81">
        <f t="shared" si="17"/>
        <v>1.0000000000000009E-2</v>
      </c>
      <c r="V54" s="83">
        <f t="shared" si="18"/>
        <v>1.0000000000000009E-2</v>
      </c>
    </row>
    <row r="55" spans="1:22">
      <c r="A55" s="75">
        <v>47</v>
      </c>
      <c r="B55" s="138" t="s">
        <v>86</v>
      </c>
      <c r="C55" s="139" t="s">
        <v>87</v>
      </c>
      <c r="D55" s="9">
        <v>1318102522.01</v>
      </c>
      <c r="E55" s="3">
        <f t="shared" si="13"/>
        <v>1.3074370667089828E-3</v>
      </c>
      <c r="F55" s="8">
        <v>1</v>
      </c>
      <c r="G55" s="8">
        <v>1</v>
      </c>
      <c r="H55" s="60">
        <v>87</v>
      </c>
      <c r="I55" s="5">
        <v>0.1409</v>
      </c>
      <c r="J55" s="5">
        <v>0.1409</v>
      </c>
      <c r="K55" s="9">
        <v>1326103415.6300001</v>
      </c>
      <c r="L55" s="3">
        <f t="shared" si="12"/>
        <v>1.3153732209237794E-3</v>
      </c>
      <c r="M55" s="8">
        <v>1</v>
      </c>
      <c r="N55" s="8">
        <v>1</v>
      </c>
      <c r="O55" s="60">
        <v>88</v>
      </c>
      <c r="P55" s="5">
        <v>0.16270000000000001</v>
      </c>
      <c r="Q55" s="5">
        <v>0.16270000000000001</v>
      </c>
      <c r="R55" s="80">
        <f t="shared" si="14"/>
        <v>6.0700085815778631E-3</v>
      </c>
      <c r="S55" s="80">
        <f t="shared" si="15"/>
        <v>0</v>
      </c>
      <c r="T55" s="80">
        <f t="shared" si="16"/>
        <v>1.1494252873563218E-2</v>
      </c>
      <c r="U55" s="81">
        <f t="shared" si="17"/>
        <v>2.1800000000000014E-2</v>
      </c>
      <c r="V55" s="83">
        <f t="shared" si="18"/>
        <v>2.1800000000000014E-2</v>
      </c>
    </row>
    <row r="56" spans="1:22">
      <c r="A56" s="75">
        <v>48</v>
      </c>
      <c r="B56" s="138" t="s">
        <v>88</v>
      </c>
      <c r="C56" s="139" t="s">
        <v>89</v>
      </c>
      <c r="D56" s="9">
        <v>1555051248.1900001</v>
      </c>
      <c r="E56" s="3">
        <f t="shared" si="13"/>
        <v>1.5424685171039005E-3</v>
      </c>
      <c r="F56" s="8">
        <v>1</v>
      </c>
      <c r="G56" s="8">
        <v>1</v>
      </c>
      <c r="H56" s="60">
        <v>239</v>
      </c>
      <c r="I56" s="5">
        <v>0.18240000000000001</v>
      </c>
      <c r="J56" s="5">
        <v>0.18240000000000001</v>
      </c>
      <c r="K56" s="9">
        <v>1615206625.97</v>
      </c>
      <c r="L56" s="3">
        <f t="shared" si="12"/>
        <v>1.602137146332771E-3</v>
      </c>
      <c r="M56" s="8">
        <v>1</v>
      </c>
      <c r="N56" s="8">
        <v>1</v>
      </c>
      <c r="O56" s="60">
        <v>239</v>
      </c>
      <c r="P56" s="5">
        <v>0.18110000000000001</v>
      </c>
      <c r="Q56" s="5">
        <v>0.1295</v>
      </c>
      <c r="R56" s="80">
        <f t="shared" si="14"/>
        <v>3.8683855499950723E-2</v>
      </c>
      <c r="S56" s="80">
        <f t="shared" si="15"/>
        <v>0</v>
      </c>
      <c r="T56" s="80">
        <f t="shared" si="16"/>
        <v>0</v>
      </c>
      <c r="U56" s="81">
        <f t="shared" si="17"/>
        <v>-1.2999999999999956E-3</v>
      </c>
      <c r="V56" s="83">
        <f t="shared" si="18"/>
        <v>-5.2900000000000003E-2</v>
      </c>
    </row>
    <row r="57" spans="1:22">
      <c r="A57" s="75">
        <v>49</v>
      </c>
      <c r="B57" s="138" t="s">
        <v>260</v>
      </c>
      <c r="C57" s="139" t="s">
        <v>261</v>
      </c>
      <c r="D57" s="9">
        <v>630988368.66999996</v>
      </c>
      <c r="E57" s="3">
        <f t="shared" si="13"/>
        <v>6.2588271252479418E-4</v>
      </c>
      <c r="F57" s="8">
        <v>1</v>
      </c>
      <c r="G57" s="8">
        <v>1</v>
      </c>
      <c r="H57" s="60">
        <v>720</v>
      </c>
      <c r="I57" s="5">
        <v>0.17929999999999999</v>
      </c>
      <c r="J57" s="5">
        <v>0.17929999999999999</v>
      </c>
      <c r="K57" s="9">
        <v>695809605.17999995</v>
      </c>
      <c r="L57" s="3">
        <f t="shared" si="12"/>
        <v>6.9017944658600144E-4</v>
      </c>
      <c r="M57" s="8">
        <v>1</v>
      </c>
      <c r="N57" s="8">
        <v>1</v>
      </c>
      <c r="O57" s="60">
        <v>763</v>
      </c>
      <c r="P57" s="5">
        <v>0.18379999999999999</v>
      </c>
      <c r="Q57" s="5">
        <v>0.18379999999999999</v>
      </c>
      <c r="R57" s="80">
        <f t="shared" si="14"/>
        <v>0.10272968525019008</v>
      </c>
      <c r="S57" s="80">
        <f t="shared" si="15"/>
        <v>0</v>
      </c>
      <c r="T57" s="80">
        <f t="shared" si="16"/>
        <v>5.9722222222222225E-2</v>
      </c>
      <c r="U57" s="81">
        <f t="shared" si="17"/>
        <v>4.500000000000004E-3</v>
      </c>
      <c r="V57" s="83">
        <f t="shared" si="18"/>
        <v>4.500000000000004E-3</v>
      </c>
    </row>
    <row r="58" spans="1:22">
      <c r="A58" s="75">
        <v>50</v>
      </c>
      <c r="B58" s="138" t="s">
        <v>90</v>
      </c>
      <c r="C58" s="139" t="s">
        <v>91</v>
      </c>
      <c r="D58" s="9">
        <v>28370117978.490002</v>
      </c>
      <c r="E58" s="3">
        <f t="shared" si="13"/>
        <v>2.8140560550193181E-2</v>
      </c>
      <c r="F58" s="8">
        <v>1</v>
      </c>
      <c r="G58" s="8">
        <v>1</v>
      </c>
      <c r="H58" s="60">
        <v>3459</v>
      </c>
      <c r="I58" s="5">
        <v>0.18099999999999999</v>
      </c>
      <c r="J58" s="5">
        <v>0.18099999999999999</v>
      </c>
      <c r="K58" s="9">
        <v>29189996285.040001</v>
      </c>
      <c r="L58" s="3">
        <f t="shared" si="12"/>
        <v>2.895380479354645E-2</v>
      </c>
      <c r="M58" s="8">
        <v>1</v>
      </c>
      <c r="N58" s="8">
        <v>1</v>
      </c>
      <c r="O58" s="60">
        <v>3484</v>
      </c>
      <c r="P58" s="5">
        <v>0.1855</v>
      </c>
      <c r="Q58" s="5">
        <v>0.1855</v>
      </c>
      <c r="R58" s="80">
        <f t="shared" si="14"/>
        <v>2.8899361898023283E-2</v>
      </c>
      <c r="S58" s="80">
        <f t="shared" si="15"/>
        <v>0</v>
      </c>
      <c r="T58" s="80">
        <f t="shared" si="16"/>
        <v>7.2275224053194561E-3</v>
      </c>
      <c r="U58" s="81">
        <f t="shared" si="17"/>
        <v>4.500000000000004E-3</v>
      </c>
      <c r="V58" s="83">
        <f t="shared" si="18"/>
        <v>4.500000000000004E-3</v>
      </c>
    </row>
    <row r="59" spans="1:22">
      <c r="A59" s="75"/>
      <c r="B59" s="19"/>
      <c r="C59" s="71" t="s">
        <v>46</v>
      </c>
      <c r="D59" s="59">
        <f>SUM(D26:D58)</f>
        <v>984566121728.51306</v>
      </c>
      <c r="E59" s="100">
        <f>(D59/$D$194)</f>
        <v>0.34464941981966968</v>
      </c>
      <c r="F59" s="30"/>
      <c r="G59" s="11"/>
      <c r="H59" s="65">
        <f>SUM(H26:H58)</f>
        <v>289479</v>
      </c>
      <c r="I59" s="32"/>
      <c r="J59" s="32"/>
      <c r="K59" s="59">
        <f>SUM(K26:K58)</f>
        <v>1008157528628.0232</v>
      </c>
      <c r="L59" s="100">
        <f>(K59/$K$194)</f>
        <v>0.34738180306313066</v>
      </c>
      <c r="M59" s="30"/>
      <c r="N59" s="11"/>
      <c r="O59" s="65">
        <f>SUM(O26:O58)</f>
        <v>291566</v>
      </c>
      <c r="P59" s="32"/>
      <c r="Q59" s="32"/>
      <c r="R59" s="80">
        <f t="shared" si="14"/>
        <v>2.3961221474991287E-2</v>
      </c>
      <c r="S59" s="80" t="e">
        <f t="shared" si="15"/>
        <v>#DIV/0!</v>
      </c>
      <c r="T59" s="80">
        <f t="shared" si="16"/>
        <v>7.2095039709270791E-3</v>
      </c>
      <c r="U59" s="81">
        <f t="shared" si="17"/>
        <v>0</v>
      </c>
      <c r="V59" s="83">
        <f t="shared" si="18"/>
        <v>0</v>
      </c>
    </row>
    <row r="60" spans="1:22" ht="9" customHeight="1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</row>
    <row r="61" spans="1:22" ht="15" customHeight="1">
      <c r="A61" s="144" t="s">
        <v>92</v>
      </c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</row>
    <row r="62" spans="1:22">
      <c r="A62" s="75">
        <v>51</v>
      </c>
      <c r="B62" s="138" t="s">
        <v>93</v>
      </c>
      <c r="C62" s="139" t="s">
        <v>19</v>
      </c>
      <c r="D62" s="2">
        <v>461635788.77999997</v>
      </c>
      <c r="E62" s="3">
        <f>(D62/$D$97)</f>
        <v>1.9255105914525242E-3</v>
      </c>
      <c r="F62" s="14">
        <v>1.2406999999999999</v>
      </c>
      <c r="G62" s="14">
        <v>1.2406999999999999</v>
      </c>
      <c r="H62" s="60">
        <v>407</v>
      </c>
      <c r="I62" s="5">
        <v>3.2299999999999999E-4</v>
      </c>
      <c r="J62" s="5">
        <v>-3.0800000000000001E-2</v>
      </c>
      <c r="K62" s="2">
        <v>461605390.31999999</v>
      </c>
      <c r="L62" s="3">
        <f t="shared" ref="L62:L83" si="19">(K62/$K$97)</f>
        <v>1.9302801909350171E-3</v>
      </c>
      <c r="M62" s="14">
        <v>1.2413000000000001</v>
      </c>
      <c r="N62" s="14">
        <v>1.2413000000000001</v>
      </c>
      <c r="O62" s="60">
        <v>415</v>
      </c>
      <c r="P62" s="5">
        <v>4.0299999999999998E-4</v>
      </c>
      <c r="Q62" s="5">
        <v>-3.0300000000000001E-2</v>
      </c>
      <c r="R62" s="80">
        <f>((K62-D62)/D62)</f>
        <v>-6.5849443953023797E-5</v>
      </c>
      <c r="S62" s="80">
        <f>((N62-G62)/G62)</f>
        <v>4.8359796888865642E-4</v>
      </c>
      <c r="T62" s="80">
        <f>((O62-H62)/H62)</f>
        <v>1.9656019656019656E-2</v>
      </c>
      <c r="U62" s="81">
        <f>P62-I62</f>
        <v>7.9999999999999993E-5</v>
      </c>
      <c r="V62" s="83">
        <f>Q62-J62</f>
        <v>5.0000000000000044E-4</v>
      </c>
    </row>
    <row r="63" spans="1:22">
      <c r="A63" s="75">
        <v>52</v>
      </c>
      <c r="B63" s="138" t="s">
        <v>94</v>
      </c>
      <c r="C63" s="139" t="s">
        <v>21</v>
      </c>
      <c r="D63" s="2">
        <v>1409590797.3599999</v>
      </c>
      <c r="E63" s="3">
        <f>(D63/$D$97)</f>
        <v>5.8794878471265495E-3</v>
      </c>
      <c r="F63" s="14">
        <v>1.1376999999999999</v>
      </c>
      <c r="G63" s="14">
        <v>1.1376999999999999</v>
      </c>
      <c r="H63" s="60">
        <v>640</v>
      </c>
      <c r="I63" s="5">
        <v>0.1706</v>
      </c>
      <c r="J63" s="5">
        <v>-4.9000000000000002E-2</v>
      </c>
      <c r="K63" s="2">
        <v>1417322051.0799999</v>
      </c>
      <c r="L63" s="3">
        <f t="shared" si="19"/>
        <v>5.926769350502052E-3</v>
      </c>
      <c r="M63" s="14">
        <v>1.1417999999999999</v>
      </c>
      <c r="N63" s="14">
        <v>1.1417999999999999</v>
      </c>
      <c r="O63" s="60">
        <v>660</v>
      </c>
      <c r="P63" s="5">
        <v>-3.8199999999999998E-2</v>
      </c>
      <c r="Q63" s="5">
        <v>-4.9000000000000002E-2</v>
      </c>
      <c r="R63" s="80">
        <f t="shared" ref="R63:R97" si="20">((K63-D63)/D63)</f>
        <v>5.4847504215264249E-3</v>
      </c>
      <c r="S63" s="80">
        <f t="shared" ref="S63:S97" si="21">((N63-G63)/G63)</f>
        <v>3.6037619759163161E-3</v>
      </c>
      <c r="T63" s="80">
        <f t="shared" ref="T63:T97" si="22">((O63-H63)/H63)</f>
        <v>3.125E-2</v>
      </c>
      <c r="U63" s="81">
        <f t="shared" ref="U63:U97" si="23">P63-I63</f>
        <v>-0.20879999999999999</v>
      </c>
      <c r="V63" s="83">
        <f t="shared" ref="V63:V97" si="24">Q63-J63</f>
        <v>0</v>
      </c>
    </row>
    <row r="64" spans="1:22">
      <c r="A64" s="75">
        <v>53</v>
      </c>
      <c r="B64" s="138" t="s">
        <v>95</v>
      </c>
      <c r="C64" s="139" t="s">
        <v>21</v>
      </c>
      <c r="D64" s="2">
        <v>861532336.20000005</v>
      </c>
      <c r="E64" s="3">
        <f>(D64/$D$97)</f>
        <v>3.5935031003900518E-3</v>
      </c>
      <c r="F64" s="14">
        <v>1.0435000000000001</v>
      </c>
      <c r="G64" s="14">
        <v>1.0435000000000001</v>
      </c>
      <c r="H64" s="60">
        <v>167</v>
      </c>
      <c r="I64" s="5">
        <v>0.1205</v>
      </c>
      <c r="J64" s="5">
        <v>-6.3E-2</v>
      </c>
      <c r="K64" s="2">
        <v>862179326.88</v>
      </c>
      <c r="L64" s="3">
        <f t="shared" si="19"/>
        <v>3.6053471441406695E-3</v>
      </c>
      <c r="M64" s="14">
        <v>1.0459000000000001</v>
      </c>
      <c r="N64" s="14">
        <v>1.0459000000000001</v>
      </c>
      <c r="O64" s="60">
        <v>167</v>
      </c>
      <c r="P64" s="5">
        <v>-5.4699999999999999E-2</v>
      </c>
      <c r="Q64" s="5">
        <v>-6.3E-2</v>
      </c>
      <c r="R64" s="80">
        <f t="shared" si="20"/>
        <v>7.5097666426968818E-4</v>
      </c>
      <c r="S64" s="80">
        <f t="shared" si="21"/>
        <v>2.2999520843315358E-3</v>
      </c>
      <c r="T64" s="80">
        <f t="shared" si="22"/>
        <v>0</v>
      </c>
      <c r="U64" s="81">
        <f t="shared" si="23"/>
        <v>-0.17519999999999999</v>
      </c>
      <c r="V64" s="83">
        <f t="shared" si="24"/>
        <v>0</v>
      </c>
    </row>
    <row r="65" spans="1:22">
      <c r="A65" s="75">
        <v>54</v>
      </c>
      <c r="B65" s="138" t="s">
        <v>96</v>
      </c>
      <c r="C65" s="139" t="s">
        <v>97</v>
      </c>
      <c r="D65" s="2">
        <v>257660684.53</v>
      </c>
      <c r="E65" s="3">
        <f>(D65/$D$97)</f>
        <v>1.0747181850319248E-3</v>
      </c>
      <c r="F65" s="7">
        <v>1034.57</v>
      </c>
      <c r="G65" s="7">
        <v>1034.57</v>
      </c>
      <c r="H65" s="60">
        <v>112</v>
      </c>
      <c r="I65" s="5">
        <v>3.1E-4</v>
      </c>
      <c r="J65" s="5">
        <v>3.5000000000000001E-3</v>
      </c>
      <c r="K65" s="2">
        <v>258722255.19999999</v>
      </c>
      <c r="L65" s="3">
        <f t="shared" si="19"/>
        <v>1.0818904082129312E-3</v>
      </c>
      <c r="M65" s="7">
        <v>1040.0899999999999</v>
      </c>
      <c r="N65" s="7">
        <v>1040.0899999999999</v>
      </c>
      <c r="O65" s="60">
        <v>112</v>
      </c>
      <c r="P65" s="5">
        <v>5.3359999999999996E-3</v>
      </c>
      <c r="Q65" s="5">
        <v>8.5000000000000006E-3</v>
      </c>
      <c r="R65" s="80">
        <f t="shared" si="20"/>
        <v>4.1200335702608363E-3</v>
      </c>
      <c r="S65" s="80">
        <f t="shared" si="21"/>
        <v>5.3355500352803408E-3</v>
      </c>
      <c r="T65" s="80">
        <f t="shared" si="22"/>
        <v>0</v>
      </c>
      <c r="U65" s="81">
        <f t="shared" si="23"/>
        <v>5.0259999999999992E-3</v>
      </c>
      <c r="V65" s="83">
        <f t="shared" si="24"/>
        <v>5.000000000000001E-3</v>
      </c>
    </row>
    <row r="66" spans="1:22" ht="15" customHeight="1">
      <c r="A66" s="75">
        <v>55</v>
      </c>
      <c r="B66" s="138" t="s">
        <v>98</v>
      </c>
      <c r="C66" s="139" t="s">
        <v>99</v>
      </c>
      <c r="D66" s="2">
        <v>1693213565.97</v>
      </c>
      <c r="E66" s="3">
        <f>(D66/$K$97)</f>
        <v>7.0804558914456936E-3</v>
      </c>
      <c r="F66" s="7">
        <v>1.0576000000000001</v>
      </c>
      <c r="G66" s="7">
        <v>1.0576000000000001</v>
      </c>
      <c r="H66" s="60">
        <v>851</v>
      </c>
      <c r="I66" s="5">
        <v>2.3E-3</v>
      </c>
      <c r="J66" s="5">
        <v>3.9199999999999999E-2</v>
      </c>
      <c r="K66" s="2">
        <v>1707545347.6500001</v>
      </c>
      <c r="L66" s="3">
        <f t="shared" si="19"/>
        <v>7.1403866350155023E-3</v>
      </c>
      <c r="M66" s="7">
        <v>1.06</v>
      </c>
      <c r="N66" s="7">
        <v>1.06</v>
      </c>
      <c r="O66" s="60">
        <v>853</v>
      </c>
      <c r="P66" s="5">
        <v>8.9999999999999993E-3</v>
      </c>
      <c r="Q66" s="5">
        <v>4.1500000000000002E-2</v>
      </c>
      <c r="R66" s="80">
        <f t="shared" si="20"/>
        <v>8.4642492642620342E-3</v>
      </c>
      <c r="S66" s="80">
        <f t="shared" si="21"/>
        <v>2.2692889561270399E-3</v>
      </c>
      <c r="T66" s="80">
        <f t="shared" si="22"/>
        <v>2.3501762632197414E-3</v>
      </c>
      <c r="U66" s="81">
        <f t="shared" si="23"/>
        <v>6.6999999999999994E-3</v>
      </c>
      <c r="V66" s="83">
        <v>7.87</v>
      </c>
    </row>
    <row r="67" spans="1:22">
      <c r="A67" s="75">
        <v>56</v>
      </c>
      <c r="B67" s="138" t="s">
        <v>100</v>
      </c>
      <c r="C67" s="139" t="s">
        <v>101</v>
      </c>
      <c r="D67" s="2">
        <v>410110636.87716752</v>
      </c>
      <c r="E67" s="3">
        <f t="shared" ref="E67:E83" si="25">(D67/$D$97)</f>
        <v>1.7105960893137283E-3</v>
      </c>
      <c r="F67" s="7">
        <v>2.3331</v>
      </c>
      <c r="G67" s="7">
        <v>2.3331</v>
      </c>
      <c r="H67" s="60">
        <v>1395</v>
      </c>
      <c r="I67" s="5">
        <v>0.1348</v>
      </c>
      <c r="J67" s="5">
        <v>0.10829999999999999</v>
      </c>
      <c r="K67" s="2">
        <v>411135667.69</v>
      </c>
      <c r="L67" s="3">
        <f t="shared" si="19"/>
        <v>1.7192325994692015E-3</v>
      </c>
      <c r="M67" s="7">
        <v>2.3391000000000002</v>
      </c>
      <c r="N67" s="7">
        <v>2.3391000000000002</v>
      </c>
      <c r="O67" s="60">
        <v>1394</v>
      </c>
      <c r="P67" s="5">
        <v>0.13450000000000001</v>
      </c>
      <c r="Q67" s="5">
        <v>0.10979999999999999</v>
      </c>
      <c r="R67" s="80">
        <f t="shared" si="20"/>
        <v>2.499400699864028E-3</v>
      </c>
      <c r="S67" s="80">
        <f t="shared" si="21"/>
        <v>2.5716857400026692E-3</v>
      </c>
      <c r="T67" s="80">
        <f t="shared" si="22"/>
        <v>-7.1684587813620072E-4</v>
      </c>
      <c r="U67" s="81">
        <f t="shared" si="23"/>
        <v>-2.9999999999999472E-4</v>
      </c>
      <c r="V67" s="83">
        <f t="shared" si="24"/>
        <v>1.5000000000000013E-3</v>
      </c>
    </row>
    <row r="68" spans="1:22">
      <c r="A68" s="75">
        <v>57</v>
      </c>
      <c r="B68" s="138" t="s">
        <v>271</v>
      </c>
      <c r="C68" s="139" t="s">
        <v>269</v>
      </c>
      <c r="D68" s="2">
        <v>131867756.95</v>
      </c>
      <c r="E68" s="3">
        <f t="shared" si="25"/>
        <v>5.500283315324117E-4</v>
      </c>
      <c r="F68" s="7">
        <v>10.647600000000001</v>
      </c>
      <c r="G68" s="7">
        <v>10.6722</v>
      </c>
      <c r="H68" s="60">
        <v>29</v>
      </c>
      <c r="I68" s="5">
        <v>0.147836</v>
      </c>
      <c r="J68" s="5">
        <v>2.7570999999999998E-2</v>
      </c>
      <c r="K68" s="2">
        <v>132183172.36</v>
      </c>
      <c r="L68" s="3">
        <f t="shared" si="19"/>
        <v>5.527460565496827E-4</v>
      </c>
      <c r="M68" s="7">
        <v>10.673999999999999</v>
      </c>
      <c r="N68" s="7">
        <v>10.6966</v>
      </c>
      <c r="O68" s="60">
        <v>29</v>
      </c>
      <c r="P68" s="5">
        <v>8.3792000000000005E-2</v>
      </c>
      <c r="Q68" s="5">
        <v>3.1857999999999997E-2</v>
      </c>
      <c r="R68" s="80">
        <f t="shared" ref="R68" si="26">((K68-D68)/D68)</f>
        <v>2.3919069930005087E-3</v>
      </c>
      <c r="S68" s="80">
        <f t="shared" ref="S68" si="27">((N68-G68)/G68)</f>
        <v>2.2863139746256609E-3</v>
      </c>
      <c r="T68" s="80">
        <f t="shared" ref="T68" si="28">((O68-H68)/H68)</f>
        <v>0</v>
      </c>
      <c r="U68" s="81">
        <f t="shared" ref="U68" si="29">P68-I68</f>
        <v>-6.404399999999999E-2</v>
      </c>
      <c r="V68" s="83">
        <f t="shared" ref="V68" si="30">Q68-J68</f>
        <v>4.2869999999999991E-3</v>
      </c>
    </row>
    <row r="69" spans="1:22">
      <c r="A69" s="75">
        <v>58</v>
      </c>
      <c r="B69" s="138" t="s">
        <v>102</v>
      </c>
      <c r="C69" s="139" t="s">
        <v>56</v>
      </c>
      <c r="D69" s="2">
        <v>2667317483.6140599</v>
      </c>
      <c r="E69" s="3">
        <f t="shared" si="25"/>
        <v>1.1125541368962159E-2</v>
      </c>
      <c r="F69" s="2">
        <v>4141.9857810078402</v>
      </c>
      <c r="G69" s="2">
        <v>4141.9857810078402</v>
      </c>
      <c r="H69" s="60">
        <v>1041</v>
      </c>
      <c r="I69" s="5">
        <v>0.10260237904101754</v>
      </c>
      <c r="J69" s="5">
        <v>9.0458193179967603E-2</v>
      </c>
      <c r="K69" s="2">
        <v>2667377587.2170901</v>
      </c>
      <c r="L69" s="3">
        <f t="shared" si="19"/>
        <v>1.1154085776121208E-2</v>
      </c>
      <c r="M69" s="2">
        <v>4149.7816213400301</v>
      </c>
      <c r="N69" s="2">
        <v>4149.7816213400301</v>
      </c>
      <c r="O69" s="60">
        <v>1040</v>
      </c>
      <c r="P69" s="5">
        <v>9.8409579795020977E-2</v>
      </c>
      <c r="Q69" s="5">
        <v>9.0986790652273483E-2</v>
      </c>
      <c r="R69" s="80">
        <f t="shared" si="20"/>
        <v>2.2533351728631828E-5</v>
      </c>
      <c r="S69" s="80">
        <f t="shared" si="21"/>
        <v>1.8821504332381062E-3</v>
      </c>
      <c r="T69" s="80">
        <f t="shared" si="22"/>
        <v>-9.6061479346781938E-4</v>
      </c>
      <c r="U69" s="81">
        <f t="shared" si="23"/>
        <v>-4.1927992459965674E-3</v>
      </c>
      <c r="V69" s="83">
        <f t="shared" si="24"/>
        <v>5.2859747230588061E-4</v>
      </c>
    </row>
    <row r="70" spans="1:22">
      <c r="A70" s="75">
        <v>59</v>
      </c>
      <c r="B70" s="138" t="s">
        <v>103</v>
      </c>
      <c r="C70" s="139" t="s">
        <v>58</v>
      </c>
      <c r="D70" s="2">
        <v>341759582.23000002</v>
      </c>
      <c r="E70" s="3">
        <f t="shared" si="25"/>
        <v>1.4254997366070004E-3</v>
      </c>
      <c r="F70" s="14">
        <v>107.29</v>
      </c>
      <c r="G70" s="14">
        <v>107.29</v>
      </c>
      <c r="H70" s="60">
        <v>128</v>
      </c>
      <c r="I70" s="5">
        <v>2.0999999999999999E-3</v>
      </c>
      <c r="J70" s="5">
        <v>0.1096</v>
      </c>
      <c r="K70" s="2">
        <v>342743489.18000001</v>
      </c>
      <c r="L70" s="3">
        <f t="shared" si="19"/>
        <v>1.4332392593541159E-3</v>
      </c>
      <c r="M70" s="14">
        <v>107.51</v>
      </c>
      <c r="N70" s="14">
        <v>107.51</v>
      </c>
      <c r="O70" s="60">
        <v>128</v>
      </c>
      <c r="P70" s="5">
        <v>2.0999999999999999E-3</v>
      </c>
      <c r="Q70" s="5">
        <v>0.10970000000000001</v>
      </c>
      <c r="R70" s="80">
        <f t="shared" si="20"/>
        <v>2.8789447353017618E-3</v>
      </c>
      <c r="S70" s="80">
        <f t="shared" si="21"/>
        <v>2.0505172895889539E-3</v>
      </c>
      <c r="T70" s="80">
        <f t="shared" si="22"/>
        <v>0</v>
      </c>
      <c r="U70" s="81">
        <f t="shared" si="23"/>
        <v>0</v>
      </c>
      <c r="V70" s="83">
        <f t="shared" si="24"/>
        <v>1.0000000000000286E-4</v>
      </c>
    </row>
    <row r="71" spans="1:22" ht="13.5" customHeight="1">
      <c r="A71" s="75">
        <v>60</v>
      </c>
      <c r="B71" s="138" t="s">
        <v>104</v>
      </c>
      <c r="C71" s="139" t="s">
        <v>105</v>
      </c>
      <c r="D71" s="2">
        <v>324836733.80000001</v>
      </c>
      <c r="E71" s="3">
        <f t="shared" si="25"/>
        <v>1.3549135197635752E-3</v>
      </c>
      <c r="F71" s="14">
        <v>1.3475999999999999</v>
      </c>
      <c r="G71" s="14">
        <v>1.3475999999999999</v>
      </c>
      <c r="H71" s="60">
        <v>329</v>
      </c>
      <c r="I71" s="5">
        <v>9.7000000000000003E-3</v>
      </c>
      <c r="J71" s="5">
        <v>2.3E-3</v>
      </c>
      <c r="K71" s="2">
        <v>325703277.64999998</v>
      </c>
      <c r="L71" s="3">
        <f t="shared" si="19"/>
        <v>1.3619827631011162E-3</v>
      </c>
      <c r="M71" s="14">
        <v>1.3542000000000001</v>
      </c>
      <c r="N71" s="14">
        <v>1.3542000000000001</v>
      </c>
      <c r="O71" s="60">
        <v>329</v>
      </c>
      <c r="P71" s="5">
        <v>4.8999999999999998E-3</v>
      </c>
      <c r="Q71" s="5">
        <v>1.44E-2</v>
      </c>
      <c r="R71" s="80">
        <f t="shared" si="20"/>
        <v>2.6676288727046798E-3</v>
      </c>
      <c r="S71" s="80">
        <f t="shared" si="21"/>
        <v>4.897595725734759E-3</v>
      </c>
      <c r="T71" s="80">
        <f t="shared" si="22"/>
        <v>0</v>
      </c>
      <c r="U71" s="81">
        <f t="shared" si="23"/>
        <v>-4.8000000000000004E-3</v>
      </c>
      <c r="V71" s="83">
        <f t="shared" si="24"/>
        <v>1.21E-2</v>
      </c>
    </row>
    <row r="72" spans="1:22">
      <c r="A72" s="75">
        <v>61</v>
      </c>
      <c r="B72" s="138" t="s">
        <v>106</v>
      </c>
      <c r="C72" s="139" t="s">
        <v>25</v>
      </c>
      <c r="D72" s="2">
        <v>99527586.510000005</v>
      </c>
      <c r="E72" s="3">
        <f t="shared" si="25"/>
        <v>4.1513553893466048E-4</v>
      </c>
      <c r="F72" s="14">
        <v>117.9156</v>
      </c>
      <c r="G72" s="14">
        <v>117.9156</v>
      </c>
      <c r="H72" s="60">
        <v>113</v>
      </c>
      <c r="I72" s="5">
        <v>3.9800000000000002E-4</v>
      </c>
      <c r="J72" s="5">
        <v>0.15590000000000001</v>
      </c>
      <c r="K72" s="2">
        <v>100162247.39</v>
      </c>
      <c r="L72" s="3">
        <f t="shared" si="19"/>
        <v>4.1884519997138498E-4</v>
      </c>
      <c r="M72" s="14">
        <v>118.2371</v>
      </c>
      <c r="N72" s="14">
        <v>118.2371</v>
      </c>
      <c r="O72" s="60">
        <v>115</v>
      </c>
      <c r="P72" s="5">
        <v>3.86E-4</v>
      </c>
      <c r="Q72" s="5">
        <v>0.15620000000000001</v>
      </c>
      <c r="R72" s="80">
        <f t="shared" si="20"/>
        <v>6.3767333485598779E-3</v>
      </c>
      <c r="S72" s="80">
        <f t="shared" si="21"/>
        <v>2.7265264307691295E-3</v>
      </c>
      <c r="T72" s="80">
        <f t="shared" si="22"/>
        <v>1.7699115044247787E-2</v>
      </c>
      <c r="U72" s="81">
        <f t="shared" si="23"/>
        <v>-1.2000000000000021E-5</v>
      </c>
      <c r="V72" s="83">
        <f t="shared" si="24"/>
        <v>2.9999999999999472E-4</v>
      </c>
    </row>
    <row r="73" spans="1:22">
      <c r="A73" s="75">
        <v>62</v>
      </c>
      <c r="B73" s="138" t="s">
        <v>107</v>
      </c>
      <c r="C73" s="139" t="s">
        <v>108</v>
      </c>
      <c r="D73" s="2">
        <v>1539791958.7</v>
      </c>
      <c r="E73" s="3">
        <f t="shared" si="25"/>
        <v>6.4225647083078347E-3</v>
      </c>
      <c r="F73" s="7">
        <v>1000</v>
      </c>
      <c r="G73" s="7">
        <v>1000</v>
      </c>
      <c r="H73" s="60">
        <v>319</v>
      </c>
      <c r="I73" s="5">
        <v>1.3706698431890101E-5</v>
      </c>
      <c r="J73" s="5">
        <v>0.14899999999999999</v>
      </c>
      <c r="K73" s="2">
        <v>1533056630.71</v>
      </c>
      <c r="L73" s="3">
        <f t="shared" si="19"/>
        <v>6.4107328638204559E-3</v>
      </c>
      <c r="M73" s="7">
        <v>1000</v>
      </c>
      <c r="N73" s="7">
        <v>1000</v>
      </c>
      <c r="O73" s="60">
        <v>326</v>
      </c>
      <c r="P73" s="5">
        <v>4.3933980357142601E-5</v>
      </c>
      <c r="Q73" s="5">
        <v>0.14940000000000001</v>
      </c>
      <c r="R73" s="80">
        <f t="shared" si="20"/>
        <v>-4.3741805196115223E-3</v>
      </c>
      <c r="S73" s="80">
        <f t="shared" si="21"/>
        <v>0</v>
      </c>
      <c r="T73" s="80">
        <f t="shared" si="22"/>
        <v>2.1943573667711599E-2</v>
      </c>
      <c r="U73" s="81">
        <f t="shared" si="23"/>
        <v>3.0227281925252499E-5</v>
      </c>
      <c r="V73" s="83">
        <f t="shared" si="24"/>
        <v>4.0000000000001146E-4</v>
      </c>
    </row>
    <row r="74" spans="1:22">
      <c r="A74" s="75">
        <v>63</v>
      </c>
      <c r="B74" s="138" t="s">
        <v>109</v>
      </c>
      <c r="C74" s="139" t="s">
        <v>64</v>
      </c>
      <c r="D74" s="2">
        <v>217649657.44</v>
      </c>
      <c r="E74" s="3">
        <f t="shared" si="25"/>
        <v>9.0782978879147568E-4</v>
      </c>
      <c r="F74" s="7">
        <v>1068.18</v>
      </c>
      <c r="G74" s="7">
        <v>1077.0899999999999</v>
      </c>
      <c r="H74" s="60">
        <v>78</v>
      </c>
      <c r="I74" s="5">
        <v>2.8999999999999998E-3</v>
      </c>
      <c r="J74" s="5">
        <v>1.3299999999999999E-2</v>
      </c>
      <c r="K74" s="2">
        <v>218195128.43000001</v>
      </c>
      <c r="L74" s="3">
        <f t="shared" si="19"/>
        <v>9.1241944526465949E-4</v>
      </c>
      <c r="M74" s="7">
        <v>1070.23</v>
      </c>
      <c r="N74" s="7">
        <v>1079.67</v>
      </c>
      <c r="O74" s="60">
        <v>78</v>
      </c>
      <c r="P74" s="5">
        <v>2.2000000000000001E-3</v>
      </c>
      <c r="Q74" s="5">
        <v>1.55E-2</v>
      </c>
      <c r="R74" s="80">
        <f t="shared" si="20"/>
        <v>2.5061881393053918E-3</v>
      </c>
      <c r="S74" s="80">
        <f t="shared" si="21"/>
        <v>2.3953430075482596E-3</v>
      </c>
      <c r="T74" s="80">
        <f t="shared" si="22"/>
        <v>0</v>
      </c>
      <c r="U74" s="81">
        <f t="shared" si="23"/>
        <v>-6.9999999999999967E-4</v>
      </c>
      <c r="V74" s="83">
        <f t="shared" si="24"/>
        <v>2.2000000000000006E-3</v>
      </c>
    </row>
    <row r="75" spans="1:22">
      <c r="A75" s="75">
        <v>64</v>
      </c>
      <c r="B75" s="138" t="s">
        <v>110</v>
      </c>
      <c r="C75" s="139" t="s">
        <v>67</v>
      </c>
      <c r="D75" s="2">
        <v>890333787.11000001</v>
      </c>
      <c r="E75" s="3">
        <f t="shared" si="25"/>
        <v>3.7136356813646911E-3</v>
      </c>
      <c r="F75" s="15">
        <v>1.1560999999999999</v>
      </c>
      <c r="G75" s="15">
        <v>1.1560999999999999</v>
      </c>
      <c r="H75" s="60">
        <v>37</v>
      </c>
      <c r="I75" s="5">
        <v>2.6016824212990127E-3</v>
      </c>
      <c r="J75" s="5">
        <v>0.18273571715722836</v>
      </c>
      <c r="K75" s="2">
        <v>893698871.76999998</v>
      </c>
      <c r="L75" s="3">
        <f t="shared" si="19"/>
        <v>3.7371513960066985E-3</v>
      </c>
      <c r="M75" s="15">
        <v>1.1592</v>
      </c>
      <c r="N75" s="15">
        <v>1.1592</v>
      </c>
      <c r="O75" s="60">
        <v>40</v>
      </c>
      <c r="P75" s="5">
        <v>2.6800000000000001E-3</v>
      </c>
      <c r="Q75" s="5">
        <v>0.19489999999999999</v>
      </c>
      <c r="R75" s="80">
        <f t="shared" si="20"/>
        <v>3.7795765012164063E-3</v>
      </c>
      <c r="S75" s="80">
        <f t="shared" si="21"/>
        <v>2.6814289421331224E-3</v>
      </c>
      <c r="T75" s="80">
        <f t="shared" si="22"/>
        <v>8.1081081081081086E-2</v>
      </c>
      <c r="U75" s="81">
        <f t="shared" si="23"/>
        <v>7.8317578700987361E-5</v>
      </c>
      <c r="V75" s="83">
        <f t="shared" si="24"/>
        <v>1.2164282842771629E-2</v>
      </c>
    </row>
    <row r="76" spans="1:22">
      <c r="A76" s="75">
        <v>65</v>
      </c>
      <c r="B76" s="138" t="s">
        <v>111</v>
      </c>
      <c r="C76" s="139" t="s">
        <v>27</v>
      </c>
      <c r="D76" s="2">
        <v>45740529446.519997</v>
      </c>
      <c r="E76" s="3">
        <f t="shared" si="25"/>
        <v>0.19078649456680957</v>
      </c>
      <c r="F76" s="15">
        <v>1620.94</v>
      </c>
      <c r="G76" s="15">
        <v>1620.94</v>
      </c>
      <c r="H76" s="60">
        <v>2387</v>
      </c>
      <c r="I76" s="5">
        <v>2.3E-3</v>
      </c>
      <c r="J76" s="5">
        <v>4.7500000000000001E-2</v>
      </c>
      <c r="K76" s="2">
        <v>45587337856.790001</v>
      </c>
      <c r="L76" s="3">
        <f t="shared" si="19"/>
        <v>0.1906310824520957</v>
      </c>
      <c r="M76" s="15">
        <v>1624.89</v>
      </c>
      <c r="N76" s="15">
        <v>1624.89</v>
      </c>
      <c r="O76" s="60">
        <v>2382</v>
      </c>
      <c r="P76" s="5">
        <v>2.3999999999999998E-3</v>
      </c>
      <c r="Q76" s="5">
        <v>5.0099999999999999E-2</v>
      </c>
      <c r="R76" s="80">
        <f t="shared" si="20"/>
        <v>-3.3491433436315583E-3</v>
      </c>
      <c r="S76" s="80">
        <f t="shared" si="21"/>
        <v>2.4368576258220818E-3</v>
      </c>
      <c r="T76" s="80">
        <f t="shared" si="22"/>
        <v>-2.0946795140343527E-3</v>
      </c>
      <c r="U76" s="81">
        <f t="shared" si="23"/>
        <v>9.9999999999999829E-5</v>
      </c>
      <c r="V76" s="83">
        <f t="shared" si="24"/>
        <v>2.5999999999999981E-3</v>
      </c>
    </row>
    <row r="77" spans="1:22">
      <c r="A77" s="75">
        <v>66</v>
      </c>
      <c r="B77" s="138" t="s">
        <v>112</v>
      </c>
      <c r="C77" s="139" t="s">
        <v>72</v>
      </c>
      <c r="D77" s="2">
        <v>24415688.960000001</v>
      </c>
      <c r="E77" s="3">
        <f t="shared" si="25"/>
        <v>1.0183930456157747E-4</v>
      </c>
      <c r="F77" s="14">
        <v>0.32800000000000001</v>
      </c>
      <c r="G77" s="14">
        <v>0.73280000000000001</v>
      </c>
      <c r="H77" s="60">
        <v>746</v>
      </c>
      <c r="I77" s="5">
        <v>6.9999999999999999E-4</v>
      </c>
      <c r="J77" s="5">
        <v>-4.1300000000000003E-2</v>
      </c>
      <c r="K77" s="2">
        <v>23955901.109999999</v>
      </c>
      <c r="L77" s="3">
        <f t="shared" si="19"/>
        <v>1.0017560959713879E-4</v>
      </c>
      <c r="M77" s="14">
        <v>0.73070000000000002</v>
      </c>
      <c r="N77" s="14">
        <v>0.73070000000000002</v>
      </c>
      <c r="O77" s="60">
        <v>746</v>
      </c>
      <c r="P77" s="5">
        <v>2.0999999999999999E-3</v>
      </c>
      <c r="Q77" s="5">
        <v>-4.41E-2</v>
      </c>
      <c r="R77" s="80">
        <f t="shared" si="20"/>
        <v>-1.8831655774828541E-2</v>
      </c>
      <c r="S77" s="80">
        <f t="shared" si="21"/>
        <v>-2.8657205240174544E-3</v>
      </c>
      <c r="T77" s="80">
        <f t="shared" si="22"/>
        <v>0</v>
      </c>
      <c r="U77" s="81">
        <f t="shared" si="23"/>
        <v>1.3999999999999998E-3</v>
      </c>
      <c r="V77" s="83">
        <f t="shared" si="24"/>
        <v>-2.7999999999999969E-3</v>
      </c>
    </row>
    <row r="78" spans="1:22">
      <c r="A78" s="75">
        <v>67</v>
      </c>
      <c r="B78" s="138" t="s">
        <v>251</v>
      </c>
      <c r="C78" s="139" t="s">
        <v>32</v>
      </c>
      <c r="D78" s="2">
        <v>8270034922.1443005</v>
      </c>
      <c r="E78" s="3">
        <f t="shared" si="25"/>
        <v>3.4494812190265345E-2</v>
      </c>
      <c r="F78" s="14">
        <v>1</v>
      </c>
      <c r="G78" s="14">
        <v>1</v>
      </c>
      <c r="H78" s="60">
        <v>5544</v>
      </c>
      <c r="I78" s="5">
        <v>0.06</v>
      </c>
      <c r="J78" s="5">
        <v>0.06</v>
      </c>
      <c r="K78" s="2">
        <v>8269327426.6934004</v>
      </c>
      <c r="L78" s="3">
        <f t="shared" si="19"/>
        <v>3.4579576536219493E-2</v>
      </c>
      <c r="M78" s="14">
        <v>1</v>
      </c>
      <c r="N78" s="14">
        <v>1</v>
      </c>
      <c r="O78" s="60">
        <v>5544</v>
      </c>
      <c r="P78" s="5">
        <v>0.06</v>
      </c>
      <c r="Q78" s="5">
        <v>0.06</v>
      </c>
      <c r="R78" s="80">
        <f>((K78-D78)/D78)</f>
        <v>-8.5549270052735698E-5</v>
      </c>
      <c r="S78" s="80">
        <f>((N78-G78)/G78)</f>
        <v>0</v>
      </c>
      <c r="T78" s="80">
        <f>((O78-H78)/H78)</f>
        <v>0</v>
      </c>
      <c r="U78" s="81">
        <f>P78-I78</f>
        <v>0</v>
      </c>
      <c r="V78" s="83">
        <f>Q78-J78</f>
        <v>0</v>
      </c>
    </row>
    <row r="79" spans="1:22">
      <c r="A79" s="75">
        <v>68</v>
      </c>
      <c r="B79" s="138" t="s">
        <v>113</v>
      </c>
      <c r="C79" s="139" t="s">
        <v>114</v>
      </c>
      <c r="D79" s="2">
        <v>1194357078.7</v>
      </c>
      <c r="E79" s="3">
        <f t="shared" si="25"/>
        <v>4.9817350840385731E-3</v>
      </c>
      <c r="F79" s="2">
        <v>222.95414400000001</v>
      </c>
      <c r="G79" s="2">
        <v>224.18271200000001</v>
      </c>
      <c r="H79" s="60">
        <v>488</v>
      </c>
      <c r="I79" s="5">
        <v>1.8E-3</v>
      </c>
      <c r="J79" s="5">
        <v>8.6499999999999994E-2</v>
      </c>
      <c r="K79" s="2">
        <v>1198031750.71</v>
      </c>
      <c r="L79" s="3">
        <f t="shared" si="19"/>
        <v>5.0097702604893438E-3</v>
      </c>
      <c r="M79" s="2">
        <v>223.142123</v>
      </c>
      <c r="N79" s="2">
        <v>224.44966700000001</v>
      </c>
      <c r="O79" s="60">
        <v>488</v>
      </c>
      <c r="P79" s="5">
        <v>1.8E-3</v>
      </c>
      <c r="Q79" s="5">
        <v>8.6499999999999994E-2</v>
      </c>
      <c r="R79" s="80">
        <f t="shared" si="20"/>
        <v>3.0766946297163438E-3</v>
      </c>
      <c r="S79" s="80">
        <f t="shared" si="21"/>
        <v>1.1907920892668825E-3</v>
      </c>
      <c r="T79" s="80">
        <f t="shared" si="22"/>
        <v>0</v>
      </c>
      <c r="U79" s="81">
        <f t="shared" si="23"/>
        <v>0</v>
      </c>
      <c r="V79" s="83">
        <f t="shared" si="24"/>
        <v>0</v>
      </c>
    </row>
    <row r="80" spans="1:22">
      <c r="A80" s="75">
        <v>69</v>
      </c>
      <c r="B80" s="138" t="s">
        <v>115</v>
      </c>
      <c r="C80" s="139" t="s">
        <v>34</v>
      </c>
      <c r="D80" s="2">
        <v>1112492437.1900001</v>
      </c>
      <c r="E80" s="3">
        <f t="shared" si="25"/>
        <v>4.6402727491759469E-3</v>
      </c>
      <c r="F80" s="14">
        <v>3.43</v>
      </c>
      <c r="G80" s="14">
        <v>3.43</v>
      </c>
      <c r="H80" s="61">
        <v>773</v>
      </c>
      <c r="I80" s="12">
        <v>1.6999999999999999E-3</v>
      </c>
      <c r="J80" s="12">
        <v>0.1031</v>
      </c>
      <c r="K80" s="2">
        <v>1109556401.8299999</v>
      </c>
      <c r="L80" s="3">
        <f t="shared" si="19"/>
        <v>4.6397957824817603E-3</v>
      </c>
      <c r="M80" s="14">
        <v>3.44</v>
      </c>
      <c r="N80" s="14">
        <v>3.44</v>
      </c>
      <c r="O80" s="61">
        <v>772</v>
      </c>
      <c r="P80" s="12">
        <v>1.6000000000000001E-3</v>
      </c>
      <c r="Q80" s="12">
        <v>-9.4700000000000006E-2</v>
      </c>
      <c r="R80" s="80">
        <f t="shared" si="20"/>
        <v>-2.6391508488957886E-3</v>
      </c>
      <c r="S80" s="80">
        <f t="shared" si="21"/>
        <v>2.9154518950436693E-3</v>
      </c>
      <c r="T80" s="80">
        <f t="shared" si="22"/>
        <v>-1.29366106080207E-3</v>
      </c>
      <c r="U80" s="81">
        <f t="shared" si="23"/>
        <v>-9.9999999999999829E-5</v>
      </c>
      <c r="V80" s="83">
        <f t="shared" si="24"/>
        <v>-0.1978</v>
      </c>
    </row>
    <row r="81" spans="1:22">
      <c r="A81" s="75">
        <v>70</v>
      </c>
      <c r="B81" s="138" t="s">
        <v>258</v>
      </c>
      <c r="C81" s="139" t="s">
        <v>36</v>
      </c>
      <c r="D81" s="2">
        <v>552781723.37419999</v>
      </c>
      <c r="E81" s="3">
        <f t="shared" si="25"/>
        <v>2.305685757014936E-3</v>
      </c>
      <c r="F81" s="14">
        <v>102.18</v>
      </c>
      <c r="G81" s="14">
        <v>102.18</v>
      </c>
      <c r="H81" s="61">
        <v>64</v>
      </c>
      <c r="I81" s="12">
        <v>0.14019999999999999</v>
      </c>
      <c r="J81" s="12">
        <v>0.16009999999999999</v>
      </c>
      <c r="K81" s="2">
        <v>535150225.20999998</v>
      </c>
      <c r="L81" s="3">
        <f t="shared" si="19"/>
        <v>2.2378202260185344E-3</v>
      </c>
      <c r="M81" s="14">
        <v>102.44387999999999</v>
      </c>
      <c r="N81" s="14">
        <v>102.44387999999999</v>
      </c>
      <c r="O81" s="61">
        <v>66</v>
      </c>
      <c r="P81" s="12">
        <v>0.13869999999999999</v>
      </c>
      <c r="Q81" s="12">
        <v>0.18659999999999999</v>
      </c>
      <c r="R81" s="80">
        <f t="shared" ref="R81" si="31">((K81-D81)/D81)</f>
        <v>-3.1895949917766266E-2</v>
      </c>
      <c r="S81" s="80">
        <f t="shared" ref="S81" si="32">((N81-G81)/G81)</f>
        <v>2.5825014679975154E-3</v>
      </c>
      <c r="T81" s="80">
        <f t="shared" ref="T81" si="33">((O81-H81)/H81)</f>
        <v>3.125E-2</v>
      </c>
      <c r="U81" s="81">
        <f t="shared" ref="U81" si="34">P81-I81</f>
        <v>-1.5000000000000013E-3</v>
      </c>
      <c r="V81" s="83">
        <f t="shared" ref="V81" si="35">Q81-J81</f>
        <v>2.6499999999999996E-2</v>
      </c>
    </row>
    <row r="82" spans="1:22">
      <c r="A82" s="75">
        <v>71</v>
      </c>
      <c r="B82" s="139" t="s">
        <v>116</v>
      </c>
      <c r="C82" s="141" t="s">
        <v>40</v>
      </c>
      <c r="D82" s="2">
        <v>2604663182.3899999</v>
      </c>
      <c r="E82" s="3">
        <f t="shared" si="25"/>
        <v>1.0864206516814294E-2</v>
      </c>
      <c r="F82" s="14">
        <v>102.74</v>
      </c>
      <c r="G82" s="14">
        <v>102.74</v>
      </c>
      <c r="H82" s="60">
        <v>139</v>
      </c>
      <c r="I82" s="5">
        <v>2.0999999999999999E-3</v>
      </c>
      <c r="J82" s="5">
        <v>0.1032</v>
      </c>
      <c r="K82" s="2">
        <v>2610433626.4200001</v>
      </c>
      <c r="L82" s="3">
        <f t="shared" si="19"/>
        <v>1.0915965074272808E-2</v>
      </c>
      <c r="M82" s="14">
        <v>103.36</v>
      </c>
      <c r="N82" s="14">
        <v>103.36</v>
      </c>
      <c r="O82" s="60">
        <v>139</v>
      </c>
      <c r="P82" s="5">
        <v>6.1000000000000004E-3</v>
      </c>
      <c r="Q82" s="5">
        <v>0.11310000000000001</v>
      </c>
      <c r="R82" s="80">
        <f t="shared" si="20"/>
        <v>2.215428109482216E-3</v>
      </c>
      <c r="S82" s="80">
        <f t="shared" si="21"/>
        <v>6.0346505742651796E-3</v>
      </c>
      <c r="T82" s="80">
        <f t="shared" si="22"/>
        <v>0</v>
      </c>
      <c r="U82" s="81">
        <f t="shared" si="23"/>
        <v>4.0000000000000001E-3</v>
      </c>
      <c r="V82" s="83">
        <f t="shared" si="24"/>
        <v>9.900000000000006E-3</v>
      </c>
    </row>
    <row r="83" spans="1:22">
      <c r="A83" s="75">
        <v>72</v>
      </c>
      <c r="B83" s="138" t="s">
        <v>117</v>
      </c>
      <c r="C83" s="139" t="s">
        <v>17</v>
      </c>
      <c r="D83" s="2">
        <v>1251881488.6800001</v>
      </c>
      <c r="E83" s="3">
        <f t="shared" si="25"/>
        <v>5.2216728518105892E-3</v>
      </c>
      <c r="F83" s="14">
        <v>339.85969999999998</v>
      </c>
      <c r="G83" s="14">
        <v>339.85969999999998</v>
      </c>
      <c r="H83" s="60">
        <v>104</v>
      </c>
      <c r="I83" s="5">
        <v>2.3999999999999998E-3</v>
      </c>
      <c r="J83" s="5">
        <v>3.9E-2</v>
      </c>
      <c r="K83" s="2">
        <v>1251612838.1800001</v>
      </c>
      <c r="L83" s="3">
        <f t="shared" si="19"/>
        <v>5.2338285447316463E-3</v>
      </c>
      <c r="M83" s="14">
        <v>340.64429999999999</v>
      </c>
      <c r="N83" s="14">
        <v>340.64429999999999</v>
      </c>
      <c r="O83" s="60">
        <v>104</v>
      </c>
      <c r="P83" s="5">
        <v>2.3E-3</v>
      </c>
      <c r="Q83" s="5">
        <v>4.1300000000000003E-2</v>
      </c>
      <c r="R83" s="80">
        <f t="shared" si="20"/>
        <v>-2.1459738995203815E-4</v>
      </c>
      <c r="S83" s="80">
        <f t="shared" si="21"/>
        <v>2.3085996956979946E-3</v>
      </c>
      <c r="T83" s="80">
        <f t="shared" si="22"/>
        <v>0</v>
      </c>
      <c r="U83" s="81">
        <f t="shared" si="23"/>
        <v>-9.9999999999999829E-5</v>
      </c>
      <c r="V83" s="83">
        <f t="shared" si="24"/>
        <v>2.3000000000000034E-3</v>
      </c>
    </row>
    <row r="84" spans="1:22">
      <c r="A84" s="75">
        <v>73</v>
      </c>
      <c r="B84" s="138" t="s">
        <v>252</v>
      </c>
      <c r="C84" s="139" t="s">
        <v>78</v>
      </c>
      <c r="D84" s="9">
        <v>1680906968.1700001</v>
      </c>
      <c r="E84" s="3">
        <f>(D84/$K$59)</f>
        <v>1.6673058727811169E-3</v>
      </c>
      <c r="F84" s="14">
        <v>103.1</v>
      </c>
      <c r="G84" s="14">
        <v>103.1</v>
      </c>
      <c r="H84" s="60">
        <v>367</v>
      </c>
      <c r="I84" s="5">
        <v>2.5999999999999999E-3</v>
      </c>
      <c r="J84" s="5">
        <v>5.3499999999999999E-2</v>
      </c>
      <c r="K84" s="9">
        <v>1673242702.5699999</v>
      </c>
      <c r="L84" s="3">
        <f>(K84/$K$59)</f>
        <v>1.6597036227533556E-3</v>
      </c>
      <c r="M84" s="14">
        <v>103.38</v>
      </c>
      <c r="N84" s="14">
        <v>103.38</v>
      </c>
      <c r="O84" s="60">
        <v>370</v>
      </c>
      <c r="P84" s="5">
        <v>2.7000000000000001E-3</v>
      </c>
      <c r="Q84" s="5">
        <v>5.62E-2</v>
      </c>
      <c r="R84" s="80">
        <f t="shared" si="20"/>
        <v>-4.5596013016378969E-3</v>
      </c>
      <c r="S84" s="80">
        <f t="shared" si="21"/>
        <v>2.7158098933074797E-3</v>
      </c>
      <c r="T84" s="80">
        <f t="shared" si="22"/>
        <v>8.1743869209809257E-3</v>
      </c>
      <c r="U84" s="81">
        <f t="shared" si="23"/>
        <v>1.0000000000000026E-4</v>
      </c>
      <c r="V84" s="83">
        <f t="shared" si="24"/>
        <v>2.700000000000001E-3</v>
      </c>
    </row>
    <row r="85" spans="1:22">
      <c r="A85" s="75">
        <v>74</v>
      </c>
      <c r="B85" s="138" t="s">
        <v>118</v>
      </c>
      <c r="C85" s="139" t="s">
        <v>38</v>
      </c>
      <c r="D85" s="2">
        <v>56848413.590000004</v>
      </c>
      <c r="E85" s="3">
        <f t="shared" ref="E85:E96" si="36">(D85/$D$97)</f>
        <v>2.371181462427399E-4</v>
      </c>
      <c r="F85" s="2">
        <v>12.413506999999999</v>
      </c>
      <c r="G85" s="2">
        <v>12.539386</v>
      </c>
      <c r="H85" s="60">
        <v>56</v>
      </c>
      <c r="I85" s="5">
        <v>-1.9E-3</v>
      </c>
      <c r="J85" s="5">
        <v>8.9800000000000005E-2</v>
      </c>
      <c r="K85" s="2">
        <v>56969619.530000001</v>
      </c>
      <c r="L85" s="3">
        <f t="shared" ref="L85:L96" si="37">(K85/$K$97)</f>
        <v>2.3822799813414381E-4</v>
      </c>
      <c r="M85" s="2">
        <v>12.439973999999999</v>
      </c>
      <c r="N85" s="2">
        <v>12.573615999999999</v>
      </c>
      <c r="O85" s="60">
        <v>56</v>
      </c>
      <c r="P85" s="5">
        <v>-1.8E-3</v>
      </c>
      <c r="Q85" s="5">
        <v>9.0399999999999994E-2</v>
      </c>
      <c r="R85" s="80">
        <f t="shared" si="20"/>
        <v>2.1320901032376126E-3</v>
      </c>
      <c r="S85" s="80">
        <f t="shared" si="21"/>
        <v>2.7297987317719619E-3</v>
      </c>
      <c r="T85" s="80">
        <f t="shared" si="22"/>
        <v>0</v>
      </c>
      <c r="U85" s="81">
        <f t="shared" si="23"/>
        <v>1.0000000000000005E-4</v>
      </c>
      <c r="V85" s="83">
        <f t="shared" si="24"/>
        <v>5.9999999999998943E-4</v>
      </c>
    </row>
    <row r="86" spans="1:22">
      <c r="A86" s="75">
        <v>75</v>
      </c>
      <c r="B86" s="138" t="s">
        <v>236</v>
      </c>
      <c r="C86" s="139" t="s">
        <v>237</v>
      </c>
      <c r="D86" s="2">
        <v>289344197.70999998</v>
      </c>
      <c r="E86" s="3">
        <f t="shared" si="36"/>
        <v>1.2068720207727439E-3</v>
      </c>
      <c r="F86" s="2">
        <v>119.51</v>
      </c>
      <c r="G86" s="2">
        <v>119.51</v>
      </c>
      <c r="H86" s="60">
        <v>83</v>
      </c>
      <c r="I86" s="5">
        <v>0.14910000000000001</v>
      </c>
      <c r="J86" s="5">
        <v>0.1822</v>
      </c>
      <c r="K86" s="2">
        <v>290114490.79000002</v>
      </c>
      <c r="L86" s="3">
        <f t="shared" si="37"/>
        <v>1.2131622949353442E-3</v>
      </c>
      <c r="M86" s="2">
        <v>119.83</v>
      </c>
      <c r="N86" s="2">
        <v>119.83</v>
      </c>
      <c r="O86" s="60">
        <v>83</v>
      </c>
      <c r="P86" s="5">
        <v>0.14940000000000001</v>
      </c>
      <c r="Q86" s="5">
        <v>0.1807</v>
      </c>
      <c r="R86" s="80">
        <f>((K86-D86)/D86)</f>
        <v>2.662203306983477E-3</v>
      </c>
      <c r="S86" s="80">
        <f>((N86-G86)/G86)</f>
        <v>2.6776002008199579E-3</v>
      </c>
      <c r="T86" s="80">
        <f>((O86-H86)/H86)</f>
        <v>0</v>
      </c>
      <c r="U86" s="81">
        <f t="shared" si="23"/>
        <v>2.9999999999999472E-4</v>
      </c>
      <c r="V86" s="83">
        <f t="shared" si="24"/>
        <v>-1.5000000000000013E-3</v>
      </c>
    </row>
    <row r="87" spans="1:22">
      <c r="A87" s="75">
        <v>76</v>
      </c>
      <c r="B87" s="138" t="s">
        <v>119</v>
      </c>
      <c r="C87" s="139" t="s">
        <v>120</v>
      </c>
      <c r="D87" s="2">
        <v>7392184705.319355</v>
      </c>
      <c r="E87" s="3">
        <f t="shared" si="36"/>
        <v>3.0833246230068806E-2</v>
      </c>
      <c r="F87" s="14">
        <v>1.05</v>
      </c>
      <c r="G87" s="14">
        <v>1.05</v>
      </c>
      <c r="H87" s="60">
        <v>4327</v>
      </c>
      <c r="I87" s="5">
        <v>0.15040000000000001</v>
      </c>
      <c r="J87" s="5">
        <v>0.15040000000000001</v>
      </c>
      <c r="K87" s="2">
        <v>7684669409.7819185</v>
      </c>
      <c r="L87" s="3">
        <f t="shared" si="37"/>
        <v>3.2134731193895316E-2</v>
      </c>
      <c r="M87" s="14">
        <v>1.05</v>
      </c>
      <c r="N87" s="14">
        <v>1.05</v>
      </c>
      <c r="O87" s="60">
        <v>4357</v>
      </c>
      <c r="P87" s="5">
        <v>0.1502</v>
      </c>
      <c r="Q87" s="5">
        <v>0.1502</v>
      </c>
      <c r="R87" s="80">
        <f t="shared" si="20"/>
        <v>3.9566747331420703E-2</v>
      </c>
      <c r="S87" s="80">
        <f t="shared" si="21"/>
        <v>0</v>
      </c>
      <c r="T87" s="80">
        <f t="shared" si="22"/>
        <v>6.9332100762653105E-3</v>
      </c>
      <c r="U87" s="81">
        <f t="shared" si="23"/>
        <v>-2.0000000000000573E-4</v>
      </c>
      <c r="V87" s="83">
        <f t="shared" si="24"/>
        <v>-2.0000000000000573E-4</v>
      </c>
    </row>
    <row r="88" spans="1:22" ht="14.25" customHeight="1">
      <c r="A88" s="75">
        <v>77</v>
      </c>
      <c r="B88" s="138" t="s">
        <v>121</v>
      </c>
      <c r="C88" s="139" t="s">
        <v>42</v>
      </c>
      <c r="D88" s="2">
        <v>15157337487.02</v>
      </c>
      <c r="E88" s="3">
        <f t="shared" si="36"/>
        <v>6.3222164699596711E-2</v>
      </c>
      <c r="F88" s="2">
        <v>5154.63</v>
      </c>
      <c r="G88" s="2">
        <v>5154.63</v>
      </c>
      <c r="H88" s="60">
        <v>380</v>
      </c>
      <c r="I88" s="5">
        <v>6.9999999999999999E-4</v>
      </c>
      <c r="J88" s="5">
        <v>2.8500000000000001E-2</v>
      </c>
      <c r="K88" s="2">
        <v>14833268417.68</v>
      </c>
      <c r="L88" s="3">
        <f t="shared" si="37"/>
        <v>6.2027794289015593E-2</v>
      </c>
      <c r="M88" s="2">
        <v>5158.07</v>
      </c>
      <c r="N88" s="2">
        <v>5158.07</v>
      </c>
      <c r="O88" s="60">
        <v>375</v>
      </c>
      <c r="P88" s="5">
        <v>6.9999999999999999E-4</v>
      </c>
      <c r="Q88" s="5">
        <v>2.92E-2</v>
      </c>
      <c r="R88" s="80">
        <f t="shared" si="20"/>
        <v>-2.1380342663579074E-2</v>
      </c>
      <c r="S88" s="80">
        <f t="shared" si="21"/>
        <v>6.6736118790283684E-4</v>
      </c>
      <c r="T88" s="80">
        <f t="shared" si="22"/>
        <v>-1.3157894736842105E-2</v>
      </c>
      <c r="U88" s="81">
        <f t="shared" si="23"/>
        <v>0</v>
      </c>
      <c r="V88" s="83">
        <f t="shared" si="24"/>
        <v>6.9999999999999923E-4</v>
      </c>
    </row>
    <row r="89" spans="1:22">
      <c r="A89" s="75">
        <v>78</v>
      </c>
      <c r="B89" s="138" t="s">
        <v>122</v>
      </c>
      <c r="C89" s="139" t="s">
        <v>42</v>
      </c>
      <c r="D89" s="2">
        <v>28750956423.900002</v>
      </c>
      <c r="E89" s="3">
        <f t="shared" si="36"/>
        <v>0.11992196544144518</v>
      </c>
      <c r="F89" s="14">
        <v>258.26</v>
      </c>
      <c r="G89" s="14">
        <v>258.26</v>
      </c>
      <c r="H89" s="60">
        <v>6597</v>
      </c>
      <c r="I89" s="5">
        <v>0</v>
      </c>
      <c r="J89" s="5">
        <v>9.5999999999999992E-3</v>
      </c>
      <c r="K89" s="2">
        <v>28437015493.130001</v>
      </c>
      <c r="L89" s="3">
        <f t="shared" si="37"/>
        <v>0.11891413932070528</v>
      </c>
      <c r="M89" s="14">
        <v>258.27999999999997</v>
      </c>
      <c r="N89" s="14">
        <v>258.27999999999997</v>
      </c>
      <c r="O89" s="60">
        <v>6561</v>
      </c>
      <c r="P89" s="5">
        <v>1E-4</v>
      </c>
      <c r="Q89" s="5">
        <v>9.7000000000000003E-3</v>
      </c>
      <c r="R89" s="80">
        <f t="shared" si="20"/>
        <v>-1.0919321296352725E-2</v>
      </c>
      <c r="S89" s="80">
        <f t="shared" si="21"/>
        <v>7.7441338186253435E-5</v>
      </c>
      <c r="T89" s="80">
        <f t="shared" si="22"/>
        <v>-5.4570259208731242E-3</v>
      </c>
      <c r="U89" s="81">
        <f t="shared" si="23"/>
        <v>1E-4</v>
      </c>
      <c r="V89" s="83">
        <f t="shared" si="24"/>
        <v>1.0000000000000113E-4</v>
      </c>
    </row>
    <row r="90" spans="1:22" ht="12.75" customHeight="1">
      <c r="A90" s="75">
        <v>79</v>
      </c>
      <c r="B90" s="138" t="s">
        <v>123</v>
      </c>
      <c r="C90" s="139" t="s">
        <v>42</v>
      </c>
      <c r="D90" s="2">
        <v>350692826.92000002</v>
      </c>
      <c r="E90" s="3">
        <f t="shared" si="36"/>
        <v>1.4627608365578742E-3</v>
      </c>
      <c r="F90" s="2">
        <v>5665.01</v>
      </c>
      <c r="G90" s="7">
        <v>5687.71</v>
      </c>
      <c r="H90" s="60">
        <v>16</v>
      </c>
      <c r="I90" s="5">
        <v>2.0999999999999999E-3</v>
      </c>
      <c r="J90" s="5">
        <v>7.1300000000000002E-2</v>
      </c>
      <c r="K90" s="2">
        <v>331327337.93000001</v>
      </c>
      <c r="L90" s="3">
        <f t="shared" si="37"/>
        <v>1.3855007123685257E-3</v>
      </c>
      <c r="M90" s="2">
        <v>5746.12</v>
      </c>
      <c r="N90" s="7">
        <v>5771.63</v>
      </c>
      <c r="O90" s="60">
        <v>15</v>
      </c>
      <c r="P90" s="5">
        <v>1.4800000000000001E-2</v>
      </c>
      <c r="Q90" s="5">
        <v>8.7099999999999997E-2</v>
      </c>
      <c r="R90" s="80">
        <f t="shared" si="20"/>
        <v>-5.5220658945549693E-2</v>
      </c>
      <c r="S90" s="80">
        <f t="shared" si="21"/>
        <v>1.4754620049193801E-2</v>
      </c>
      <c r="T90" s="80">
        <f t="shared" si="22"/>
        <v>-6.25E-2</v>
      </c>
      <c r="U90" s="81">
        <f t="shared" si="23"/>
        <v>1.2700000000000001E-2</v>
      </c>
      <c r="V90" s="83">
        <f t="shared" si="24"/>
        <v>1.5799999999999995E-2</v>
      </c>
    </row>
    <row r="91" spans="1:22" ht="12.75" customHeight="1">
      <c r="A91" s="75">
        <v>80</v>
      </c>
      <c r="B91" s="138" t="s">
        <v>124</v>
      </c>
      <c r="C91" s="139" t="s">
        <v>42</v>
      </c>
      <c r="D91" s="2">
        <v>13698579882.780001</v>
      </c>
      <c r="E91" s="3">
        <f t="shared" si="36"/>
        <v>5.7137599149015811E-2</v>
      </c>
      <c r="F91" s="14">
        <v>130.41999999999999</v>
      </c>
      <c r="G91" s="14">
        <v>130.41999999999999</v>
      </c>
      <c r="H91" s="60">
        <v>4405</v>
      </c>
      <c r="I91" s="5">
        <v>1.1000000000000001E-3</v>
      </c>
      <c r="J91" s="5">
        <v>3.5700000000000003E-2</v>
      </c>
      <c r="K91" s="2">
        <v>13223478063.75</v>
      </c>
      <c r="L91" s="3">
        <f t="shared" si="37"/>
        <v>5.5296186519887866E-2</v>
      </c>
      <c r="M91" s="14">
        <v>130.57</v>
      </c>
      <c r="N91" s="14">
        <v>130.57</v>
      </c>
      <c r="O91" s="60">
        <v>4405</v>
      </c>
      <c r="P91" s="5">
        <v>1.1999999999999999E-3</v>
      </c>
      <c r="Q91" s="5">
        <v>3.6900000000000002E-2</v>
      </c>
      <c r="R91" s="80">
        <f t="shared" si="20"/>
        <v>-3.4682560024140482E-2</v>
      </c>
      <c r="S91" s="80">
        <f t="shared" si="21"/>
        <v>1.1501303481061625E-3</v>
      </c>
      <c r="T91" s="80">
        <f t="shared" si="22"/>
        <v>0</v>
      </c>
      <c r="U91" s="81">
        <f t="shared" si="23"/>
        <v>9.9999999999999829E-5</v>
      </c>
      <c r="V91" s="83">
        <f t="shared" si="24"/>
        <v>1.1999999999999997E-3</v>
      </c>
    </row>
    <row r="92" spans="1:22" ht="12.75" customHeight="1">
      <c r="A92" s="75">
        <v>81</v>
      </c>
      <c r="B92" s="138" t="s">
        <v>125</v>
      </c>
      <c r="C92" s="139" t="s">
        <v>42</v>
      </c>
      <c r="D92" s="2">
        <v>10716530936.68</v>
      </c>
      <c r="E92" s="3">
        <f t="shared" si="36"/>
        <v>4.4699293953657966E-2</v>
      </c>
      <c r="F92" s="14">
        <v>354.2</v>
      </c>
      <c r="G92" s="14">
        <v>354.56</v>
      </c>
      <c r="H92" s="60">
        <v>10225</v>
      </c>
      <c r="I92" s="5">
        <v>-4.3E-3</v>
      </c>
      <c r="J92" s="5">
        <v>3.3999999999999998E-3</v>
      </c>
      <c r="K92" s="2">
        <v>10540834340.719999</v>
      </c>
      <c r="L92" s="3">
        <f t="shared" si="37"/>
        <v>4.4078262842022584E-2</v>
      </c>
      <c r="M92" s="14">
        <v>357.04</v>
      </c>
      <c r="N92" s="14">
        <v>357.45</v>
      </c>
      <c r="O92" s="60">
        <v>10224</v>
      </c>
      <c r="P92" s="5">
        <v>8.2000000000000007E-3</v>
      </c>
      <c r="Q92" s="5">
        <v>1.1599999999999999E-2</v>
      </c>
      <c r="R92" s="80">
        <f t="shared" si="20"/>
        <v>-1.6394913335120002E-2</v>
      </c>
      <c r="S92" s="80">
        <f t="shared" si="21"/>
        <v>8.1509476534295643E-3</v>
      </c>
      <c r="T92" s="80">
        <f t="shared" si="22"/>
        <v>-9.7799511002444992E-5</v>
      </c>
      <c r="U92" s="81">
        <f t="shared" si="23"/>
        <v>1.2500000000000001E-2</v>
      </c>
      <c r="V92" s="83">
        <f t="shared" si="24"/>
        <v>8.199999999999999E-3</v>
      </c>
    </row>
    <row r="93" spans="1:22">
      <c r="A93" s="75">
        <v>82</v>
      </c>
      <c r="B93" s="138" t="s">
        <v>126</v>
      </c>
      <c r="C93" s="139" t="s">
        <v>45</v>
      </c>
      <c r="D93" s="2">
        <v>86714936142.130005</v>
      </c>
      <c r="E93" s="3">
        <f t="shared" si="36"/>
        <v>0.36169320498323221</v>
      </c>
      <c r="F93" s="2">
        <v>1.9924999999999999</v>
      </c>
      <c r="G93" s="2">
        <v>1.9924999999999999</v>
      </c>
      <c r="H93" s="60">
        <v>6177</v>
      </c>
      <c r="I93" s="5">
        <v>3.4599999999999999E-2</v>
      </c>
      <c r="J93" s="5">
        <v>5.5E-2</v>
      </c>
      <c r="K93" s="2">
        <v>87265036510.630005</v>
      </c>
      <c r="L93" s="3">
        <f t="shared" si="37"/>
        <v>0.36491335428496158</v>
      </c>
      <c r="M93" s="2">
        <v>1.9938</v>
      </c>
      <c r="N93" s="2">
        <v>1.9938</v>
      </c>
      <c r="O93" s="60">
        <v>6207</v>
      </c>
      <c r="P93" s="5">
        <v>3.4599999999999999E-2</v>
      </c>
      <c r="Q93" s="5">
        <v>5.3999999999999999E-2</v>
      </c>
      <c r="R93" s="80">
        <f t="shared" si="20"/>
        <v>6.3437787418577892E-3</v>
      </c>
      <c r="S93" s="80">
        <f t="shared" si="21"/>
        <v>6.5244667503140728E-4</v>
      </c>
      <c r="T93" s="80">
        <f t="shared" si="22"/>
        <v>4.8567265662943174E-3</v>
      </c>
      <c r="U93" s="81">
        <f t="shared" si="23"/>
        <v>0</v>
      </c>
      <c r="V93" s="83">
        <f t="shared" si="24"/>
        <v>-1.0000000000000009E-3</v>
      </c>
    </row>
    <row r="94" spans="1:22">
      <c r="A94" s="75">
        <v>83</v>
      </c>
      <c r="B94" s="138" t="s">
        <v>241</v>
      </c>
      <c r="C94" s="138" t="s">
        <v>242</v>
      </c>
      <c r="D94" s="2">
        <v>85749662.849999994</v>
      </c>
      <c r="E94" s="3">
        <f t="shared" si="36"/>
        <v>3.5766699212708738E-4</v>
      </c>
      <c r="F94" s="2">
        <v>105.445087493267</v>
      </c>
      <c r="G94" s="2">
        <v>105.445087493267</v>
      </c>
      <c r="H94" s="60">
        <v>59</v>
      </c>
      <c r="I94" s="5">
        <v>8.9806585736783677E-3</v>
      </c>
      <c r="J94" s="5">
        <v>3.7855564457002444E-2</v>
      </c>
      <c r="K94" s="2">
        <v>85975679.930000007</v>
      </c>
      <c r="L94" s="3">
        <f t="shared" si="37"/>
        <v>3.5952169396462504E-4</v>
      </c>
      <c r="M94" s="2">
        <v>105.59992162023723</v>
      </c>
      <c r="N94" s="2">
        <v>105.59992162023723</v>
      </c>
      <c r="O94" s="60">
        <v>59</v>
      </c>
      <c r="P94" s="5">
        <v>1.4683863482982628E-3</v>
      </c>
      <c r="Q94" s="5">
        <v>3.9379537399356401E-2</v>
      </c>
      <c r="R94" s="80">
        <f>((K94-D94)/D94)</f>
        <v>2.6357780600884677E-3</v>
      </c>
      <c r="S94" s="80">
        <f>((N94-G94)/G94)</f>
        <v>1.4683863482982628E-3</v>
      </c>
      <c r="T94" s="80">
        <f>((O94-H94)/H94)</f>
        <v>0</v>
      </c>
      <c r="U94" s="81">
        <f>P94-I94</f>
        <v>-7.5122722253801047E-3</v>
      </c>
      <c r="V94" s="83">
        <f>Q94-J94</f>
        <v>1.5239729423539572E-3</v>
      </c>
    </row>
    <row r="95" spans="1:22">
      <c r="A95" s="75">
        <v>84</v>
      </c>
      <c r="B95" s="138" t="s">
        <v>262</v>
      </c>
      <c r="C95" s="139" t="s">
        <v>261</v>
      </c>
      <c r="D95" s="2">
        <v>240694409.28999999</v>
      </c>
      <c r="E95" s="3">
        <f t="shared" si="36"/>
        <v>1.0039508323566591E-3</v>
      </c>
      <c r="F95" s="2">
        <v>1</v>
      </c>
      <c r="G95" s="2">
        <v>1</v>
      </c>
      <c r="H95" s="60">
        <v>236</v>
      </c>
      <c r="I95" s="5">
        <v>-4.3229999999999996E-3</v>
      </c>
      <c r="J95" s="5">
        <v>-3.5278999999999998E-2</v>
      </c>
      <c r="K95" s="2">
        <v>241287709.58000001</v>
      </c>
      <c r="L95" s="3">
        <f t="shared" si="37"/>
        <v>1.0089849379693774E-3</v>
      </c>
      <c r="M95" s="2">
        <v>1.01</v>
      </c>
      <c r="N95" s="2">
        <v>1.01</v>
      </c>
      <c r="O95" s="60">
        <v>245</v>
      </c>
      <c r="P95" s="5">
        <v>2.48E-3</v>
      </c>
      <c r="Q95" s="5">
        <v>-3.2885999999999999E-2</v>
      </c>
      <c r="R95" s="80">
        <f>((K95-D95)/D95)</f>
        <v>2.4649525169701189E-3</v>
      </c>
      <c r="S95" s="80">
        <f>((N95-G95)/G95)</f>
        <v>1.0000000000000009E-2</v>
      </c>
      <c r="T95" s="80">
        <f>((O95-H95)/H95)</f>
        <v>3.8135593220338986E-2</v>
      </c>
      <c r="U95" s="81">
        <f>P95-I95</f>
        <v>6.803E-3</v>
      </c>
      <c r="V95" s="83">
        <f>Q95-J95</f>
        <v>2.3929999999999993E-3</v>
      </c>
    </row>
    <row r="96" spans="1:22">
      <c r="A96" s="75">
        <v>85</v>
      </c>
      <c r="B96" s="138" t="s">
        <v>127</v>
      </c>
      <c r="C96" s="139" t="s">
        <v>91</v>
      </c>
      <c r="D96" s="2">
        <v>2554461881.79</v>
      </c>
      <c r="E96" s="3">
        <f t="shared" si="36"/>
        <v>1.0654813877943181E-2</v>
      </c>
      <c r="F96" s="14">
        <v>26.281199999999998</v>
      </c>
      <c r="G96" s="14">
        <v>26.281199999999998</v>
      </c>
      <c r="H96" s="60">
        <v>1316</v>
      </c>
      <c r="I96" s="5">
        <v>0</v>
      </c>
      <c r="J96" s="5">
        <v>0.1197</v>
      </c>
      <c r="K96" s="2">
        <v>2558803713.71</v>
      </c>
      <c r="L96" s="3">
        <f t="shared" si="37"/>
        <v>1.0700065953825515E-2</v>
      </c>
      <c r="M96" s="14">
        <v>26.331299999999999</v>
      </c>
      <c r="N96" s="14">
        <v>26.331299999999999</v>
      </c>
      <c r="O96" s="60">
        <v>1316</v>
      </c>
      <c r="P96" s="5">
        <v>0</v>
      </c>
      <c r="Q96" s="5">
        <v>0.1196</v>
      </c>
      <c r="R96" s="80">
        <f t="shared" si="20"/>
        <v>1.6997051124355022E-3</v>
      </c>
      <c r="S96" s="80">
        <f t="shared" si="21"/>
        <v>1.9063056481439388E-3</v>
      </c>
      <c r="T96" s="80">
        <f t="shared" si="22"/>
        <v>0</v>
      </c>
      <c r="U96" s="81">
        <f t="shared" si="23"/>
        <v>0</v>
      </c>
      <c r="V96" s="83">
        <f t="shared" si="24"/>
        <v>-1.0000000000000286E-4</v>
      </c>
    </row>
    <row r="97" spans="1:28">
      <c r="A97" s="75"/>
      <c r="B97" s="19"/>
      <c r="C97" s="71" t="s">
        <v>46</v>
      </c>
      <c r="D97" s="59">
        <f>SUM(D62:D96)</f>
        <v>239747208262.17911</v>
      </c>
      <c r="E97" s="100">
        <f>(D97/$D$194)</f>
        <v>8.3924009172570146E-2</v>
      </c>
      <c r="F97" s="30"/>
      <c r="G97" s="11"/>
      <c r="H97" s="65">
        <f>SUM(H62:H96)</f>
        <v>50135</v>
      </c>
      <c r="I97" s="12"/>
      <c r="J97" s="12"/>
      <c r="K97" s="59">
        <f>SUM(K62:K96)</f>
        <v>239139059960.20239</v>
      </c>
      <c r="L97" s="100">
        <f>(K97/$K$194)</f>
        <v>8.240037441851833E-2</v>
      </c>
      <c r="M97" s="30"/>
      <c r="N97" s="11"/>
      <c r="O97" s="65">
        <f>SUM(O62:O96)</f>
        <v>50200</v>
      </c>
      <c r="P97" s="12"/>
      <c r="Q97" s="12"/>
      <c r="R97" s="80">
        <f t="shared" si="20"/>
        <v>-2.5366230805560228E-3</v>
      </c>
      <c r="S97" s="80" t="e">
        <f t="shared" si="21"/>
        <v>#DIV/0!</v>
      </c>
      <c r="T97" s="80">
        <f t="shared" si="22"/>
        <v>1.2964994514810012E-3</v>
      </c>
      <c r="U97" s="81">
        <f t="shared" si="23"/>
        <v>0</v>
      </c>
      <c r="V97" s="83">
        <f t="shared" si="24"/>
        <v>0</v>
      </c>
    </row>
    <row r="98" spans="1:28" ht="8.25" customHeight="1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</row>
    <row r="99" spans="1:28" ht="15" customHeight="1">
      <c r="A99" s="144" t="s">
        <v>128</v>
      </c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</row>
    <row r="100" spans="1:28">
      <c r="A100" s="145" t="s">
        <v>230</v>
      </c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Z100" s="114"/>
      <c r="AB100" s="103"/>
    </row>
    <row r="101" spans="1:28" ht="16.5" customHeight="1">
      <c r="A101" s="75">
        <v>86</v>
      </c>
      <c r="B101" s="138" t="s">
        <v>129</v>
      </c>
      <c r="C101" s="139" t="s">
        <v>17</v>
      </c>
      <c r="D101" s="2">
        <v>2585480424.8400002</v>
      </c>
      <c r="E101" s="3">
        <f>(D101/$D$130)</f>
        <v>1.8415855093875681E-3</v>
      </c>
      <c r="F101" s="2">
        <f>110.2677*1481.119</f>
        <v>163319.58555630001</v>
      </c>
      <c r="G101" s="2">
        <f>110.2677*1481.119</f>
        <v>163319.58555630001</v>
      </c>
      <c r="H101" s="60">
        <v>238</v>
      </c>
      <c r="I101" s="5">
        <v>1.1000000000000001E-3</v>
      </c>
      <c r="J101" s="5">
        <v>2.3E-2</v>
      </c>
      <c r="K101" s="2">
        <v>2582883856.5300002</v>
      </c>
      <c r="L101" s="3">
        <f t="shared" ref="L101:L115" si="38">(K101/$K$130)</f>
        <v>1.8138418954035743E-3</v>
      </c>
      <c r="M101" s="2">
        <f>110.3548*1483.482</f>
        <v>163709.3594136</v>
      </c>
      <c r="N101" s="2">
        <f>110.3548*1483.482</f>
        <v>163709.3594136</v>
      </c>
      <c r="O101" s="60">
        <v>238</v>
      </c>
      <c r="P101" s="5">
        <v>8.0000000000000004E-4</v>
      </c>
      <c r="Q101" s="5">
        <v>2.3800000000000002E-2</v>
      </c>
      <c r="R101" s="81">
        <f>((K101-D101)/D101)</f>
        <v>-1.0042885202507881E-3</v>
      </c>
      <c r="S101" s="81">
        <f>((N101-G101)/G101)</f>
        <v>2.3865714327668997E-3</v>
      </c>
      <c r="T101" s="81">
        <f>((O101-H101)/H101)</f>
        <v>0</v>
      </c>
      <c r="U101" s="81">
        <f>P101-I101</f>
        <v>-3.0000000000000003E-4</v>
      </c>
      <c r="V101" s="83">
        <f>Q101-J101</f>
        <v>8.000000000000021E-4</v>
      </c>
      <c r="X101" s="114"/>
      <c r="Y101" s="116"/>
      <c r="Z101" s="114"/>
      <c r="AA101" s="104"/>
    </row>
    <row r="102" spans="1:28" ht="16.5" customHeight="1">
      <c r="A102" s="75">
        <v>87</v>
      </c>
      <c r="B102" s="138" t="s">
        <v>268</v>
      </c>
      <c r="C102" s="139" t="s">
        <v>50</v>
      </c>
      <c r="D102" s="2">
        <f>1339754.49*1481.119</f>
        <v>1984335830.4743099</v>
      </c>
      <c r="E102" s="3">
        <f>(D102/$D$130)</f>
        <v>1.4134023510876819E-3</v>
      </c>
      <c r="F102" s="2">
        <f>100*1481.119</f>
        <v>148111.9</v>
      </c>
      <c r="G102" s="2">
        <f>100*1481.119</f>
        <v>148111.9</v>
      </c>
      <c r="H102" s="60">
        <v>13</v>
      </c>
      <c r="I102" s="5">
        <v>2.4989000000000001E-2</v>
      </c>
      <c r="J102" s="5">
        <v>-5.3499999999999997E-3</v>
      </c>
      <c r="K102" s="2">
        <f>1343974.44*1483.482</f>
        <v>1993761890.2000799</v>
      </c>
      <c r="L102" s="3">
        <f t="shared" si="38"/>
        <v>1.4001283242996341E-3</v>
      </c>
      <c r="M102" s="2">
        <f>100*1483.482</f>
        <v>148348.20000000001</v>
      </c>
      <c r="N102" s="2">
        <f>100*1483.482</f>
        <v>148348.20000000001</v>
      </c>
      <c r="O102" s="60">
        <v>13</v>
      </c>
      <c r="P102" s="5">
        <v>7.2999999999999999E-5</v>
      </c>
      <c r="Q102" s="5">
        <v>-5.8820000000000001E-3</v>
      </c>
      <c r="R102" s="81">
        <f>((K102-D102)/D102)</f>
        <v>4.7502340989916576E-3</v>
      </c>
      <c r="S102" s="81">
        <f>((N102-G102)/G102)</f>
        <v>1.5954153582528985E-3</v>
      </c>
      <c r="T102" s="81">
        <f>((O102-H102)/H102)</f>
        <v>0</v>
      </c>
      <c r="U102" s="81">
        <f>P102-I102</f>
        <v>-2.4916000000000001E-2</v>
      </c>
      <c r="V102" s="83">
        <f>Q102-J102</f>
        <v>-5.3200000000000035E-4</v>
      </c>
      <c r="X102" s="114"/>
      <c r="Y102" s="116"/>
      <c r="Z102" s="114"/>
      <c r="AA102" s="104"/>
    </row>
    <row r="103" spans="1:28">
      <c r="A103" s="75">
        <v>88</v>
      </c>
      <c r="B103" s="138" t="s">
        <v>130</v>
      </c>
      <c r="C103" s="139" t="s">
        <v>21</v>
      </c>
      <c r="D103" s="2">
        <f>10964766.07*1480.619</f>
        <v>16234640973.797329</v>
      </c>
      <c r="E103" s="3">
        <f>(D103/$D$130)</f>
        <v>1.1563607010989074E-2</v>
      </c>
      <c r="F103" s="2">
        <f>1.1243*1480.619</f>
        <v>1664.6599417</v>
      </c>
      <c r="G103" s="2">
        <f>1.1243*1480.619</f>
        <v>1664.6599417</v>
      </c>
      <c r="H103" s="60">
        <v>302</v>
      </c>
      <c r="I103" s="5">
        <v>5.5899999999999998E-2</v>
      </c>
      <c r="J103" s="5">
        <v>-0.1108</v>
      </c>
      <c r="K103" s="2">
        <f>10975541.94*1482.982</f>
        <v>16276531137.265079</v>
      </c>
      <c r="L103" s="3">
        <f t="shared" si="38"/>
        <v>1.143026776599828E-2</v>
      </c>
      <c r="M103" s="2">
        <f>1.1255*1482.982</f>
        <v>1669.096241</v>
      </c>
      <c r="N103" s="2">
        <f>1.1255*1482.982</f>
        <v>1669.096241</v>
      </c>
      <c r="O103" s="60">
        <v>301</v>
      </c>
      <c r="P103" s="5">
        <v>5.5800000000000002E-2</v>
      </c>
      <c r="Q103" s="5">
        <v>-0.1032</v>
      </c>
      <c r="R103" s="81">
        <f t="shared" ref="R103:R115" si="39">((K103-D103)/D103)</f>
        <v>2.5802950330322161E-3</v>
      </c>
      <c r="S103" s="81">
        <f t="shared" ref="S103:S115" si="40">((N103-G103)/G103)</f>
        <v>2.6649883191575412E-3</v>
      </c>
      <c r="T103" s="81">
        <f t="shared" ref="T103:T115" si="41">((O103-H103)/H103)</f>
        <v>-3.3112582781456954E-3</v>
      </c>
      <c r="U103" s="81">
        <f t="shared" ref="U103:U115" si="42">P103-I103</f>
        <v>-9.9999999999995925E-5</v>
      </c>
      <c r="V103" s="83">
        <f t="shared" ref="V103:V115" si="43">Q103-J103</f>
        <v>7.5999999999999956E-3</v>
      </c>
    </row>
    <row r="104" spans="1:28">
      <c r="A104" s="75">
        <v>89</v>
      </c>
      <c r="B104" s="138" t="s">
        <v>267</v>
      </c>
      <c r="C104" s="139" t="s">
        <v>99</v>
      </c>
      <c r="D104" s="2">
        <f>1514150.64*1481.119</f>
        <v>2242637281.7661595</v>
      </c>
      <c r="E104" s="3">
        <f>(D104/$D$130)</f>
        <v>1.5973852600986006E-3</v>
      </c>
      <c r="F104" s="2">
        <f>1.0194*1481.119</f>
        <v>1509.8527086000001</v>
      </c>
      <c r="G104" s="2">
        <f>1.0194*1481.119</f>
        <v>1509.8527086000001</v>
      </c>
      <c r="H104" s="60">
        <v>206</v>
      </c>
      <c r="I104" s="5">
        <v>1.4E-3</v>
      </c>
      <c r="J104" s="5">
        <v>1.9400000000000001E-2</v>
      </c>
      <c r="K104" s="2">
        <f>1524512.17*1483.482</f>
        <v>2261586362.9759398</v>
      </c>
      <c r="L104" s="3">
        <f t="shared" si="38"/>
        <v>1.5882092742451998E-3</v>
      </c>
      <c r="M104" s="2">
        <f>1.0205*1483.482</f>
        <v>1513.8933809999999</v>
      </c>
      <c r="N104" s="2">
        <f>1.0205*1483.482</f>
        <v>1513.8933809999999</v>
      </c>
      <c r="O104" s="60">
        <v>209</v>
      </c>
      <c r="P104" s="5">
        <v>1.1000000000000001E-3</v>
      </c>
      <c r="Q104" s="5">
        <v>2.0500000000000001E-2</v>
      </c>
      <c r="R104" s="81">
        <f t="shared" ref="R104" si="44">((K104-D104)/D104)</f>
        <v>8.4494632118383029E-3</v>
      </c>
      <c r="S104" s="81">
        <f t="shared" ref="S104" si="45">((N104-G104)/G104)</f>
        <v>2.6762030342326604E-3</v>
      </c>
      <c r="T104" s="81">
        <f t="shared" ref="T104" si="46">((O104-H104)/H104)</f>
        <v>1.4563106796116505E-2</v>
      </c>
      <c r="U104" s="81">
        <f t="shared" ref="U104" si="47">P104-I104</f>
        <v>-2.9999999999999992E-4</v>
      </c>
      <c r="V104" s="83">
        <f t="shared" ref="V104" si="48">Q104-J104</f>
        <v>1.1000000000000003E-3</v>
      </c>
    </row>
    <row r="105" spans="1:28">
      <c r="A105" s="75">
        <v>90</v>
      </c>
      <c r="B105" s="138" t="s">
        <v>272</v>
      </c>
      <c r="C105" s="139" t="s">
        <v>269</v>
      </c>
      <c r="D105" s="2">
        <f>333261.1*1481.119</f>
        <v>493599347.17089993</v>
      </c>
      <c r="E105" s="3">
        <f>(D105/$D$130)</f>
        <v>3.5158084991084227E-4</v>
      </c>
      <c r="F105" s="2">
        <f>1.0618*1481.119</f>
        <v>1572.6521542</v>
      </c>
      <c r="G105" s="2">
        <f>1.0618*1481.119</f>
        <v>1572.6521542</v>
      </c>
      <c r="H105" s="60">
        <v>13</v>
      </c>
      <c r="I105" s="5">
        <v>-2.3889000000000001E-2</v>
      </c>
      <c r="J105" s="5">
        <v>7.5452000000000005E-2</v>
      </c>
      <c r="K105" s="2">
        <f>362198.86*1483.482</f>
        <v>537315489.23052001</v>
      </c>
      <c r="L105" s="3">
        <f t="shared" si="38"/>
        <v>3.7733223774332928E-4</v>
      </c>
      <c r="M105" s="2">
        <f>1.062*1483.482</f>
        <v>1575.4578840000001</v>
      </c>
      <c r="N105" s="2">
        <f>1.068*1483.482</f>
        <v>1584.358776</v>
      </c>
      <c r="O105" s="60">
        <v>13</v>
      </c>
      <c r="P105" s="5">
        <v>0.12753800000000001</v>
      </c>
      <c r="Q105" s="5">
        <v>7.1261000000000005E-2</v>
      </c>
      <c r="R105" s="81">
        <f t="shared" ref="R105" si="49">((K105-D105)/D105)</f>
        <v>8.8566045133937649E-2</v>
      </c>
      <c r="S105" s="81">
        <f t="shared" ref="S105" si="50">((N105-G105)/G105)</f>
        <v>7.4438722947955975E-3</v>
      </c>
      <c r="T105" s="81">
        <f t="shared" ref="T105" si="51">((O105-H105)/H105)</f>
        <v>0</v>
      </c>
      <c r="U105" s="81">
        <f t="shared" ref="U105" si="52">P105-I105</f>
        <v>0.15142700000000001</v>
      </c>
      <c r="V105" s="83">
        <f t="shared" ref="V105" si="53">Q105-J105</f>
        <v>-4.1910000000000003E-3</v>
      </c>
    </row>
    <row r="106" spans="1:28">
      <c r="A106" s="75">
        <v>91</v>
      </c>
      <c r="B106" s="138" t="s">
        <v>243</v>
      </c>
      <c r="C106" s="139" t="s">
        <v>25</v>
      </c>
      <c r="D106" s="2">
        <f>471363.17*1481.119</f>
        <v>698144946.98722994</v>
      </c>
      <c r="E106" s="3">
        <v>0</v>
      </c>
      <c r="F106" s="2">
        <f>1.1413*1481.119</f>
        <v>1690.4011146999999</v>
      </c>
      <c r="G106" s="2">
        <f>1.1413*1481.119</f>
        <v>1690.4011146999999</v>
      </c>
      <c r="H106" s="60">
        <v>33</v>
      </c>
      <c r="I106" s="5">
        <v>1.75E-4</v>
      </c>
      <c r="J106" s="5">
        <v>0.1113</v>
      </c>
      <c r="K106" s="2">
        <f>471922.7*1483.482</f>
        <v>700088830.84140003</v>
      </c>
      <c r="L106" s="3">
        <f t="shared" si="38"/>
        <v>4.9164055467450631E-4</v>
      </c>
      <c r="M106" s="2">
        <f>1.1426*1483.482</f>
        <v>1695.0265332000001</v>
      </c>
      <c r="N106" s="2">
        <f>1.1426*1483.482</f>
        <v>1695.0265332000001</v>
      </c>
      <c r="O106" s="60">
        <v>33</v>
      </c>
      <c r="P106" s="5">
        <v>1.75E-4</v>
      </c>
      <c r="Q106" s="5">
        <v>0.1115</v>
      </c>
      <c r="R106" s="81">
        <f>((K106-D106)/D106)</f>
        <v>2.784355687968104E-3</v>
      </c>
      <c r="S106" s="81">
        <f>((N106-G106)/G106)</f>
        <v>2.7362845775342121E-3</v>
      </c>
      <c r="T106" s="81">
        <f>((O106-H106)/H106)</f>
        <v>0</v>
      </c>
      <c r="U106" s="81">
        <f>P106-I106</f>
        <v>0</v>
      </c>
      <c r="V106" s="83">
        <f t="shared" si="43"/>
        <v>2.0000000000000573E-4</v>
      </c>
    </row>
    <row r="107" spans="1:28">
      <c r="A107" s="75">
        <v>92</v>
      </c>
      <c r="B107" s="138" t="s">
        <v>139</v>
      </c>
      <c r="C107" s="139" t="s">
        <v>64</v>
      </c>
      <c r="D107" s="2">
        <f>422755.12*1481.119</f>
        <v>626150640.5792799</v>
      </c>
      <c r="E107" s="3">
        <f t="shared" ref="E107:E115" si="54">(D107/$D$130)</f>
        <v>4.4599446018080152E-4</v>
      </c>
      <c r="F107" s="2">
        <f>105.37*1481.119</f>
        <v>156065.50902999999</v>
      </c>
      <c r="G107" s="2">
        <f>107.05*1481.119</f>
        <v>158553.78894999999</v>
      </c>
      <c r="H107" s="60">
        <v>43</v>
      </c>
      <c r="I107" s="5">
        <v>1.2999999999999999E-3</v>
      </c>
      <c r="J107" s="5">
        <v>3.1300000000000001E-2</v>
      </c>
      <c r="K107" s="2">
        <f>417028.67*1483.482</f>
        <v>618654525.42893994</v>
      </c>
      <c r="L107" s="3">
        <f t="shared" si="38"/>
        <v>4.3445294459022976E-4</v>
      </c>
      <c r="M107" s="2">
        <f>105.44*1483.482</f>
        <v>156418.34208</v>
      </c>
      <c r="N107" s="2">
        <f>107.2*1483.482</f>
        <v>159029.27040000001</v>
      </c>
      <c r="O107" s="60">
        <v>43</v>
      </c>
      <c r="P107" s="5">
        <v>1.1000000000000001E-3</v>
      </c>
      <c r="Q107" s="5">
        <v>3.2399999999999998E-2</v>
      </c>
      <c r="R107" s="81">
        <f>((K107-D107)/D107)</f>
        <v>-1.1971743961492989E-2</v>
      </c>
      <c r="S107" s="81">
        <f>((N107-G107)/G107)</f>
        <v>2.9988652630052533E-3</v>
      </c>
      <c r="T107" s="81">
        <f>((O107-H107)/H107)</f>
        <v>0</v>
      </c>
      <c r="U107" s="81">
        <f>P107-I107</f>
        <v>-1.9999999999999987E-4</v>
      </c>
      <c r="V107" s="83">
        <f>Q107-J107</f>
        <v>1.0999999999999968E-3</v>
      </c>
    </row>
    <row r="108" spans="1:28">
      <c r="A108" s="75">
        <v>93</v>
      </c>
      <c r="B108" s="138" t="s">
        <v>131</v>
      </c>
      <c r="C108" s="139" t="s">
        <v>67</v>
      </c>
      <c r="D108" s="2">
        <v>4204594396.5001993</v>
      </c>
      <c r="E108" s="3">
        <f t="shared" si="54"/>
        <v>2.9948477037593929E-3</v>
      </c>
      <c r="F108" s="2">
        <v>158091.67982199998</v>
      </c>
      <c r="G108" s="2">
        <v>158091.67982199998</v>
      </c>
      <c r="H108" s="60">
        <v>53</v>
      </c>
      <c r="I108" s="5">
        <v>3.2017320045626498E-2</v>
      </c>
      <c r="J108" s="5">
        <v>9.2028621344093731E-2</v>
      </c>
      <c r="K108" s="2">
        <v>4197714042.88236</v>
      </c>
      <c r="L108" s="3">
        <f t="shared" si="38"/>
        <v>2.9478637131338252E-3</v>
      </c>
      <c r="M108" s="2">
        <v>158509.7550036</v>
      </c>
      <c r="N108" s="2">
        <v>158509.7550036</v>
      </c>
      <c r="O108" s="60">
        <v>52</v>
      </c>
      <c r="P108" s="5">
        <v>3.1780000000000003E-2</v>
      </c>
      <c r="Q108" s="5">
        <v>9.6199999999999994E-2</v>
      </c>
      <c r="R108" s="81">
        <f t="shared" si="39"/>
        <v>-1.6363893800473057E-3</v>
      </c>
      <c r="S108" s="81">
        <f t="shared" si="40"/>
        <v>2.6445109702847715E-3</v>
      </c>
      <c r="T108" s="81">
        <f t="shared" si="41"/>
        <v>-1.8867924528301886E-2</v>
      </c>
      <c r="U108" s="81">
        <f t="shared" si="42"/>
        <v>-2.3732004562649484E-4</v>
      </c>
      <c r="V108" s="83">
        <f t="shared" si="43"/>
        <v>4.1713786559062632E-3</v>
      </c>
      <c r="X108" s="108"/>
    </row>
    <row r="109" spans="1:28">
      <c r="A109" s="75">
        <v>94</v>
      </c>
      <c r="B109" s="138" t="s">
        <v>132</v>
      </c>
      <c r="C109" s="139" t="s">
        <v>27</v>
      </c>
      <c r="D109" s="2">
        <v>42295123087.290001</v>
      </c>
      <c r="E109" s="3">
        <f t="shared" si="54"/>
        <v>3.0125962295822446E-2</v>
      </c>
      <c r="F109" s="2">
        <v>189340.01</v>
      </c>
      <c r="G109" s="2">
        <v>189340.01</v>
      </c>
      <c r="H109" s="60">
        <v>2099</v>
      </c>
      <c r="I109" s="5">
        <v>1.6000000000000001E-3</v>
      </c>
      <c r="J109" s="5">
        <v>3.04E-2</v>
      </c>
      <c r="K109" s="2">
        <v>42385828229.160004</v>
      </c>
      <c r="L109" s="3">
        <f t="shared" si="38"/>
        <v>2.9765639991539018E-2</v>
      </c>
      <c r="M109" s="2">
        <v>190013.54</v>
      </c>
      <c r="N109" s="2">
        <v>190013.54</v>
      </c>
      <c r="O109" s="60">
        <v>2108</v>
      </c>
      <c r="P109" s="5">
        <v>1.4E-3</v>
      </c>
      <c r="Q109" s="5">
        <v>3.1899999999999998E-2</v>
      </c>
      <c r="R109" s="81">
        <f t="shared" si="39"/>
        <v>2.1445768506880244E-3</v>
      </c>
      <c r="S109" s="81">
        <f t="shared" si="40"/>
        <v>3.5572513173523059E-3</v>
      </c>
      <c r="T109" s="81">
        <f t="shared" si="41"/>
        <v>4.287756074321105E-3</v>
      </c>
      <c r="U109" s="81">
        <f t="shared" si="42"/>
        <v>-2.0000000000000009E-4</v>
      </c>
      <c r="V109" s="83">
        <f t="shared" si="43"/>
        <v>1.4999999999999979E-3</v>
      </c>
    </row>
    <row r="110" spans="1:28">
      <c r="A110" s="75">
        <v>95</v>
      </c>
      <c r="B110" s="142" t="s">
        <v>133</v>
      </c>
      <c r="C110" s="142" t="s">
        <v>27</v>
      </c>
      <c r="D110" s="2">
        <v>73120168815.559998</v>
      </c>
      <c r="E110" s="3">
        <f t="shared" si="54"/>
        <v>5.2082020053600346E-2</v>
      </c>
      <c r="F110" s="2">
        <v>172124.58</v>
      </c>
      <c r="G110" s="2">
        <v>172124.58</v>
      </c>
      <c r="H110" s="60">
        <v>395</v>
      </c>
      <c r="I110" s="5">
        <v>2.0999999999999999E-3</v>
      </c>
      <c r="J110" s="5">
        <v>3.7499999999999999E-2</v>
      </c>
      <c r="K110" s="2">
        <v>75771653169.970001</v>
      </c>
      <c r="L110" s="3">
        <f t="shared" si="38"/>
        <v>5.3210986880502922E-2</v>
      </c>
      <c r="M110" s="2">
        <v>172790.92</v>
      </c>
      <c r="N110" s="2">
        <v>172790.92</v>
      </c>
      <c r="O110" s="60">
        <v>399</v>
      </c>
      <c r="P110" s="5">
        <v>1.6999999999999999E-3</v>
      </c>
      <c r="Q110" s="5">
        <v>3.9300000000000002E-2</v>
      </c>
      <c r="R110" s="81">
        <f t="shared" si="39"/>
        <v>3.6262010842701538E-2</v>
      </c>
      <c r="S110" s="81">
        <f t="shared" si="40"/>
        <v>3.8712658006196769E-3</v>
      </c>
      <c r="T110" s="81">
        <f t="shared" si="41"/>
        <v>1.0126582278481013E-2</v>
      </c>
      <c r="U110" s="81">
        <f t="shared" si="42"/>
        <v>-3.9999999999999996E-4</v>
      </c>
      <c r="V110" s="83">
        <f t="shared" si="43"/>
        <v>1.800000000000003E-3</v>
      </c>
    </row>
    <row r="111" spans="1:28">
      <c r="A111" s="75">
        <v>96</v>
      </c>
      <c r="B111" s="138" t="s">
        <v>134</v>
      </c>
      <c r="C111" s="139" t="s">
        <v>31</v>
      </c>
      <c r="D111" s="2">
        <f>95930.68*1481.119</f>
        <v>142084752.83091998</v>
      </c>
      <c r="E111" s="3">
        <f t="shared" si="54"/>
        <v>1.0120410094945085E-4</v>
      </c>
      <c r="F111" s="2">
        <f>110.981*1481.119</f>
        <v>164376.06773899999</v>
      </c>
      <c r="G111" s="2">
        <f>110.981*1481.119</f>
        <v>164376.06773899999</v>
      </c>
      <c r="H111" s="60">
        <v>4</v>
      </c>
      <c r="I111" s="5">
        <v>2.3E-3</v>
      </c>
      <c r="J111" s="5">
        <v>-3.1600000000000003E-2</v>
      </c>
      <c r="K111" s="2">
        <f>96122.37*1483.482</f>
        <v>142595805.69233999</v>
      </c>
      <c r="L111" s="3">
        <f t="shared" si="38"/>
        <v>1.0013855087587039E-4</v>
      </c>
      <c r="M111" s="2">
        <f>111.202*1483.482</f>
        <v>164966.16536399999</v>
      </c>
      <c r="N111" s="2">
        <f>111.202*1483.482</f>
        <v>164966.16536399999</v>
      </c>
      <c r="O111" s="60">
        <v>4</v>
      </c>
      <c r="P111" s="5">
        <v>2E-3</v>
      </c>
      <c r="Q111" s="5">
        <v>-2.9600000000000001E-2</v>
      </c>
      <c r="R111" s="81">
        <f t="shared" si="39"/>
        <v>3.5968170492449354E-3</v>
      </c>
      <c r="S111" s="81">
        <f t="shared" si="40"/>
        <v>3.5899242092648494E-3</v>
      </c>
      <c r="T111" s="81">
        <f t="shared" si="41"/>
        <v>0</v>
      </c>
      <c r="U111" s="81">
        <f t="shared" si="42"/>
        <v>-2.9999999999999992E-4</v>
      </c>
      <c r="V111" s="83">
        <f t="shared" si="43"/>
        <v>2.0000000000000018E-3</v>
      </c>
    </row>
    <row r="112" spans="1:28">
      <c r="A112" s="75">
        <v>97</v>
      </c>
      <c r="B112" s="138" t="s">
        <v>135</v>
      </c>
      <c r="C112" s="139" t="s">
        <v>34</v>
      </c>
      <c r="D112" s="2">
        <f>10897462.89*1481.119</f>
        <v>16140439338.17391</v>
      </c>
      <c r="E112" s="3">
        <f t="shared" si="54"/>
        <v>1.1496509087733503E-2</v>
      </c>
      <c r="F112" s="2">
        <f>1.35*1481.119</f>
        <v>1999.5106499999999</v>
      </c>
      <c r="G112" s="2">
        <f>1.35*1481.119</f>
        <v>1999.5106499999999</v>
      </c>
      <c r="H112" s="61">
        <v>115</v>
      </c>
      <c r="I112" s="12">
        <v>8.9999999999999998E-4</v>
      </c>
      <c r="J112" s="12">
        <v>4.6300000000000001E-2</v>
      </c>
      <c r="K112" s="2">
        <f>10891628.55*1483.482</f>
        <v>16157534904.611101</v>
      </c>
      <c r="L112" s="3">
        <f t="shared" si="38"/>
        <v>1.1346702122255805E-2</v>
      </c>
      <c r="M112" s="2">
        <f>1.35*1483.482</f>
        <v>2002.7007000000001</v>
      </c>
      <c r="N112" s="2">
        <f>1.35*1483.482</f>
        <v>2002.7007000000001</v>
      </c>
      <c r="O112" s="61">
        <v>112</v>
      </c>
      <c r="P112" s="12">
        <v>1.2999999999999999E-3</v>
      </c>
      <c r="Q112" s="12">
        <v>4.7399999999999998E-2</v>
      </c>
      <c r="R112" s="81">
        <f t="shared" si="39"/>
        <v>1.0591760285457732E-3</v>
      </c>
      <c r="S112" s="81">
        <f t="shared" si="40"/>
        <v>1.5954153582528584E-3</v>
      </c>
      <c r="T112" s="81">
        <f t="shared" si="41"/>
        <v>-2.6086956521739129E-2</v>
      </c>
      <c r="U112" s="81">
        <f t="shared" si="42"/>
        <v>3.9999999999999996E-4</v>
      </c>
      <c r="V112" s="83">
        <f t="shared" si="43"/>
        <v>1.0999999999999968E-3</v>
      </c>
    </row>
    <row r="113" spans="1:24">
      <c r="A113" s="75">
        <v>98</v>
      </c>
      <c r="B113" s="138" t="s">
        <v>136</v>
      </c>
      <c r="C113" s="139" t="s">
        <v>78</v>
      </c>
      <c r="D113" s="2">
        <f>11020628.95*1481.119</f>
        <v>16322862929.795048</v>
      </c>
      <c r="E113" s="3">
        <f t="shared" si="54"/>
        <v>1.162644572916861E-2</v>
      </c>
      <c r="F113" s="2">
        <f>104.16*1481.119</f>
        <v>154273.35503999999</v>
      </c>
      <c r="G113" s="2">
        <f>104.16*1481.119</f>
        <v>154273.35503999999</v>
      </c>
      <c r="H113" s="60">
        <v>333</v>
      </c>
      <c r="I113" s="5">
        <v>1.8E-3</v>
      </c>
      <c r="J113" s="5">
        <v>0.04</v>
      </c>
      <c r="K113" s="2">
        <f>11082394.71*1483.482</f>
        <v>16440533069.180222</v>
      </c>
      <c r="L113" s="3">
        <f t="shared" si="38"/>
        <v>1.1545438866039322E-2</v>
      </c>
      <c r="M113" s="2">
        <f>104.33*1483.482</f>
        <v>154771.67705999999</v>
      </c>
      <c r="N113" s="2">
        <f>104.33*1483.482</f>
        <v>154771.67705999999</v>
      </c>
      <c r="O113" s="60">
        <v>336</v>
      </c>
      <c r="P113" s="5">
        <v>1.6000000000000001E-3</v>
      </c>
      <c r="Q113" s="5">
        <v>4.1599999999999998E-2</v>
      </c>
      <c r="R113" s="81">
        <f t="shared" si="39"/>
        <v>7.2089154881270134E-3</v>
      </c>
      <c r="S113" s="81">
        <f t="shared" si="40"/>
        <v>3.2301236974511083E-3</v>
      </c>
      <c r="T113" s="81">
        <f t="shared" si="41"/>
        <v>9.0090090090090089E-3</v>
      </c>
      <c r="U113" s="81">
        <f t="shared" si="42"/>
        <v>-1.9999999999999987E-4</v>
      </c>
      <c r="V113" s="83">
        <f t="shared" si="43"/>
        <v>1.5999999999999973E-3</v>
      </c>
    </row>
    <row r="114" spans="1:24">
      <c r="A114" s="75">
        <v>99</v>
      </c>
      <c r="B114" s="138" t="s">
        <v>137</v>
      </c>
      <c r="C114" s="139" t="s">
        <v>38</v>
      </c>
      <c r="D114" s="2">
        <f>1895081.1*1481.119</f>
        <v>2806840623.7508998</v>
      </c>
      <c r="E114" s="3">
        <f t="shared" si="54"/>
        <v>1.9992559101196447E-3</v>
      </c>
      <c r="F114" s="2">
        <f>133.84*1481.119</f>
        <v>198232.96695999999</v>
      </c>
      <c r="G114" s="2">
        <f>137.24*1481.119</f>
        <v>203268.77155999999</v>
      </c>
      <c r="H114" s="60">
        <v>48</v>
      </c>
      <c r="I114" s="5">
        <v>-3.5999999999999999E-3</v>
      </c>
      <c r="J114" s="5">
        <v>1.5100000000000001E-2</v>
      </c>
      <c r="K114" s="2">
        <f>1908959.31*1483.482</f>
        <v>2831906775.1174202</v>
      </c>
      <c r="L114" s="3">
        <f t="shared" si="38"/>
        <v>1.9887193687005583E-3</v>
      </c>
      <c r="M114" s="2">
        <f>134.82*1483.482</f>
        <v>200003.04324</v>
      </c>
      <c r="N114" s="2">
        <f>138.25*1483.482</f>
        <v>205091.38649999999</v>
      </c>
      <c r="O114" s="60">
        <v>48</v>
      </c>
      <c r="P114" s="5">
        <v>6.8999999999999999E-3</v>
      </c>
      <c r="Q114" s="5">
        <v>2.2499999999999999E-2</v>
      </c>
      <c r="R114" s="81">
        <f t="shared" si="39"/>
        <v>8.9303792863819412E-3</v>
      </c>
      <c r="S114" s="81">
        <f t="shared" si="40"/>
        <v>8.9665270568234229E-3</v>
      </c>
      <c r="T114" s="81">
        <f t="shared" si="41"/>
        <v>0</v>
      </c>
      <c r="U114" s="81">
        <f t="shared" si="42"/>
        <v>1.0499999999999999E-2</v>
      </c>
      <c r="V114" s="83">
        <f t="shared" si="43"/>
        <v>7.3999999999999986E-3</v>
      </c>
    </row>
    <row r="115" spans="1:24" ht="16.5" customHeight="1">
      <c r="A115" s="75">
        <v>100</v>
      </c>
      <c r="B115" s="138" t="s">
        <v>138</v>
      </c>
      <c r="C115" s="139" t="s">
        <v>45</v>
      </c>
      <c r="D115" s="4">
        <v>220832134087.14999</v>
      </c>
      <c r="E115" s="3">
        <f t="shared" si="54"/>
        <v>0.1572942708190084</v>
      </c>
      <c r="F115" s="2">
        <v>188222.42</v>
      </c>
      <c r="G115" s="2">
        <v>188222.42</v>
      </c>
      <c r="H115" s="60">
        <v>3145</v>
      </c>
      <c r="I115" s="5">
        <v>5.3199999999999997E-2</v>
      </c>
      <c r="J115" s="5">
        <v>5.3699999999999998E-2</v>
      </c>
      <c r="K115" s="4">
        <v>221521020897.95001</v>
      </c>
      <c r="L115" s="3">
        <f t="shared" si="38"/>
        <v>0.15556414098970753</v>
      </c>
      <c r="M115" s="2">
        <v>188813.31</v>
      </c>
      <c r="N115" s="2">
        <v>188813.31</v>
      </c>
      <c r="O115" s="60">
        <v>3176</v>
      </c>
      <c r="P115" s="5">
        <v>5.3100000000000001E-2</v>
      </c>
      <c r="Q115" s="5">
        <v>5.3699999999999998E-2</v>
      </c>
      <c r="R115" s="81">
        <f t="shared" si="39"/>
        <v>3.1195043857528159E-3</v>
      </c>
      <c r="S115" s="81">
        <f t="shared" si="40"/>
        <v>3.1393178347190777E-3</v>
      </c>
      <c r="T115" s="81">
        <f t="shared" si="41"/>
        <v>9.8569157392686801E-3</v>
      </c>
      <c r="U115" s="81">
        <f t="shared" si="42"/>
        <v>-9.9999999999995925E-5</v>
      </c>
      <c r="V115" s="83">
        <f t="shared" si="43"/>
        <v>0</v>
      </c>
    </row>
    <row r="116" spans="1:24" ht="6" customHeight="1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</row>
    <row r="117" spans="1:24">
      <c r="A117" s="145" t="s">
        <v>231</v>
      </c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</row>
    <row r="118" spans="1:24">
      <c r="A118" s="75">
        <v>101</v>
      </c>
      <c r="B118" s="138" t="s">
        <v>140</v>
      </c>
      <c r="C118" s="139" t="s">
        <v>97</v>
      </c>
      <c r="D118" s="4">
        <v>1264919857.3299999</v>
      </c>
      <c r="E118" s="3">
        <f>(D118/$D$130)</f>
        <v>9.0097687741715309E-4</v>
      </c>
      <c r="F118" s="2">
        <v>169062.05</v>
      </c>
      <c r="G118" s="2">
        <v>169062.05</v>
      </c>
      <c r="H118" s="60">
        <v>22</v>
      </c>
      <c r="I118" s="5">
        <v>-7.8820000000000001E-3</v>
      </c>
      <c r="J118" s="5">
        <v>4.9500000000000002E-2</v>
      </c>
      <c r="K118" s="4">
        <v>1269768982.25</v>
      </c>
      <c r="L118" s="3">
        <f t="shared" ref="L118:L129" si="55">(K118/$K$130)</f>
        <v>8.917010231281595E-4</v>
      </c>
      <c r="M118" s="2">
        <v>169708.87</v>
      </c>
      <c r="N118" s="2">
        <v>169708.87</v>
      </c>
      <c r="O118" s="60">
        <v>22</v>
      </c>
      <c r="P118" s="5">
        <v>3.826E-3</v>
      </c>
      <c r="Q118" s="5">
        <v>5.3400000000000003E-2</v>
      </c>
      <c r="R118" s="81">
        <f>((K118-D118)/D118)</f>
        <v>3.8335432018876178E-3</v>
      </c>
      <c r="S118" s="81">
        <f>((N118-G118)/G118)</f>
        <v>3.8259325496171792E-3</v>
      </c>
      <c r="T118" s="81">
        <f>((O118-H118)/H118)</f>
        <v>0</v>
      </c>
      <c r="U118" s="81">
        <f>P118-I118</f>
        <v>1.1708E-2</v>
      </c>
      <c r="V118" s="83">
        <f>Q118-J118</f>
        <v>3.9000000000000007E-3</v>
      </c>
    </row>
    <row r="119" spans="1:24">
      <c r="A119" s="75">
        <v>102</v>
      </c>
      <c r="B119" s="139" t="s">
        <v>141</v>
      </c>
      <c r="C119" s="139" t="s">
        <v>23</v>
      </c>
      <c r="D119" s="2">
        <f>8801292.2*1481.119</f>
        <v>13035761101.971798</v>
      </c>
      <c r="E119" s="3">
        <f>(D119/$D$130)</f>
        <v>9.2851094591888065E-3</v>
      </c>
      <c r="F119" s="4">
        <f>134.64*1481.119</f>
        <v>199417.86215999996</v>
      </c>
      <c r="G119" s="4">
        <f>134.64*1481.119</f>
        <v>199417.86215999996</v>
      </c>
      <c r="H119" s="60">
        <v>428</v>
      </c>
      <c r="I119" s="5">
        <v>5.0000000000000001E-4</v>
      </c>
      <c r="J119" s="5">
        <v>2.2499999999999999E-2</v>
      </c>
      <c r="K119" s="2">
        <f>8255612.08*1483.482</f>
        <v>12247051919.66256</v>
      </c>
      <c r="L119" s="3">
        <f t="shared" si="55"/>
        <v>8.6005477214568284E-3</v>
      </c>
      <c r="M119" s="4">
        <f>129.23*1483.482</f>
        <v>191710.37885999997</v>
      </c>
      <c r="N119" s="4">
        <f>129.23*1483.482</f>
        <v>191710.37885999997</v>
      </c>
      <c r="O119" s="60">
        <v>428</v>
      </c>
      <c r="P119" s="5">
        <v>5.0000000000000001E-4</v>
      </c>
      <c r="Q119" s="5">
        <v>2.3699999999999999E-2</v>
      </c>
      <c r="R119" s="81">
        <f t="shared" ref="R119:R130" si="56">((K119-D119)/D119)</f>
        <v>-6.0503500803642203E-2</v>
      </c>
      <c r="S119" s="81">
        <f t="shared" ref="S119:S130" si="57">((N119-G119)/G119)</f>
        <v>-3.8649914388391188E-2</v>
      </c>
      <c r="T119" s="81">
        <f t="shared" ref="T119:T130" si="58">((O119-H119)/H119)</f>
        <v>0</v>
      </c>
      <c r="U119" s="81">
        <f t="shared" ref="U119:U130" si="59">P119-I119</f>
        <v>0</v>
      </c>
      <c r="V119" s="83">
        <f t="shared" ref="V119:V130" si="60">Q119-J119</f>
        <v>1.1999999999999997E-3</v>
      </c>
    </row>
    <row r="120" spans="1:24">
      <c r="A120" s="75">
        <v>103</v>
      </c>
      <c r="B120" s="138" t="s">
        <v>142</v>
      </c>
      <c r="C120" s="139" t="s">
        <v>58</v>
      </c>
      <c r="D120" s="4">
        <v>15428063222.629999</v>
      </c>
      <c r="E120" s="3">
        <f t="shared" ref="E120:E129" si="61">(D120/$D$130)</f>
        <v>1.0989097962506881E-2</v>
      </c>
      <c r="F120" s="4">
        <v>163183.84</v>
      </c>
      <c r="G120" s="4">
        <v>163183.84</v>
      </c>
      <c r="H120" s="60">
        <v>606</v>
      </c>
      <c r="I120" s="5">
        <v>1.2999999999999999E-3</v>
      </c>
      <c r="J120" s="5">
        <v>6.4299999999999996E-2</v>
      </c>
      <c r="K120" s="4">
        <v>15224959708.67</v>
      </c>
      <c r="L120" s="3">
        <f t="shared" si="55"/>
        <v>1.0691796963924494E-2</v>
      </c>
      <c r="M120" s="4">
        <v>163387.96</v>
      </c>
      <c r="N120" s="4">
        <v>163387.96</v>
      </c>
      <c r="O120" s="60">
        <v>608</v>
      </c>
      <c r="P120" s="5">
        <v>1.2999999999999999E-3</v>
      </c>
      <c r="Q120" s="5">
        <v>6.4500000000000002E-2</v>
      </c>
      <c r="R120" s="81">
        <f t="shared" si="56"/>
        <v>-1.316455027628389E-2</v>
      </c>
      <c r="S120" s="81">
        <f t="shared" si="57"/>
        <v>1.2508591537004851E-3</v>
      </c>
      <c r="T120" s="81">
        <f t="shared" si="58"/>
        <v>3.3003300330033004E-3</v>
      </c>
      <c r="U120" s="81">
        <f t="shared" si="59"/>
        <v>0</v>
      </c>
      <c r="V120" s="83">
        <f t="shared" si="60"/>
        <v>2.0000000000000573E-4</v>
      </c>
    </row>
    <row r="121" spans="1:24">
      <c r="A121" s="75">
        <v>104</v>
      </c>
      <c r="B121" s="138" t="s">
        <v>143</v>
      </c>
      <c r="C121" s="139" t="s">
        <v>56</v>
      </c>
      <c r="D121" s="4">
        <v>6031355944.1579857</v>
      </c>
      <c r="E121" s="3">
        <f t="shared" si="61"/>
        <v>4.2960130744007785E-3</v>
      </c>
      <c r="F121" s="4">
        <v>1807.4281783540307</v>
      </c>
      <c r="G121" s="4">
        <v>1807.4281783540307</v>
      </c>
      <c r="H121" s="60">
        <v>181</v>
      </c>
      <c r="I121" s="5">
        <v>5.0451676175046152E-2</v>
      </c>
      <c r="J121" s="5">
        <v>5.0858310541072468E-2</v>
      </c>
      <c r="K121" s="4">
        <v>6109914513.592</v>
      </c>
      <c r="L121" s="3">
        <f t="shared" si="55"/>
        <v>4.2907151609117653E-3</v>
      </c>
      <c r="M121" s="4">
        <v>1827.8318671607226</v>
      </c>
      <c r="N121" s="4">
        <v>1827.8318671607226</v>
      </c>
      <c r="O121" s="60">
        <v>181</v>
      </c>
      <c r="P121" s="5">
        <v>5.4053619758931373E-2</v>
      </c>
      <c r="Q121" s="5">
        <v>5.1055619538275906E-2</v>
      </c>
      <c r="R121" s="81">
        <f t="shared" si="56"/>
        <v>1.3025026239763997E-2</v>
      </c>
      <c r="S121" s="81">
        <f t="shared" si="57"/>
        <v>1.1288796451803081E-2</v>
      </c>
      <c r="T121" s="81">
        <f t="shared" si="58"/>
        <v>0</v>
      </c>
      <c r="U121" s="81">
        <f t="shared" si="59"/>
        <v>3.6019435838852212E-3</v>
      </c>
      <c r="V121" s="83">
        <f t="shared" si="60"/>
        <v>1.9730899720343809E-4</v>
      </c>
    </row>
    <row r="122" spans="1:24" ht="15.75">
      <c r="A122" s="75">
        <v>105</v>
      </c>
      <c r="B122" s="138" t="s">
        <v>253</v>
      </c>
      <c r="C122" s="139" t="s">
        <v>114</v>
      </c>
      <c r="D122" s="4">
        <v>1361739023.1800001</v>
      </c>
      <c r="E122" s="3">
        <f t="shared" si="61"/>
        <v>9.6993921460885159E-4</v>
      </c>
      <c r="F122" s="4">
        <f>1.058399*1481.119</f>
        <v>1567.614868481</v>
      </c>
      <c r="G122" s="4">
        <f>1.074067*1481.119</f>
        <v>1590.821040973</v>
      </c>
      <c r="H122" s="60">
        <v>36</v>
      </c>
      <c r="I122" s="5">
        <v>2.2000000000000001E-3</v>
      </c>
      <c r="J122" s="5">
        <v>8.0600000000000005E-2</v>
      </c>
      <c r="K122" s="4">
        <v>1357693010.26</v>
      </c>
      <c r="L122" s="3">
        <f t="shared" si="55"/>
        <v>9.5344607032181482E-4</v>
      </c>
      <c r="M122" s="4">
        <f>1.053573*1483.482</f>
        <v>1562.956581186</v>
      </c>
      <c r="N122" s="4">
        <f>1.069555*1483.482</f>
        <v>1586.6655905100001</v>
      </c>
      <c r="O122" s="60">
        <v>36</v>
      </c>
      <c r="P122" s="5">
        <v>4.1999999999999997E-3</v>
      </c>
      <c r="Q122" s="5">
        <v>8.1600000000000006E-2</v>
      </c>
      <c r="R122" s="81">
        <f t="shared" si="56"/>
        <v>-2.9712102327446176E-3</v>
      </c>
      <c r="S122" s="81">
        <f t="shared" si="57"/>
        <v>-2.6121420046457504E-3</v>
      </c>
      <c r="T122" s="81">
        <f t="shared" si="58"/>
        <v>0</v>
      </c>
      <c r="U122" s="81">
        <f t="shared" si="59"/>
        <v>1.9999999999999996E-3</v>
      </c>
      <c r="V122" s="83">
        <f t="shared" si="60"/>
        <v>1.0000000000000009E-3</v>
      </c>
      <c r="X122" s="117"/>
    </row>
    <row r="123" spans="1:24" ht="15.75">
      <c r="A123" s="75">
        <v>106</v>
      </c>
      <c r="B123" s="138" t="s">
        <v>259</v>
      </c>
      <c r="C123" s="139" t="s">
        <v>36</v>
      </c>
      <c r="D123" s="2">
        <f>1149214.4359*1481.119</f>
        <v>1702123336.0857718</v>
      </c>
      <c r="E123" s="3">
        <f t="shared" si="61"/>
        <v>1.2123880888094385E-3</v>
      </c>
      <c r="F123" s="4">
        <f>10.33*1481.119</f>
        <v>15299.959269999999</v>
      </c>
      <c r="G123" s="4">
        <f>10.33*1481.119</f>
        <v>15299.959269999999</v>
      </c>
      <c r="H123" s="60">
        <v>42</v>
      </c>
      <c r="I123" s="5">
        <v>7.6399999999999996E-2</v>
      </c>
      <c r="J123" s="5">
        <v>9.7500000000000003E-2</v>
      </c>
      <c r="K123" s="2">
        <f>1211154.35*1483.482</f>
        <v>1796725677.4467001</v>
      </c>
      <c r="L123" s="3">
        <f t="shared" si="55"/>
        <v>1.2617587508090651E-3</v>
      </c>
      <c r="M123" s="4">
        <f>10.23*1483.482</f>
        <v>15176.020860000001</v>
      </c>
      <c r="N123" s="4">
        <f>10.23*1483.482</f>
        <v>15176.020860000001</v>
      </c>
      <c r="O123" s="60">
        <v>50</v>
      </c>
      <c r="P123" s="5">
        <v>7.6700000000000004E-2</v>
      </c>
      <c r="Q123" s="5">
        <v>9.4E-2</v>
      </c>
      <c r="R123" s="81">
        <f t="shared" ref="R123" si="62">((K123-D123)/D123)</f>
        <v>5.5579016723005074E-2</v>
      </c>
      <c r="S123" s="81">
        <f t="shared" ref="S123" si="63">((N123-G123)/G123)</f>
        <v>-8.1005712376644029E-3</v>
      </c>
      <c r="T123" s="81">
        <f t="shared" ref="T123" si="64">((O123-H123)/H123)</f>
        <v>0.19047619047619047</v>
      </c>
      <c r="U123" s="81">
        <f t="shared" ref="U123" si="65">P123-I123</f>
        <v>3.0000000000000859E-4</v>
      </c>
      <c r="V123" s="83">
        <f t="shared" ref="V123" si="66">Q123-J123</f>
        <v>-3.5000000000000031E-3</v>
      </c>
      <c r="X123" s="117"/>
    </row>
    <row r="124" spans="1:24" ht="15.75">
      <c r="A124" s="75">
        <v>107</v>
      </c>
      <c r="B124" s="139" t="s">
        <v>144</v>
      </c>
      <c r="C124" s="141" t="s">
        <v>40</v>
      </c>
      <c r="D124" s="4">
        <v>18454833194</v>
      </c>
      <c r="E124" s="3">
        <f t="shared" si="61"/>
        <v>1.3145005106870337E-2</v>
      </c>
      <c r="F124" s="4">
        <f>1.0515*1501.337</f>
        <v>1578.6558555000001</v>
      </c>
      <c r="G124" s="4">
        <f>1.0515*1501.337</f>
        <v>1578.6558555000001</v>
      </c>
      <c r="H124" s="60">
        <v>371</v>
      </c>
      <c r="I124" s="5">
        <v>1.6999999999999999E-3</v>
      </c>
      <c r="J124" s="5">
        <v>8.8300000000000003E-2</v>
      </c>
      <c r="K124" s="4">
        <v>18469187219</v>
      </c>
      <c r="L124" s="3">
        <f t="shared" si="55"/>
        <v>1.2970070437809221E-2</v>
      </c>
      <c r="M124" s="4">
        <f>1.054*1483.482</f>
        <v>1563.5900280000001</v>
      </c>
      <c r="N124" s="4">
        <f>1.054*1483.482</f>
        <v>1563.5900280000001</v>
      </c>
      <c r="O124" s="60">
        <v>371</v>
      </c>
      <c r="P124" s="5">
        <v>1.9E-3</v>
      </c>
      <c r="Q124" s="5">
        <v>9.01E-2</v>
      </c>
      <c r="R124" s="81">
        <f t="shared" si="56"/>
        <v>7.7779218317003017E-4</v>
      </c>
      <c r="S124" s="81">
        <f t="shared" si="57"/>
        <v>-9.5434527085248352E-3</v>
      </c>
      <c r="T124" s="81">
        <f t="shared" si="58"/>
        <v>0</v>
      </c>
      <c r="U124" s="81">
        <f t="shared" si="59"/>
        <v>2.0000000000000009E-4</v>
      </c>
      <c r="V124" s="83">
        <f t="shared" si="60"/>
        <v>1.799999999999996E-3</v>
      </c>
      <c r="X124" s="117"/>
    </row>
    <row r="125" spans="1:24">
      <c r="A125" s="75">
        <v>108</v>
      </c>
      <c r="B125" s="138" t="s">
        <v>145</v>
      </c>
      <c r="C125" s="139" t="s">
        <v>80</v>
      </c>
      <c r="D125" s="4">
        <v>429307905.73000002</v>
      </c>
      <c r="E125" s="3">
        <f t="shared" si="61"/>
        <v>3.0578735412658094E-4</v>
      </c>
      <c r="F125" s="4">
        <f>1.05*1481.119</f>
        <v>1555.1749500000001</v>
      </c>
      <c r="G125" s="4">
        <f>1.05*1481.119</f>
        <v>1555.1749500000001</v>
      </c>
      <c r="H125" s="60">
        <v>3</v>
      </c>
      <c r="I125" s="5">
        <v>-6.901E-3</v>
      </c>
      <c r="J125" s="5">
        <v>1.7825000000000001E-2</v>
      </c>
      <c r="K125" s="4">
        <v>448180438.75999999</v>
      </c>
      <c r="L125" s="3">
        <f t="shared" si="55"/>
        <v>3.1473674453770458E-4</v>
      </c>
      <c r="M125" s="4">
        <f>1.05*1483.482</f>
        <v>1557.6560999999999</v>
      </c>
      <c r="N125" s="4">
        <f>1.05*1483.482</f>
        <v>1557.6560999999999</v>
      </c>
      <c r="O125" s="60">
        <v>3</v>
      </c>
      <c r="P125" s="5">
        <v>-1.142E-3</v>
      </c>
      <c r="Q125" s="5">
        <v>1.6629999999999999E-2</v>
      </c>
      <c r="R125" s="81">
        <f t="shared" si="56"/>
        <v>4.3960366855832538E-2</v>
      </c>
      <c r="S125" s="81">
        <f t="shared" si="57"/>
        <v>1.5954153582526797E-3</v>
      </c>
      <c r="T125" s="81">
        <f t="shared" si="58"/>
        <v>0</v>
      </c>
      <c r="U125" s="81">
        <f t="shared" si="59"/>
        <v>5.7590000000000002E-3</v>
      </c>
      <c r="V125" s="83">
        <f t="shared" si="60"/>
        <v>-1.1950000000000016E-3</v>
      </c>
    </row>
    <row r="126" spans="1:24">
      <c r="A126" s="75">
        <v>109</v>
      </c>
      <c r="B126" s="138" t="s">
        <v>146</v>
      </c>
      <c r="C126" s="139" t="s">
        <v>42</v>
      </c>
      <c r="D126" s="2">
        <v>840845727130.31006</v>
      </c>
      <c r="E126" s="3">
        <f t="shared" si="61"/>
        <v>0.59891743593821978</v>
      </c>
      <c r="F126" s="4">
        <v>2232.3200000000002</v>
      </c>
      <c r="G126" s="4">
        <v>2232.3200000000002</v>
      </c>
      <c r="H126" s="60">
        <v>7427</v>
      </c>
      <c r="I126" s="5">
        <v>1.4E-3</v>
      </c>
      <c r="J126" s="5">
        <v>2.92E-2</v>
      </c>
      <c r="K126" s="2">
        <v>853220287826.59998</v>
      </c>
      <c r="L126" s="3">
        <f t="shared" si="55"/>
        <v>0.59917781442458284</v>
      </c>
      <c r="M126" s="4">
        <v>2258.33</v>
      </c>
      <c r="N126" s="4">
        <v>2258.33</v>
      </c>
      <c r="O126" s="60">
        <v>7488</v>
      </c>
      <c r="P126" s="5">
        <v>1.4E-3</v>
      </c>
      <c r="Q126" s="5">
        <v>3.0700000000000002E-2</v>
      </c>
      <c r="R126" s="81">
        <f t="shared" si="56"/>
        <v>1.471680273445948E-2</v>
      </c>
      <c r="S126" s="81">
        <f t="shared" si="57"/>
        <v>1.1651555332568701E-2</v>
      </c>
      <c r="T126" s="81">
        <f t="shared" si="58"/>
        <v>8.2132758852834255E-3</v>
      </c>
      <c r="U126" s="81">
        <f t="shared" si="59"/>
        <v>0</v>
      </c>
      <c r="V126" s="83">
        <f t="shared" si="60"/>
        <v>1.5000000000000013E-3</v>
      </c>
    </row>
    <row r="127" spans="1:24" ht="16.5" customHeight="1">
      <c r="A127" s="75">
        <v>110</v>
      </c>
      <c r="B127" s="138" t="s">
        <v>147</v>
      </c>
      <c r="C127" s="139" t="s">
        <v>45</v>
      </c>
      <c r="D127" s="2">
        <v>51589936122.089996</v>
      </c>
      <c r="E127" s="3">
        <f t="shared" si="61"/>
        <v>3.6746469971262935E-2</v>
      </c>
      <c r="F127" s="4">
        <v>1659.12</v>
      </c>
      <c r="G127" s="4">
        <v>1659.12</v>
      </c>
      <c r="H127" s="60">
        <v>269</v>
      </c>
      <c r="I127" s="5">
        <v>0.10290000000000001</v>
      </c>
      <c r="J127" s="5">
        <v>7.9200000000000007E-2</v>
      </c>
      <c r="K127" s="2">
        <v>52141529234.919998</v>
      </c>
      <c r="L127" s="3">
        <f t="shared" si="55"/>
        <v>3.6616625241433755E-2</v>
      </c>
      <c r="M127" s="4">
        <v>1665.79</v>
      </c>
      <c r="N127" s="4">
        <v>1665.79</v>
      </c>
      <c r="O127" s="60">
        <v>281</v>
      </c>
      <c r="P127" s="5">
        <v>0.1027</v>
      </c>
      <c r="Q127" s="5">
        <v>8.0299999999999996E-2</v>
      </c>
      <c r="R127" s="81">
        <f t="shared" si="56"/>
        <v>1.069187431294024E-2</v>
      </c>
      <c r="S127" s="81">
        <f t="shared" si="57"/>
        <v>4.020203481363659E-3</v>
      </c>
      <c r="T127" s="81">
        <f t="shared" si="58"/>
        <v>4.4609665427509292E-2</v>
      </c>
      <c r="U127" s="81">
        <f t="shared" si="59"/>
        <v>-2.0000000000000573E-4</v>
      </c>
      <c r="V127" s="83">
        <f t="shared" si="60"/>
        <v>1.0999999999999899E-3</v>
      </c>
    </row>
    <row r="128" spans="1:24" ht="16.5" customHeight="1">
      <c r="A128" s="75">
        <v>111</v>
      </c>
      <c r="B128" s="138" t="s">
        <v>148</v>
      </c>
      <c r="C128" s="139" t="s">
        <v>32</v>
      </c>
      <c r="D128" s="4">
        <v>52044205772.579605</v>
      </c>
      <c r="E128" s="3">
        <f t="shared" ref="E128" si="67">(D128/$D$130)</f>
        <v>3.7070037072239145E-2</v>
      </c>
      <c r="F128" s="4">
        <f>1.1119*1481.119</f>
        <v>1646.8562161</v>
      </c>
      <c r="G128" s="4">
        <f>1.1119*1481.119</f>
        <v>1646.8562161</v>
      </c>
      <c r="H128" s="60">
        <v>1353</v>
      </c>
      <c r="I128" s="5">
        <v>8.9999999999999998E-4</v>
      </c>
      <c r="J128" s="5">
        <v>1.9300000000000001E-2</v>
      </c>
      <c r="K128" s="4">
        <v>56085181411.814674</v>
      </c>
      <c r="L128" s="3">
        <f t="shared" ref="L128" si="68">(K128/$K$130)</f>
        <v>3.9386072857619275E-2</v>
      </c>
      <c r="M128" s="4">
        <f>1.1135*1483.482</f>
        <v>1651.8572069999998</v>
      </c>
      <c r="N128" s="4">
        <f>1.1135*1483.482</f>
        <v>1651.8572069999998</v>
      </c>
      <c r="O128" s="60">
        <v>1362</v>
      </c>
      <c r="P128" s="5">
        <v>1.4389783253887511E-3</v>
      </c>
      <c r="Q128" s="5">
        <v>2.0810414374770714E-2</v>
      </c>
      <c r="R128" s="81">
        <f t="shared" ref="R128" si="69">((K128-D128)/D128)</f>
        <v>7.7645063062219452E-2</v>
      </c>
      <c r="S128" s="81">
        <f t="shared" ref="S128" si="70">((N128-G128)/G128)</f>
        <v>3.036689451762155E-3</v>
      </c>
      <c r="T128" s="81">
        <f t="shared" ref="T128" si="71">((O128-H128)/H128)</f>
        <v>6.6518847006651885E-3</v>
      </c>
      <c r="U128" s="81">
        <f t="shared" ref="U128" si="72">P128-I128</f>
        <v>5.3897832538875117E-4</v>
      </c>
      <c r="V128" s="83">
        <f t="shared" ref="V128" si="73">Q128-J128</f>
        <v>1.5104143747707126E-3</v>
      </c>
    </row>
    <row r="129" spans="1:22">
      <c r="A129" s="75">
        <v>112</v>
      </c>
      <c r="B129" s="138" t="s">
        <v>263</v>
      </c>
      <c r="C129" s="139" t="s">
        <v>261</v>
      </c>
      <c r="D129" s="4">
        <f>692335.69*1481.119</f>
        <v>1025431544.8371098</v>
      </c>
      <c r="E129" s="3">
        <f t="shared" si="61"/>
        <v>7.3039418736182949E-4</v>
      </c>
      <c r="F129" s="4">
        <f>1.18*1481.119</f>
        <v>1747.7204199999999</v>
      </c>
      <c r="G129" s="4">
        <f>1.18*1481.119</f>
        <v>1747.7204199999999</v>
      </c>
      <c r="H129" s="60">
        <v>32</v>
      </c>
      <c r="I129" s="5">
        <v>2.4859999999999999E-3</v>
      </c>
      <c r="J129" s="5">
        <v>6.6104999999999997E-2</v>
      </c>
      <c r="K129" s="4">
        <f>805553.52*1483.482</f>
        <v>1195024146.95664</v>
      </c>
      <c r="L129" s="3">
        <f t="shared" si="55"/>
        <v>8.392111237556511E-4</v>
      </c>
      <c r="M129" s="4">
        <f>1.18*1483.482</f>
        <v>1750.5087599999999</v>
      </c>
      <c r="N129" s="4">
        <f>1.18*1483.482</f>
        <v>1750.5087599999999</v>
      </c>
      <c r="O129" s="60">
        <v>33</v>
      </c>
      <c r="P129" s="5">
        <v>9.4300000000000004E-4</v>
      </c>
      <c r="Q129" s="5">
        <v>6.7110000000000003E-2</v>
      </c>
      <c r="R129" s="81">
        <f t="shared" si="56"/>
        <v>0.16538656624462442</v>
      </c>
      <c r="S129" s="81">
        <f t="shared" si="57"/>
        <v>1.5954153582528161E-3</v>
      </c>
      <c r="T129" s="81">
        <f t="shared" si="58"/>
        <v>3.125E-2</v>
      </c>
      <c r="U129" s="81">
        <f t="shared" si="59"/>
        <v>-1.5429999999999999E-3</v>
      </c>
      <c r="V129" s="83">
        <f t="shared" si="60"/>
        <v>1.0050000000000059E-3</v>
      </c>
    </row>
    <row r="130" spans="1:22">
      <c r="A130" s="75"/>
      <c r="B130" s="19"/>
      <c r="C130" s="66" t="s">
        <v>46</v>
      </c>
      <c r="D130" s="59">
        <f>SUM(D101:D129)</f>
        <v>1403942641631.5686</v>
      </c>
      <c r="E130" s="100">
        <f>(D130/$D$194)</f>
        <v>0.49145304334556172</v>
      </c>
      <c r="F130" s="30"/>
      <c r="G130" s="11"/>
      <c r="H130" s="65">
        <f>SUM(H101:H129)</f>
        <v>17810</v>
      </c>
      <c r="I130" s="33"/>
      <c r="J130" s="33"/>
      <c r="K130" s="59">
        <f>SUM(K101:K129)</f>
        <v>1423985113076.9678</v>
      </c>
      <c r="L130" s="100">
        <f>(K130/$K$194)</f>
        <v>0.49066391121327296</v>
      </c>
      <c r="M130" s="30"/>
      <c r="N130" s="11"/>
      <c r="O130" s="65">
        <f>SUM(O101:O129)</f>
        <v>17948</v>
      </c>
      <c r="P130" s="33"/>
      <c r="Q130" s="33"/>
      <c r="R130" s="81">
        <f t="shared" si="56"/>
        <v>1.4275847781150906E-2</v>
      </c>
      <c r="S130" s="81" t="e">
        <f t="shared" si="57"/>
        <v>#DIV/0!</v>
      </c>
      <c r="T130" s="81">
        <f t="shared" si="58"/>
        <v>7.7484559236384058E-3</v>
      </c>
      <c r="U130" s="81">
        <f t="shared" si="59"/>
        <v>0</v>
      </c>
      <c r="V130" s="83">
        <f t="shared" si="60"/>
        <v>0</v>
      </c>
    </row>
    <row r="131" spans="1:22" ht="8.25" customHeight="1">
      <c r="A131" s="146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</row>
    <row r="132" spans="1:22" ht="15.75">
      <c r="A132" s="144" t="s">
        <v>149</v>
      </c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</row>
    <row r="133" spans="1:22">
      <c r="A133" s="75">
        <v>113</v>
      </c>
      <c r="B133" s="138" t="s">
        <v>245</v>
      </c>
      <c r="C133" s="139" t="s">
        <v>246</v>
      </c>
      <c r="D133" s="2">
        <v>2280720318.2382107</v>
      </c>
      <c r="E133" s="3">
        <f>(D133/$D$138)</f>
        <v>2.3133313177751993E-2</v>
      </c>
      <c r="F133" s="14">
        <v>107.48</v>
      </c>
      <c r="G133" s="14">
        <v>107.48</v>
      </c>
      <c r="H133" s="60">
        <v>7</v>
      </c>
      <c r="I133" s="5">
        <v>2.072196261278636E-3</v>
      </c>
      <c r="J133" s="5">
        <v>5.1799999999999999E-2</v>
      </c>
      <c r="K133" s="2">
        <v>2286695241.8802738</v>
      </c>
      <c r="L133" s="3">
        <f>(K133/$K$138)</f>
        <v>2.3193636242549057E-2</v>
      </c>
      <c r="M133" s="14">
        <v>107.76</v>
      </c>
      <c r="N133" s="14">
        <v>107.76</v>
      </c>
      <c r="O133" s="60">
        <v>7</v>
      </c>
      <c r="P133" s="5">
        <v>2.5999999999999999E-3</v>
      </c>
      <c r="Q133" s="5">
        <v>5.45E-2</v>
      </c>
      <c r="R133" s="81">
        <f t="shared" ref="R133:R138" si="74">((K133-D133)/D133)</f>
        <v>2.6197528887183298E-3</v>
      </c>
      <c r="S133" s="81">
        <f t="shared" ref="S133:T138" si="75">((N133-G133)/G133)</f>
        <v>2.6051358392259129E-3</v>
      </c>
      <c r="T133" s="81">
        <f t="shared" si="75"/>
        <v>0</v>
      </c>
      <c r="U133" s="81">
        <f t="shared" ref="U133:V138" si="76">P133-I133</f>
        <v>5.2780373872136389E-4</v>
      </c>
      <c r="V133" s="83">
        <f t="shared" si="76"/>
        <v>2.700000000000001E-3</v>
      </c>
    </row>
    <row r="134" spans="1:22">
      <c r="A134" s="75">
        <v>114</v>
      </c>
      <c r="B134" s="138" t="s">
        <v>150</v>
      </c>
      <c r="C134" s="139" t="s">
        <v>40</v>
      </c>
      <c r="D134" s="2">
        <v>53749983529</v>
      </c>
      <c r="E134" s="3">
        <f>(D134/$D$138)</f>
        <v>0.54518530498113416</v>
      </c>
      <c r="F134" s="14">
        <v>102.5</v>
      </c>
      <c r="G134" s="14">
        <v>102.5</v>
      </c>
      <c r="H134" s="60">
        <v>666</v>
      </c>
      <c r="I134" s="5">
        <v>0</v>
      </c>
      <c r="J134" s="5">
        <v>7.6999999999999999E-2</v>
      </c>
      <c r="K134" s="2">
        <v>53749983529</v>
      </c>
      <c r="L134" s="3">
        <f>(K134/$K$138)</f>
        <v>0.54517871169817278</v>
      </c>
      <c r="M134" s="14">
        <v>102.5</v>
      </c>
      <c r="N134" s="14">
        <v>102.5</v>
      </c>
      <c r="O134" s="60">
        <v>666</v>
      </c>
      <c r="P134" s="5">
        <v>0</v>
      </c>
      <c r="Q134" s="5">
        <v>7.6999999999999999E-2</v>
      </c>
      <c r="R134" s="81">
        <f t="shared" si="74"/>
        <v>0</v>
      </c>
      <c r="S134" s="81">
        <f t="shared" si="75"/>
        <v>0</v>
      </c>
      <c r="T134" s="81">
        <f t="shared" si="75"/>
        <v>0</v>
      </c>
      <c r="U134" s="81">
        <f t="shared" si="76"/>
        <v>0</v>
      </c>
      <c r="V134" s="83">
        <f t="shared" si="76"/>
        <v>0</v>
      </c>
    </row>
    <row r="135" spans="1:22" ht="15.75" customHeight="1">
      <c r="A135" s="75">
        <v>115</v>
      </c>
      <c r="B135" s="138" t="s">
        <v>151</v>
      </c>
      <c r="C135" s="139" t="s">
        <v>120</v>
      </c>
      <c r="D135" s="2">
        <v>2451818303.4162083</v>
      </c>
      <c r="E135" s="3">
        <f>(D135/$D$138)</f>
        <v>2.4868757565015782E-2</v>
      </c>
      <c r="F135" s="14">
        <v>101.35</v>
      </c>
      <c r="G135" s="14">
        <v>101.35</v>
      </c>
      <c r="H135" s="60">
        <v>2760</v>
      </c>
      <c r="I135" s="5">
        <v>0.42011468542333874</v>
      </c>
      <c r="J135" s="5">
        <v>0.13860382434932858</v>
      </c>
      <c r="K135" s="2">
        <v>2415831635.5599999</v>
      </c>
      <c r="L135" s="3">
        <f>(K135/$K$138)</f>
        <v>2.4503448973964625E-2</v>
      </c>
      <c r="M135" s="14">
        <v>101.35</v>
      </c>
      <c r="N135" s="14">
        <v>101.35</v>
      </c>
      <c r="O135" s="60">
        <v>2760</v>
      </c>
      <c r="P135" s="5">
        <v>0.42011468542333874</v>
      </c>
      <c r="Q135" s="5">
        <v>0.13860382434932858</v>
      </c>
      <c r="R135" s="81">
        <f t="shared" si="74"/>
        <v>-1.4677542706189435E-2</v>
      </c>
      <c r="S135" s="81">
        <f t="shared" si="75"/>
        <v>0</v>
      </c>
      <c r="T135" s="81">
        <f t="shared" si="75"/>
        <v>0</v>
      </c>
      <c r="U135" s="81">
        <f t="shared" si="76"/>
        <v>0</v>
      </c>
      <c r="V135" s="83">
        <f t="shared" si="76"/>
        <v>0</v>
      </c>
    </row>
    <row r="136" spans="1:22">
      <c r="A136" s="75">
        <v>116</v>
      </c>
      <c r="B136" s="138" t="s">
        <v>152</v>
      </c>
      <c r="C136" s="139" t="s">
        <v>120</v>
      </c>
      <c r="D136" s="2">
        <v>10486301982.49</v>
      </c>
      <c r="E136" s="3">
        <f>(D136/$D$138)</f>
        <v>0.10636240923429442</v>
      </c>
      <c r="F136" s="14">
        <v>36.6</v>
      </c>
      <c r="G136" s="14">
        <v>36.6</v>
      </c>
      <c r="H136" s="60">
        <v>5264</v>
      </c>
      <c r="I136" s="5">
        <v>0.10338717547058317</v>
      </c>
      <c r="J136" s="5">
        <v>0.1698782961460448</v>
      </c>
      <c r="K136" s="2">
        <v>10500137158.59</v>
      </c>
      <c r="L136" s="3">
        <f>(K136/$K$138)</f>
        <v>0.10650145121785325</v>
      </c>
      <c r="M136" s="14">
        <v>36.6</v>
      </c>
      <c r="N136" s="14">
        <v>36.6</v>
      </c>
      <c r="O136" s="60">
        <v>5264</v>
      </c>
      <c r="P136" s="5">
        <v>6.5662002152852797E-2</v>
      </c>
      <c r="Q136" s="5">
        <v>0.1705205108359131</v>
      </c>
      <c r="R136" s="81">
        <f t="shared" si="74"/>
        <v>1.3193570167159331E-3</v>
      </c>
      <c r="S136" s="81">
        <f t="shared" si="75"/>
        <v>0</v>
      </c>
      <c r="T136" s="81">
        <f t="shared" si="75"/>
        <v>0</v>
      </c>
      <c r="U136" s="81">
        <f t="shared" si="76"/>
        <v>-3.7725173317730371E-2</v>
      </c>
      <c r="V136" s="83">
        <f t="shared" si="76"/>
        <v>6.4221468986830343E-4</v>
      </c>
    </row>
    <row r="137" spans="1:22">
      <c r="A137" s="75">
        <v>117</v>
      </c>
      <c r="B137" s="138" t="s">
        <v>153</v>
      </c>
      <c r="C137" s="139" t="s">
        <v>42</v>
      </c>
      <c r="D137" s="2">
        <v>29621477252.290001</v>
      </c>
      <c r="E137" s="3">
        <f>(D137/$D$138)</f>
        <v>0.30045021504180364</v>
      </c>
      <c r="F137" s="14">
        <v>4.0999999999999996</v>
      </c>
      <c r="G137" s="14">
        <v>4.0999999999999996</v>
      </c>
      <c r="H137" s="60">
        <v>208348</v>
      </c>
      <c r="I137" s="5">
        <v>-3.5299999999999998E-2</v>
      </c>
      <c r="J137" s="5">
        <v>-0.3594</v>
      </c>
      <c r="K137" s="2">
        <v>29638846151.91</v>
      </c>
      <c r="L137" s="3">
        <f>(K137/$K$138)</f>
        <v>0.30062275186746024</v>
      </c>
      <c r="M137" s="14">
        <v>4.2</v>
      </c>
      <c r="N137" s="14">
        <v>4.2</v>
      </c>
      <c r="O137" s="60">
        <v>208327</v>
      </c>
      <c r="P137" s="5">
        <v>2.4400000000000002E-2</v>
      </c>
      <c r="Q137" s="5">
        <v>-0.3594</v>
      </c>
      <c r="R137" s="81">
        <f t="shared" si="74"/>
        <v>5.8636169533564245E-4</v>
      </c>
      <c r="S137" s="81">
        <f t="shared" si="75"/>
        <v>2.4390243902439157E-2</v>
      </c>
      <c r="T137" s="81">
        <f t="shared" si="75"/>
        <v>-1.0079290417954576E-4</v>
      </c>
      <c r="U137" s="81">
        <f t="shared" si="76"/>
        <v>5.9700000000000003E-2</v>
      </c>
      <c r="V137" s="83">
        <f t="shared" si="76"/>
        <v>0</v>
      </c>
    </row>
    <row r="138" spans="1:22">
      <c r="A138" s="119"/>
      <c r="B138" s="120"/>
      <c r="C138" s="121" t="s">
        <v>46</v>
      </c>
      <c r="D138" s="58">
        <f>SUM(D133:D137)</f>
        <v>98590301385.434418</v>
      </c>
      <c r="E138" s="100">
        <f>(D138/$D$194)</f>
        <v>3.4511740169042536E-2</v>
      </c>
      <c r="F138" s="30"/>
      <c r="G138" s="34"/>
      <c r="H138" s="65">
        <f>SUM(H133:H137)</f>
        <v>217045</v>
      </c>
      <c r="I138" s="35"/>
      <c r="J138" s="35"/>
      <c r="K138" s="58">
        <f>SUM(K133:K137)</f>
        <v>98591493716.940277</v>
      </c>
      <c r="L138" s="100">
        <f>(K138/$K$194)</f>
        <v>3.3971765206858601E-2</v>
      </c>
      <c r="M138" s="30"/>
      <c r="N138" s="34"/>
      <c r="O138" s="65">
        <f>SUM(O133:O137)</f>
        <v>217024</v>
      </c>
      <c r="P138" s="35"/>
      <c r="Q138" s="35"/>
      <c r="R138" s="81">
        <f t="shared" si="74"/>
        <v>1.2093801206652243E-5</v>
      </c>
      <c r="S138" s="81" t="e">
        <f t="shared" si="75"/>
        <v>#DIV/0!</v>
      </c>
      <c r="T138" s="81">
        <f t="shared" si="75"/>
        <v>-9.6754129328019542E-5</v>
      </c>
      <c r="U138" s="81">
        <f t="shared" si="76"/>
        <v>0</v>
      </c>
      <c r="V138" s="83">
        <f t="shared" si="76"/>
        <v>0</v>
      </c>
    </row>
    <row r="139" spans="1:22" ht="7.5" customHeight="1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</row>
    <row r="140" spans="1:22" ht="15" customHeight="1">
      <c r="A140" s="144" t="s">
        <v>154</v>
      </c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</row>
    <row r="141" spans="1:22">
      <c r="A141" s="75">
        <v>118</v>
      </c>
      <c r="B141" s="138" t="s">
        <v>155</v>
      </c>
      <c r="C141" s="139" t="s">
        <v>50</v>
      </c>
      <c r="D141" s="4">
        <v>232173104.62</v>
      </c>
      <c r="E141" s="3">
        <f t="shared" ref="E141:E167" si="77">(D141/$D$168)</f>
        <v>4.8997306137660021E-3</v>
      </c>
      <c r="F141" s="4">
        <v>5.22</v>
      </c>
      <c r="G141" s="4">
        <v>5.27</v>
      </c>
      <c r="H141" s="62">
        <v>11833</v>
      </c>
      <c r="I141" s="6">
        <v>7.5600000000000005E-4</v>
      </c>
      <c r="J141" s="6">
        <v>3.7928999999999997E-2</v>
      </c>
      <c r="K141" s="4">
        <v>237529101.19999999</v>
      </c>
      <c r="L141" s="16">
        <f t="shared" ref="L141:L167" si="78">(K141/$K$168)</f>
        <v>4.8944574683370892E-3</v>
      </c>
      <c r="M141" s="4">
        <v>5.32</v>
      </c>
      <c r="N141" s="4">
        <v>5.37</v>
      </c>
      <c r="O141" s="62">
        <v>11833</v>
      </c>
      <c r="P141" s="6">
        <v>-0.14547599999999999</v>
      </c>
      <c r="Q141" s="6">
        <v>4.5564E-2</v>
      </c>
      <c r="R141" s="81">
        <f>((K141-D141)/D141)</f>
        <v>2.3068979452922401E-2</v>
      </c>
      <c r="S141" s="81">
        <f>((N141-G141)/G141)</f>
        <v>1.8975332068311299E-2</v>
      </c>
      <c r="T141" s="81">
        <f>((O141-H141)/H141)</f>
        <v>0</v>
      </c>
      <c r="U141" s="81">
        <f>P141-I141</f>
        <v>-0.146232</v>
      </c>
      <c r="V141" s="83">
        <f>Q141-J141</f>
        <v>7.6350000000000029E-3</v>
      </c>
    </row>
    <row r="142" spans="1:22">
      <c r="A142" s="75">
        <v>119</v>
      </c>
      <c r="B142" s="138" t="s">
        <v>255</v>
      </c>
      <c r="C142" s="138" t="s">
        <v>254</v>
      </c>
      <c r="D142" s="4">
        <v>571401440.76245272</v>
      </c>
      <c r="E142" s="3">
        <f t="shared" si="77"/>
        <v>1.2058731508268835E-2</v>
      </c>
      <c r="F142" s="4">
        <v>1092.1480145226521</v>
      </c>
      <c r="G142" s="4">
        <v>1102.0312550736494</v>
      </c>
      <c r="H142" s="62">
        <v>171</v>
      </c>
      <c r="I142" s="6">
        <v>-3.3411305544776716E-3</v>
      </c>
      <c r="J142" s="6">
        <v>-2.5350829564370354E-2</v>
      </c>
      <c r="K142" s="4">
        <v>595811635.35331762</v>
      </c>
      <c r="L142" s="16">
        <f t="shared" si="78"/>
        <v>1.2277126018010547E-2</v>
      </c>
      <c r="M142" s="4">
        <v>1137.7976752826398</v>
      </c>
      <c r="N142" s="4">
        <v>1148.4108185584155</v>
      </c>
      <c r="O142" s="62">
        <v>176</v>
      </c>
      <c r="P142" s="6">
        <v>4.1972598214917362E-2</v>
      </c>
      <c r="Q142" s="6">
        <v>1.5557728466826843E-2</v>
      </c>
      <c r="R142" s="81">
        <f>((K142-D142)/D142)</f>
        <v>4.2719868816384184E-2</v>
      </c>
      <c r="S142" s="81">
        <f>((N142-G142)/G142)</f>
        <v>4.2085524590376996E-2</v>
      </c>
      <c r="T142" s="81">
        <f>((O142-H142)/H142)</f>
        <v>2.9239766081871343E-2</v>
      </c>
      <c r="U142" s="81">
        <f>P142-I142</f>
        <v>4.5313728769395031E-2</v>
      </c>
      <c r="V142" s="83">
        <f>Q142-J142</f>
        <v>4.0908558031197195E-2</v>
      </c>
    </row>
    <row r="143" spans="1:22">
      <c r="A143" s="75">
        <v>120</v>
      </c>
      <c r="B143" s="138" t="s">
        <v>156</v>
      </c>
      <c r="C143" s="139" t="s">
        <v>21</v>
      </c>
      <c r="D143" s="4">
        <v>7166529215.3400002</v>
      </c>
      <c r="E143" s="3">
        <f t="shared" si="77"/>
        <v>0.1512408711091725</v>
      </c>
      <c r="F143" s="4">
        <v>751.35889999999995</v>
      </c>
      <c r="G143" s="4">
        <v>774.01300000000003</v>
      </c>
      <c r="H143" s="62">
        <v>21246</v>
      </c>
      <c r="I143" s="6">
        <v>-0.26929999999999998</v>
      </c>
      <c r="J143" s="6">
        <v>0.3387</v>
      </c>
      <c r="K143" s="4">
        <v>7275597385.6300001</v>
      </c>
      <c r="L143" s="16">
        <f t="shared" si="78"/>
        <v>0.14991890164534735</v>
      </c>
      <c r="M143" s="4">
        <v>762.61479999999995</v>
      </c>
      <c r="N143" s="4">
        <v>785.60820000000001</v>
      </c>
      <c r="O143" s="62">
        <v>21260</v>
      </c>
      <c r="P143" s="6">
        <v>0.7833</v>
      </c>
      <c r="Q143" s="6">
        <v>0.36399999999999999</v>
      </c>
      <c r="R143" s="81">
        <f t="shared" ref="R143:R168" si="79">((K143-D143)/D143)</f>
        <v>1.5219106350189554E-2</v>
      </c>
      <c r="S143" s="81">
        <f t="shared" ref="S143:S168" si="80">((N143-G143)/G143)</f>
        <v>1.4980626940374357E-2</v>
      </c>
      <c r="T143" s="81">
        <f t="shared" ref="T143:T168" si="81">((O143-H143)/H143)</f>
        <v>6.5894756660077195E-4</v>
      </c>
      <c r="U143" s="81">
        <f t="shared" ref="U143:U168" si="82">P143-I143</f>
        <v>1.0526</v>
      </c>
      <c r="V143" s="83">
        <f t="shared" ref="V143:V168" si="83">Q143-J143</f>
        <v>2.5299999999999989E-2</v>
      </c>
    </row>
    <row r="144" spans="1:22">
      <c r="A144" s="75">
        <v>121</v>
      </c>
      <c r="B144" s="138" t="s">
        <v>157</v>
      </c>
      <c r="C144" s="139" t="s">
        <v>91</v>
      </c>
      <c r="D144" s="4">
        <v>3408599114.8099999</v>
      </c>
      <c r="E144" s="3">
        <f t="shared" si="77"/>
        <v>7.1934333049580829E-2</v>
      </c>
      <c r="F144" s="4">
        <v>19.231300000000001</v>
      </c>
      <c r="G144" s="4">
        <v>19.4496</v>
      </c>
      <c r="H144" s="60">
        <v>6248</v>
      </c>
      <c r="I144" s="5">
        <v>-1.2999999999999999E-3</v>
      </c>
      <c r="J144" s="5">
        <v>4.2500000000000003E-2</v>
      </c>
      <c r="K144" s="4">
        <v>3511309996.9099998</v>
      </c>
      <c r="L144" s="16">
        <f t="shared" si="78"/>
        <v>7.2353060535316135E-2</v>
      </c>
      <c r="M144" s="4">
        <v>19.600300000000001</v>
      </c>
      <c r="N144" s="4">
        <v>19.825900000000001</v>
      </c>
      <c r="O144" s="60">
        <v>6249</v>
      </c>
      <c r="P144" s="5">
        <v>3.3000000000000002E-2</v>
      </c>
      <c r="Q144" s="5">
        <v>6.2600000000000003E-2</v>
      </c>
      <c r="R144" s="81">
        <f t="shared" si="79"/>
        <v>3.0132872373794872E-2</v>
      </c>
      <c r="S144" s="81">
        <f t="shared" si="80"/>
        <v>1.9347441592629182E-2</v>
      </c>
      <c r="T144" s="81">
        <f t="shared" si="81"/>
        <v>1.6005121638924455E-4</v>
      </c>
      <c r="U144" s="81">
        <f t="shared" si="82"/>
        <v>3.4300000000000004E-2</v>
      </c>
      <c r="V144" s="83">
        <f t="shared" si="83"/>
        <v>2.01E-2</v>
      </c>
    </row>
    <row r="145" spans="1:24">
      <c r="A145" s="75">
        <v>122</v>
      </c>
      <c r="B145" s="138" t="s">
        <v>158</v>
      </c>
      <c r="C145" s="139" t="s">
        <v>101</v>
      </c>
      <c r="D145" s="2">
        <v>1456089007.8859737</v>
      </c>
      <c r="E145" s="3">
        <f t="shared" si="77"/>
        <v>3.0728985168131707E-2</v>
      </c>
      <c r="F145" s="4">
        <v>3.4245000000000001</v>
      </c>
      <c r="G145" s="4">
        <v>3.5099</v>
      </c>
      <c r="H145" s="60">
        <v>2752</v>
      </c>
      <c r="I145" s="5">
        <v>2.53E-2</v>
      </c>
      <c r="J145" s="5">
        <v>0.26029999999999998</v>
      </c>
      <c r="K145" s="2">
        <v>1486680965.97</v>
      </c>
      <c r="L145" s="16">
        <f t="shared" si="78"/>
        <v>3.0634127440240005E-2</v>
      </c>
      <c r="M145" s="4">
        <v>3.4962</v>
      </c>
      <c r="N145" s="4">
        <v>3.5838000000000001</v>
      </c>
      <c r="O145" s="60">
        <v>2752</v>
      </c>
      <c r="P145" s="5">
        <v>1.1009</v>
      </c>
      <c r="Q145" s="5">
        <v>0.30420000000000003</v>
      </c>
      <c r="R145" s="81">
        <f t="shared" si="79"/>
        <v>2.1009675863456551E-2</v>
      </c>
      <c r="S145" s="81">
        <f t="shared" si="80"/>
        <v>2.1054730904014381E-2</v>
      </c>
      <c r="T145" s="81">
        <f t="shared" si="81"/>
        <v>0</v>
      </c>
      <c r="U145" s="81">
        <f t="shared" si="82"/>
        <v>1.0755999999999999</v>
      </c>
      <c r="V145" s="83">
        <f t="shared" si="83"/>
        <v>4.390000000000005E-2</v>
      </c>
    </row>
    <row r="146" spans="1:24">
      <c r="A146" s="75">
        <v>123</v>
      </c>
      <c r="B146" s="138" t="s">
        <v>159</v>
      </c>
      <c r="C146" s="139" t="s">
        <v>56</v>
      </c>
      <c r="D146" s="4">
        <v>3194570690.2807202</v>
      </c>
      <c r="E146" s="3">
        <f t="shared" si="77"/>
        <v>6.7417523811066291E-2</v>
      </c>
      <c r="F146" s="4">
        <v>5986.0246897038796</v>
      </c>
      <c r="G146" s="4">
        <v>6026.3787387492903</v>
      </c>
      <c r="H146" s="60">
        <v>868</v>
      </c>
      <c r="I146" s="5">
        <v>-0.64802773837181105</v>
      </c>
      <c r="J146" s="5">
        <v>8.6588939250373184E-2</v>
      </c>
      <c r="K146" s="4">
        <v>3297341655.5185499</v>
      </c>
      <c r="L146" s="16">
        <f t="shared" si="78"/>
        <v>6.7944089418849496E-2</v>
      </c>
      <c r="M146" s="4">
        <v>6178.5977923621704</v>
      </c>
      <c r="N146" s="4">
        <v>6221.4631213191196</v>
      </c>
      <c r="O146" s="60">
        <v>870</v>
      </c>
      <c r="P146" s="5">
        <v>1.6820549106694391</v>
      </c>
      <c r="Q146" s="5">
        <v>0.16272166644890157</v>
      </c>
      <c r="R146" s="81">
        <f t="shared" si="79"/>
        <v>3.2170509029743451E-2</v>
      </c>
      <c r="S146" s="81">
        <f t="shared" si="80"/>
        <v>3.2371742803924235E-2</v>
      </c>
      <c r="T146" s="81">
        <f t="shared" si="81"/>
        <v>2.304147465437788E-3</v>
      </c>
      <c r="U146" s="81">
        <f t="shared" si="82"/>
        <v>2.3300826490412501</v>
      </c>
      <c r="V146" s="83">
        <f t="shared" si="83"/>
        <v>7.6132727198528385E-2</v>
      </c>
    </row>
    <row r="147" spans="1:24">
      <c r="A147" s="75">
        <v>124</v>
      </c>
      <c r="B147" s="138" t="s">
        <v>160</v>
      </c>
      <c r="C147" s="139" t="s">
        <v>58</v>
      </c>
      <c r="D147" s="4">
        <v>638144379.24000001</v>
      </c>
      <c r="E147" s="3">
        <f t="shared" si="77"/>
        <v>1.3467259939873261E-2</v>
      </c>
      <c r="F147" s="4">
        <v>156.33000000000001</v>
      </c>
      <c r="G147" s="4">
        <v>157.37</v>
      </c>
      <c r="H147" s="60">
        <v>672</v>
      </c>
      <c r="I147" s="5">
        <v>-1.9800000000000002E-2</v>
      </c>
      <c r="J147" s="5">
        <v>2.6700000000000002E-2</v>
      </c>
      <c r="K147" s="4">
        <v>662015878.38999999</v>
      </c>
      <c r="L147" s="16">
        <f t="shared" si="78"/>
        <v>1.3641311922514335E-2</v>
      </c>
      <c r="M147" s="4">
        <v>162.16999999999999</v>
      </c>
      <c r="N147" s="4">
        <v>163.28</v>
      </c>
      <c r="O147" s="60">
        <v>672</v>
      </c>
      <c r="P147" s="5">
        <v>3.7499999999999999E-2</v>
      </c>
      <c r="Q147" s="5">
        <v>6.0499999999999998E-2</v>
      </c>
      <c r="R147" s="81">
        <f t="shared" si="79"/>
        <v>3.740767752029691E-2</v>
      </c>
      <c r="S147" s="81">
        <f t="shared" si="80"/>
        <v>3.7554807142403231E-2</v>
      </c>
      <c r="T147" s="81">
        <f t="shared" si="81"/>
        <v>0</v>
      </c>
      <c r="U147" s="81">
        <f t="shared" si="82"/>
        <v>5.7300000000000004E-2</v>
      </c>
      <c r="V147" s="83">
        <f t="shared" si="83"/>
        <v>3.3799999999999997E-2</v>
      </c>
    </row>
    <row r="148" spans="1:24">
      <c r="A148" s="75">
        <v>125</v>
      </c>
      <c r="B148" s="138" t="s">
        <v>161</v>
      </c>
      <c r="C148" s="139" t="s">
        <v>60</v>
      </c>
      <c r="D148" s="4">
        <v>3734808.11</v>
      </c>
      <c r="E148" s="3">
        <f t="shared" si="77"/>
        <v>7.8818576609291594E-5</v>
      </c>
      <c r="F148" s="4">
        <v>102.747</v>
      </c>
      <c r="G148" s="4">
        <v>102.99</v>
      </c>
      <c r="H148" s="60">
        <v>0</v>
      </c>
      <c r="I148" s="5">
        <v>0</v>
      </c>
      <c r="J148" s="5">
        <v>0</v>
      </c>
      <c r="K148" s="4">
        <v>3734808.11</v>
      </c>
      <c r="L148" s="16">
        <f t="shared" si="78"/>
        <v>7.6958399431671106E-5</v>
      </c>
      <c r="M148" s="4">
        <v>102.747</v>
      </c>
      <c r="N148" s="4">
        <v>102.99</v>
      </c>
      <c r="O148" s="60">
        <v>0</v>
      </c>
      <c r="P148" s="5">
        <v>0</v>
      </c>
      <c r="Q148" s="5">
        <v>0</v>
      </c>
      <c r="R148" s="81">
        <f t="shared" si="79"/>
        <v>0</v>
      </c>
      <c r="S148" s="81">
        <f t="shared" si="80"/>
        <v>0</v>
      </c>
      <c r="T148" s="81" t="e">
        <f t="shared" si="81"/>
        <v>#DIV/0!</v>
      </c>
      <c r="U148" s="81">
        <f t="shared" si="82"/>
        <v>0</v>
      </c>
      <c r="V148" s="83">
        <f t="shared" si="83"/>
        <v>0</v>
      </c>
    </row>
    <row r="149" spans="1:24">
      <c r="A149" s="75">
        <v>126</v>
      </c>
      <c r="B149" s="138" t="s">
        <v>162</v>
      </c>
      <c r="C149" s="139" t="s">
        <v>105</v>
      </c>
      <c r="D149" s="4">
        <v>183570878.66</v>
      </c>
      <c r="E149" s="3">
        <f t="shared" si="77"/>
        <v>3.8740398266132558E-3</v>
      </c>
      <c r="F149" s="4">
        <v>1.4032</v>
      </c>
      <c r="G149" s="4">
        <v>1.4145000000000001</v>
      </c>
      <c r="H149" s="60">
        <v>303</v>
      </c>
      <c r="I149" s="5">
        <v>-5.5300000000000002E-2</v>
      </c>
      <c r="J149" s="5">
        <v>-8.0500000000000002E-2</v>
      </c>
      <c r="K149" s="4">
        <v>187732252.13</v>
      </c>
      <c r="L149" s="16">
        <f t="shared" si="78"/>
        <v>3.8683576826729475E-3</v>
      </c>
      <c r="M149" s="4">
        <v>1.4416</v>
      </c>
      <c r="N149" s="4">
        <v>1.4536</v>
      </c>
      <c r="O149" s="60">
        <v>306</v>
      </c>
      <c r="P149" s="5">
        <v>2.7400000000000001E-2</v>
      </c>
      <c r="Q149" s="5">
        <v>-2.9399999999999999E-2</v>
      </c>
      <c r="R149" s="81">
        <f t="shared" si="79"/>
        <v>2.2669028444906387E-2</v>
      </c>
      <c r="S149" s="81">
        <f t="shared" si="80"/>
        <v>2.7642276422764164E-2</v>
      </c>
      <c r="T149" s="81">
        <f t="shared" si="81"/>
        <v>9.9009900990099011E-3</v>
      </c>
      <c r="U149" s="81">
        <f t="shared" si="82"/>
        <v>8.2699999999999996E-2</v>
      </c>
      <c r="V149" s="83">
        <f t="shared" si="83"/>
        <v>5.1100000000000007E-2</v>
      </c>
    </row>
    <row r="150" spans="1:24">
      <c r="A150" s="75">
        <v>127</v>
      </c>
      <c r="B150" s="138" t="s">
        <v>163</v>
      </c>
      <c r="C150" s="139" t="s">
        <v>25</v>
      </c>
      <c r="D150" s="9">
        <v>136393235.68000001</v>
      </c>
      <c r="E150" s="3">
        <f t="shared" si="77"/>
        <v>2.878413128280704E-3</v>
      </c>
      <c r="F150" s="4">
        <v>151.8486</v>
      </c>
      <c r="G150" s="4">
        <v>152.35400000000001</v>
      </c>
      <c r="H150" s="60">
        <v>104</v>
      </c>
      <c r="I150" s="5">
        <v>1.005E-3</v>
      </c>
      <c r="J150" s="5">
        <v>0.29980000000000001</v>
      </c>
      <c r="K150" s="9">
        <v>137294905.5</v>
      </c>
      <c r="L150" s="16">
        <f t="shared" si="78"/>
        <v>2.8290599854680458E-3</v>
      </c>
      <c r="M150" s="4">
        <v>152.92519999999999</v>
      </c>
      <c r="N150" s="4">
        <v>153.43700000000001</v>
      </c>
      <c r="O150" s="60">
        <v>107</v>
      </c>
      <c r="P150" s="5">
        <v>1.2489999999999999E-3</v>
      </c>
      <c r="Q150" s="5">
        <v>0.30109999999999998</v>
      </c>
      <c r="R150" s="81">
        <f t="shared" si="79"/>
        <v>6.6108103932327857E-3</v>
      </c>
      <c r="S150" s="81">
        <f t="shared" si="80"/>
        <v>7.1084448061750809E-3</v>
      </c>
      <c r="T150" s="81">
        <f t="shared" si="81"/>
        <v>2.8846153846153848E-2</v>
      </c>
      <c r="U150" s="81">
        <f t="shared" si="82"/>
        <v>2.4399999999999986E-4</v>
      </c>
      <c r="V150" s="83">
        <f t="shared" si="83"/>
        <v>1.2999999999999678E-3</v>
      </c>
    </row>
    <row r="151" spans="1:24">
      <c r="A151" s="75">
        <v>128</v>
      </c>
      <c r="B151" s="138" t="s">
        <v>164</v>
      </c>
      <c r="C151" s="139" t="s">
        <v>64</v>
      </c>
      <c r="D151" s="9">
        <v>201650008.69</v>
      </c>
      <c r="E151" s="3">
        <f t="shared" si="77"/>
        <v>4.2555778476653996E-3</v>
      </c>
      <c r="F151" s="4">
        <v>112.61</v>
      </c>
      <c r="G151" s="4">
        <v>113.55</v>
      </c>
      <c r="H151" s="60">
        <v>28</v>
      </c>
      <c r="I151" s="5">
        <v>1.005E-3</v>
      </c>
      <c r="J151" s="5">
        <v>8.8599999999999998E-2</v>
      </c>
      <c r="K151" s="9">
        <v>203315907.24000001</v>
      </c>
      <c r="L151" s="16">
        <f t="shared" si="78"/>
        <v>4.189470071646737E-3</v>
      </c>
      <c r="M151" s="4">
        <v>113.51</v>
      </c>
      <c r="N151" s="4">
        <v>114.52</v>
      </c>
      <c r="O151" s="60">
        <v>28</v>
      </c>
      <c r="P151" s="5">
        <v>8.9999999999999993E-3</v>
      </c>
      <c r="Q151" s="5">
        <v>9.7600000000000006E-2</v>
      </c>
      <c r="R151" s="81">
        <f t="shared" si="79"/>
        <v>8.2613363660252858E-3</v>
      </c>
      <c r="S151" s="81">
        <f t="shared" si="80"/>
        <v>8.5424922941435399E-3</v>
      </c>
      <c r="T151" s="81">
        <f t="shared" si="81"/>
        <v>0</v>
      </c>
      <c r="U151" s="81">
        <f t="shared" si="82"/>
        <v>7.9949999999999986E-3</v>
      </c>
      <c r="V151" s="83">
        <f t="shared" si="83"/>
        <v>9.000000000000008E-3</v>
      </c>
    </row>
    <row r="152" spans="1:24" ht="15.75" customHeight="1">
      <c r="A152" s="75">
        <v>129</v>
      </c>
      <c r="B152" s="138" t="s">
        <v>165</v>
      </c>
      <c r="C152" s="139" t="s">
        <v>67</v>
      </c>
      <c r="D152" s="2">
        <v>325000078.76999998</v>
      </c>
      <c r="E152" s="3">
        <f t="shared" si="77"/>
        <v>6.8587308509831437E-3</v>
      </c>
      <c r="F152" s="4">
        <v>1.2524</v>
      </c>
      <c r="G152" s="4">
        <v>1.2524</v>
      </c>
      <c r="H152" s="60">
        <v>107</v>
      </c>
      <c r="I152" s="5">
        <v>-2.8926815157647958E-4</v>
      </c>
      <c r="J152" s="5">
        <v>6.0447990181037109E-2</v>
      </c>
      <c r="K152" s="2">
        <v>328318252.94</v>
      </c>
      <c r="L152" s="16">
        <f t="shared" si="78"/>
        <v>6.7652330471310211E-3</v>
      </c>
      <c r="M152" s="4">
        <v>1.2639</v>
      </c>
      <c r="N152" s="4">
        <v>1.2639</v>
      </c>
      <c r="O152" s="60">
        <v>108</v>
      </c>
      <c r="P152" s="5">
        <v>9.1800000000000007E-3</v>
      </c>
      <c r="Q152" s="5">
        <v>6.93E-2</v>
      </c>
      <c r="R152" s="81">
        <f t="shared" si="79"/>
        <v>1.0209764202390432E-2</v>
      </c>
      <c r="S152" s="81">
        <f t="shared" si="80"/>
        <v>9.1823698498882667E-3</v>
      </c>
      <c r="T152" s="81">
        <f t="shared" si="81"/>
        <v>9.3457943925233638E-3</v>
      </c>
      <c r="U152" s="81">
        <f t="shared" si="82"/>
        <v>9.46926815157648E-3</v>
      </c>
      <c r="V152" s="83">
        <f t="shared" si="83"/>
        <v>8.8520098189628915E-3</v>
      </c>
      <c r="X152" s="105"/>
    </row>
    <row r="153" spans="1:24">
      <c r="A153" s="75">
        <v>130</v>
      </c>
      <c r="B153" s="138" t="s">
        <v>166</v>
      </c>
      <c r="C153" s="139" t="s">
        <v>27</v>
      </c>
      <c r="D153" s="4">
        <v>8136688502.6700001</v>
      </c>
      <c r="E153" s="3">
        <f t="shared" si="77"/>
        <v>0.17171490132959938</v>
      </c>
      <c r="F153" s="4">
        <v>297.41000000000003</v>
      </c>
      <c r="G153" s="4">
        <v>299.29000000000002</v>
      </c>
      <c r="H153" s="60">
        <v>5495</v>
      </c>
      <c r="I153" s="5">
        <v>-1.1999999999999999E-3</v>
      </c>
      <c r="J153" s="5">
        <v>9.98E-2</v>
      </c>
      <c r="K153" s="4">
        <v>8264344452.29</v>
      </c>
      <c r="L153" s="16">
        <f t="shared" si="78"/>
        <v>0.17029274400934324</v>
      </c>
      <c r="M153" s="4">
        <v>302.16000000000003</v>
      </c>
      <c r="N153" s="4">
        <v>303.93</v>
      </c>
      <c r="O153" s="60">
        <v>5494</v>
      </c>
      <c r="P153" s="5">
        <v>1.5699999999999999E-2</v>
      </c>
      <c r="Q153" s="5">
        <v>0.1174</v>
      </c>
      <c r="R153" s="81">
        <f t="shared" si="79"/>
        <v>1.5688931630860693E-2</v>
      </c>
      <c r="S153" s="81">
        <f t="shared" si="80"/>
        <v>1.5503357947141522E-2</v>
      </c>
      <c r="T153" s="81">
        <f t="shared" si="81"/>
        <v>-1.8198362147406734E-4</v>
      </c>
      <c r="U153" s="81">
        <f t="shared" si="82"/>
        <v>1.6899999999999998E-2</v>
      </c>
      <c r="V153" s="83">
        <f t="shared" si="83"/>
        <v>1.7600000000000005E-2</v>
      </c>
    </row>
    <row r="154" spans="1:24">
      <c r="A154" s="75">
        <v>131</v>
      </c>
      <c r="B154" s="138" t="s">
        <v>167</v>
      </c>
      <c r="C154" s="139" t="s">
        <v>72</v>
      </c>
      <c r="D154" s="4">
        <v>2740757077.8099999</v>
      </c>
      <c r="E154" s="3">
        <f t="shared" si="77"/>
        <v>5.7840340210899253E-2</v>
      </c>
      <c r="F154" s="4">
        <v>1.8405</v>
      </c>
      <c r="G154" s="4">
        <v>1.8697999999999999</v>
      </c>
      <c r="H154" s="60">
        <v>10312</v>
      </c>
      <c r="I154" s="5">
        <v>-2.7000000000000001E-3</v>
      </c>
      <c r="J154" s="5">
        <v>5.45E-2</v>
      </c>
      <c r="K154" s="4">
        <v>2648625083.25</v>
      </c>
      <c r="L154" s="16">
        <f t="shared" si="78"/>
        <v>5.4576819236235585E-2</v>
      </c>
      <c r="M154" s="4">
        <v>1.8551</v>
      </c>
      <c r="N154" s="4">
        <v>1.8849</v>
      </c>
      <c r="O154" s="60">
        <v>10312</v>
      </c>
      <c r="P154" s="5">
        <v>4.1599999999999998E-2</v>
      </c>
      <c r="Q154" s="5">
        <v>6.2899999999999998E-2</v>
      </c>
      <c r="R154" s="81">
        <f t="shared" si="79"/>
        <v>-3.3615527368670683E-2</v>
      </c>
      <c r="S154" s="81">
        <f t="shared" si="80"/>
        <v>8.0757300246016225E-3</v>
      </c>
      <c r="T154" s="81">
        <f t="shared" si="81"/>
        <v>0</v>
      </c>
      <c r="U154" s="81">
        <f t="shared" si="82"/>
        <v>4.4299999999999999E-2</v>
      </c>
      <c r="V154" s="83">
        <f t="shared" si="83"/>
        <v>8.3999999999999977E-3</v>
      </c>
    </row>
    <row r="155" spans="1:24">
      <c r="A155" s="75">
        <v>132</v>
      </c>
      <c r="B155" s="138" t="s">
        <v>168</v>
      </c>
      <c r="C155" s="139" t="s">
        <v>74</v>
      </c>
      <c r="D155" s="4">
        <v>176480342.24956572</v>
      </c>
      <c r="E155" s="3">
        <f t="shared" si="77"/>
        <v>3.7244026911014165E-3</v>
      </c>
      <c r="F155" s="4">
        <v>229.62614761399499</v>
      </c>
      <c r="G155" s="4">
        <v>236.277066872425</v>
      </c>
      <c r="H155" s="60">
        <v>183</v>
      </c>
      <c r="I155" s="5">
        <v>-2.351822372573531E-2</v>
      </c>
      <c r="J155" s="5">
        <v>-2.351822372573531E-2</v>
      </c>
      <c r="K155" s="4">
        <v>186195154.25759649</v>
      </c>
      <c r="L155" s="16">
        <f t="shared" si="78"/>
        <v>3.8366846787204092E-3</v>
      </c>
      <c r="M155" s="4">
        <v>242.26650646508836</v>
      </c>
      <c r="N155" s="4">
        <v>249.05631780496762</v>
      </c>
      <c r="O155" s="60">
        <v>183</v>
      </c>
      <c r="P155" s="5">
        <v>5.5047558749023562E-2</v>
      </c>
      <c r="Q155" s="5">
        <v>-7.9989089137320057E-3</v>
      </c>
      <c r="R155" s="81">
        <f t="shared" si="79"/>
        <v>5.5047558749023666E-2</v>
      </c>
      <c r="S155" s="81">
        <f t="shared" si="80"/>
        <v>5.408587088751457E-2</v>
      </c>
      <c r="T155" s="81">
        <f t="shared" si="81"/>
        <v>0</v>
      </c>
      <c r="U155" s="81">
        <f t="shared" si="82"/>
        <v>7.8565782474758872E-2</v>
      </c>
      <c r="V155" s="83">
        <f t="shared" si="83"/>
        <v>1.5519314812003304E-2</v>
      </c>
    </row>
    <row r="156" spans="1:24" ht="13.5" customHeight="1">
      <c r="A156" s="75">
        <v>133</v>
      </c>
      <c r="B156" s="138" t="s">
        <v>240</v>
      </c>
      <c r="C156" s="139" t="s">
        <v>32</v>
      </c>
      <c r="D156" s="2">
        <v>2603583772.2825999</v>
      </c>
      <c r="E156" s="3">
        <f t="shared" si="77"/>
        <v>5.4945464658521508E-2</v>
      </c>
      <c r="F156" s="4">
        <v>3.6314000000000002</v>
      </c>
      <c r="G156" s="4">
        <v>3.6919</v>
      </c>
      <c r="H156" s="60">
        <v>2313</v>
      </c>
      <c r="I156" s="5">
        <v>2.4199007220216728E-2</v>
      </c>
      <c r="J156" s="5">
        <v>-1.6220823138042295E-3</v>
      </c>
      <c r="K156" s="2">
        <v>2636092888.8546</v>
      </c>
      <c r="L156" s="16">
        <f t="shared" si="78"/>
        <v>5.4318584383565592E-2</v>
      </c>
      <c r="M156" s="4">
        <v>3.6837</v>
      </c>
      <c r="N156" s="4">
        <v>3.7462</v>
      </c>
      <c r="O156" s="60">
        <v>2312</v>
      </c>
      <c r="P156" s="5">
        <v>1.4402158946962507E-2</v>
      </c>
      <c r="Q156" s="5">
        <v>1.2756715145849862E-2</v>
      </c>
      <c r="R156" s="81">
        <f t="shared" si="79"/>
        <v>1.2486295589213482E-2</v>
      </c>
      <c r="S156" s="81">
        <f t="shared" si="80"/>
        <v>1.4707873994420221E-2</v>
      </c>
      <c r="T156" s="81">
        <f t="shared" si="81"/>
        <v>-4.3233895373973193E-4</v>
      </c>
      <c r="U156" s="81">
        <f t="shared" si="82"/>
        <v>-9.7968482732542217E-3</v>
      </c>
      <c r="V156" s="83">
        <f>Q156-J156</f>
        <v>1.4378797459654091E-2</v>
      </c>
    </row>
    <row r="157" spans="1:24">
      <c r="A157" s="75">
        <v>134</v>
      </c>
      <c r="B157" s="138" t="s">
        <v>169</v>
      </c>
      <c r="C157" s="139" t="s">
        <v>114</v>
      </c>
      <c r="D157" s="2">
        <v>220762013.77000001</v>
      </c>
      <c r="E157" s="3">
        <f t="shared" si="77"/>
        <v>4.6589134387287788E-3</v>
      </c>
      <c r="F157" s="4">
        <v>187.37364400000001</v>
      </c>
      <c r="G157" s="4">
        <v>190.29176200000001</v>
      </c>
      <c r="H157" s="60">
        <v>139</v>
      </c>
      <c r="I157" s="5">
        <v>1.44E-2</v>
      </c>
      <c r="J157" s="5">
        <v>2.8000000000000001E-2</v>
      </c>
      <c r="K157" s="2">
        <v>220147519.38</v>
      </c>
      <c r="L157" s="16">
        <f t="shared" si="78"/>
        <v>4.536297510165147E-3</v>
      </c>
      <c r="M157" s="4">
        <v>186.89475899999999</v>
      </c>
      <c r="N157" s="4">
        <v>190.365545</v>
      </c>
      <c r="O157" s="60">
        <v>139</v>
      </c>
      <c r="P157" s="5">
        <v>1.44E-2</v>
      </c>
      <c r="Q157" s="5">
        <v>2.8000000000000001E-2</v>
      </c>
      <c r="R157" s="81">
        <f t="shared" si="79"/>
        <v>-2.783515059978679E-3</v>
      </c>
      <c r="S157" s="81">
        <f t="shared" si="80"/>
        <v>3.8773617535787868E-4</v>
      </c>
      <c r="T157" s="81">
        <f t="shared" si="81"/>
        <v>0</v>
      </c>
      <c r="U157" s="81">
        <f t="shared" si="82"/>
        <v>0</v>
      </c>
      <c r="V157" s="83">
        <f t="shared" si="83"/>
        <v>0</v>
      </c>
    </row>
    <row r="158" spans="1:24">
      <c r="A158" s="75">
        <v>135</v>
      </c>
      <c r="B158" s="138" t="s">
        <v>170</v>
      </c>
      <c r="C158" s="139" t="s">
        <v>29</v>
      </c>
      <c r="D158" s="2">
        <v>1619132293.1500001</v>
      </c>
      <c r="E158" s="3">
        <f t="shared" si="77"/>
        <v>3.4169815136291234E-2</v>
      </c>
      <c r="F158" s="4">
        <v>552.22</v>
      </c>
      <c r="G158" s="4">
        <v>552.22</v>
      </c>
      <c r="H158" s="60">
        <v>823</v>
      </c>
      <c r="I158" s="5">
        <v>4.3499999999999997E-3</v>
      </c>
      <c r="J158" s="5">
        <v>3.5720000000000002E-2</v>
      </c>
      <c r="K158" s="2">
        <v>1657249896.05</v>
      </c>
      <c r="L158" s="16">
        <f t="shared" si="78"/>
        <v>3.4148822563821443E-2</v>
      </c>
      <c r="M158" s="4">
        <v>552.22</v>
      </c>
      <c r="N158" s="4">
        <v>552.22</v>
      </c>
      <c r="O158" s="60">
        <v>823</v>
      </c>
      <c r="P158" s="5">
        <v>2.3539999999999998E-2</v>
      </c>
      <c r="Q158" s="5">
        <v>6.0100000000000001E-2</v>
      </c>
      <c r="R158" s="81">
        <f t="shared" si="79"/>
        <v>2.3541994104658719E-2</v>
      </c>
      <c r="S158" s="81">
        <f t="shared" si="80"/>
        <v>0</v>
      </c>
      <c r="T158" s="81">
        <f t="shared" si="81"/>
        <v>0</v>
      </c>
      <c r="U158" s="81">
        <f t="shared" si="82"/>
        <v>1.9189999999999999E-2</v>
      </c>
      <c r="V158" s="83">
        <f t="shared" si="83"/>
        <v>2.4379999999999999E-2</v>
      </c>
    </row>
    <row r="159" spans="1:24">
      <c r="A159" s="75">
        <v>136</v>
      </c>
      <c r="B159" s="138" t="s">
        <v>171</v>
      </c>
      <c r="C159" s="139" t="s">
        <v>80</v>
      </c>
      <c r="D159" s="4">
        <v>24392542.920000002</v>
      </c>
      <c r="E159" s="3">
        <f t="shared" si="77"/>
        <v>5.1477491110927609E-4</v>
      </c>
      <c r="F159" s="4">
        <v>1.56</v>
      </c>
      <c r="G159" s="4">
        <v>1.56</v>
      </c>
      <c r="H159" s="60">
        <v>7</v>
      </c>
      <c r="I159" s="5">
        <v>-1.3261E-2</v>
      </c>
      <c r="J159" s="122">
        <v>-4.2305000000000002E-2</v>
      </c>
      <c r="K159" s="4">
        <v>25653655.379999999</v>
      </c>
      <c r="L159" s="16">
        <f t="shared" si="78"/>
        <v>5.2861196598838879E-4</v>
      </c>
      <c r="M159" s="4">
        <v>1.63</v>
      </c>
      <c r="N159" s="4">
        <v>1.63</v>
      </c>
      <c r="O159" s="60">
        <v>8</v>
      </c>
      <c r="P159" s="5">
        <v>4.8036000000000002E-2</v>
      </c>
      <c r="Q159" s="122">
        <v>3.699E-3</v>
      </c>
      <c r="R159" s="81">
        <f t="shared" si="79"/>
        <v>5.1700737562953403E-2</v>
      </c>
      <c r="S159" s="81">
        <f t="shared" si="80"/>
        <v>4.4871794871794768E-2</v>
      </c>
      <c r="T159" s="81">
        <f t="shared" si="81"/>
        <v>0.14285714285714285</v>
      </c>
      <c r="U159" s="81">
        <f t="shared" si="82"/>
        <v>6.1297000000000004E-2</v>
      </c>
      <c r="V159" s="83">
        <f t="shared" si="83"/>
        <v>4.6004000000000003E-2</v>
      </c>
    </row>
    <row r="160" spans="1:24">
      <c r="A160" s="75">
        <v>137</v>
      </c>
      <c r="B160" s="138" t="s">
        <v>172</v>
      </c>
      <c r="C160" s="139" t="s">
        <v>38</v>
      </c>
      <c r="D160" s="4">
        <v>253404082.18000001</v>
      </c>
      <c r="E160" s="3">
        <f t="shared" si="77"/>
        <v>5.3477845383632181E-3</v>
      </c>
      <c r="F160" s="4">
        <v>2.5664669999999998</v>
      </c>
      <c r="G160" s="4">
        <v>2.6060319999999999</v>
      </c>
      <c r="H160" s="60">
        <v>116</v>
      </c>
      <c r="I160" s="5">
        <v>7.0900000000000005E-2</v>
      </c>
      <c r="J160" s="5">
        <v>0.1033</v>
      </c>
      <c r="K160" s="4">
        <v>261216453.02000001</v>
      </c>
      <c r="L160" s="16">
        <f t="shared" si="78"/>
        <v>5.3825523393857882E-3</v>
      </c>
      <c r="M160" s="4">
        <v>2.65</v>
      </c>
      <c r="N160" s="4">
        <v>2.69</v>
      </c>
      <c r="O160" s="60">
        <v>117</v>
      </c>
      <c r="P160" s="5">
        <v>2.2499999999999999E-2</v>
      </c>
      <c r="Q160" s="5">
        <v>0.1371</v>
      </c>
      <c r="R160" s="81">
        <f t="shared" si="79"/>
        <v>3.0829696083785493E-2</v>
      </c>
      <c r="S160" s="81">
        <f t="shared" si="80"/>
        <v>3.2220632747410639E-2</v>
      </c>
      <c r="T160" s="81">
        <f t="shared" si="81"/>
        <v>8.6206896551724137E-3</v>
      </c>
      <c r="U160" s="81">
        <f t="shared" si="82"/>
        <v>-4.8400000000000006E-2</v>
      </c>
      <c r="V160" s="83">
        <f t="shared" si="83"/>
        <v>3.3799999999999997E-2</v>
      </c>
    </row>
    <row r="161" spans="1:22">
      <c r="A161" s="75">
        <v>138</v>
      </c>
      <c r="B161" s="138" t="s">
        <v>173</v>
      </c>
      <c r="C161" s="139" t="s">
        <v>42</v>
      </c>
      <c r="D161" s="2">
        <v>2537266355.0500002</v>
      </c>
      <c r="E161" s="3">
        <f t="shared" si="77"/>
        <v>5.3545916334557409E-2</v>
      </c>
      <c r="F161" s="4">
        <v>5163.1099999999997</v>
      </c>
      <c r="G161" s="4">
        <v>5213.63</v>
      </c>
      <c r="H161" s="60">
        <v>2239</v>
      </c>
      <c r="I161" s="5">
        <v>-1.38E-2</v>
      </c>
      <c r="J161" s="5">
        <v>3.8300000000000001E-2</v>
      </c>
      <c r="K161" s="2">
        <v>2631311812.1799998</v>
      </c>
      <c r="L161" s="3">
        <f t="shared" si="78"/>
        <v>5.4220066870054748E-2</v>
      </c>
      <c r="M161" s="4">
        <v>5379.17</v>
      </c>
      <c r="N161" s="4">
        <v>5433.63</v>
      </c>
      <c r="O161" s="60">
        <v>2237</v>
      </c>
      <c r="P161" s="5">
        <v>4.2200000000000001E-2</v>
      </c>
      <c r="Q161" s="5">
        <v>8.2100000000000006E-2</v>
      </c>
      <c r="R161" s="81">
        <f t="shared" si="79"/>
        <v>3.706566200384049E-2</v>
      </c>
      <c r="S161" s="81">
        <f t="shared" si="80"/>
        <v>4.2197087250150089E-2</v>
      </c>
      <c r="T161" s="81">
        <f t="shared" si="81"/>
        <v>-8.9325591782045551E-4</v>
      </c>
      <c r="U161" s="81">
        <f t="shared" si="82"/>
        <v>5.6000000000000001E-2</v>
      </c>
      <c r="V161" s="83">
        <f t="shared" si="83"/>
        <v>4.3800000000000006E-2</v>
      </c>
    </row>
    <row r="162" spans="1:22">
      <c r="A162" s="75">
        <v>139</v>
      </c>
      <c r="B162" s="138" t="s">
        <v>280</v>
      </c>
      <c r="C162" s="138" t="s">
        <v>278</v>
      </c>
      <c r="D162" s="2">
        <v>0</v>
      </c>
      <c r="E162" s="3">
        <f t="shared" si="77"/>
        <v>0</v>
      </c>
      <c r="F162" s="4">
        <v>0</v>
      </c>
      <c r="G162" s="4">
        <v>0</v>
      </c>
      <c r="H162" s="60">
        <v>0</v>
      </c>
      <c r="I162" s="5">
        <v>0</v>
      </c>
      <c r="J162" s="5">
        <v>0</v>
      </c>
      <c r="K162" s="2">
        <v>77422142.819999993</v>
      </c>
      <c r="L162" s="3">
        <f t="shared" si="78"/>
        <v>1.5953387741779986E-3</v>
      </c>
      <c r="M162" s="4">
        <v>1023.1819</v>
      </c>
      <c r="N162" s="4">
        <v>1037.1549</v>
      </c>
      <c r="O162" s="60">
        <v>1</v>
      </c>
      <c r="P162" s="5">
        <v>8.3704608393562197E-3</v>
      </c>
      <c r="Q162" s="5">
        <v>4.1799999999999997E-2</v>
      </c>
      <c r="R162" s="81" t="e">
        <f t="shared" ref="R162" si="84">((K162-D162)/D162)</f>
        <v>#DIV/0!</v>
      </c>
      <c r="S162" s="81" t="e">
        <f t="shared" ref="S162" si="85">((N162-G162)/G162)</f>
        <v>#DIV/0!</v>
      </c>
      <c r="T162" s="81" t="e">
        <f t="shared" si="81"/>
        <v>#DIV/0!</v>
      </c>
      <c r="U162" s="81">
        <f t="shared" ref="U162" si="86">P162-I162</f>
        <v>8.3704608393562197E-3</v>
      </c>
      <c r="V162" s="83">
        <f t="shared" ref="V162" si="87">Q162-J162</f>
        <v>4.1799999999999997E-2</v>
      </c>
    </row>
    <row r="163" spans="1:22">
      <c r="A163" s="75">
        <v>140</v>
      </c>
      <c r="B163" s="138" t="s">
        <v>256</v>
      </c>
      <c r="C163" s="138" t="s">
        <v>257</v>
      </c>
      <c r="D163" s="2">
        <v>607826696.72000003</v>
      </c>
      <c r="E163" s="3">
        <f t="shared" si="77"/>
        <v>1.2827442173621598E-2</v>
      </c>
      <c r="F163" s="4">
        <v>1.1659999999999999</v>
      </c>
      <c r="G163" s="4">
        <v>1.1659999999999999</v>
      </c>
      <c r="H163" s="60">
        <v>36</v>
      </c>
      <c r="I163" s="5">
        <v>-5.3199999999999997E-2</v>
      </c>
      <c r="J163" s="5">
        <v>3.0499999999999999E-2</v>
      </c>
      <c r="K163" s="2">
        <v>646546486.76999998</v>
      </c>
      <c r="L163" s="3">
        <f t="shared" si="78"/>
        <v>1.3322554014693226E-2</v>
      </c>
      <c r="M163" s="4">
        <v>1.2390000000000001</v>
      </c>
      <c r="N163" s="4">
        <v>1.2390000000000001</v>
      </c>
      <c r="O163" s="60">
        <v>38</v>
      </c>
      <c r="P163" s="5">
        <v>-2.3199999999999998E-2</v>
      </c>
      <c r="Q163" s="5">
        <v>9.6100000000000005E-2</v>
      </c>
      <c r="R163" s="81">
        <f>((K163-D163)/D163)</f>
        <v>6.3702022729410515E-2</v>
      </c>
      <c r="S163" s="81">
        <f>((N163-G163)/G163)</f>
        <v>6.260720411663824E-2</v>
      </c>
      <c r="T163" s="81">
        <f>((O163-H163)/H163)</f>
        <v>5.5555555555555552E-2</v>
      </c>
      <c r="U163" s="81">
        <f>P163-I163</f>
        <v>0.03</v>
      </c>
      <c r="V163" s="83">
        <f>Q163-J163</f>
        <v>6.5600000000000006E-2</v>
      </c>
    </row>
    <row r="164" spans="1:22">
      <c r="A164" s="75">
        <v>141</v>
      </c>
      <c r="B164" s="138" t="s">
        <v>174</v>
      </c>
      <c r="C164" s="139" t="s">
        <v>45</v>
      </c>
      <c r="D164" s="4">
        <v>1627106803.6199999</v>
      </c>
      <c r="E164" s="3">
        <f t="shared" si="77"/>
        <v>3.433810746775489E-2</v>
      </c>
      <c r="F164" s="4">
        <v>1.8369</v>
      </c>
      <c r="G164" s="4">
        <v>1.8469</v>
      </c>
      <c r="H164" s="60">
        <v>2068</v>
      </c>
      <c r="I164" s="5">
        <v>3.2000000000000002E-3</v>
      </c>
      <c r="J164" s="5">
        <v>-6.8999999999999999E-3</v>
      </c>
      <c r="K164" s="4">
        <v>1689689518.6800001</v>
      </c>
      <c r="L164" s="16">
        <f t="shared" si="78"/>
        <v>3.4817264251384407E-2</v>
      </c>
      <c r="M164" s="4">
        <v>1.9093</v>
      </c>
      <c r="N164" s="4">
        <v>1.9198</v>
      </c>
      <c r="O164" s="60">
        <v>2082</v>
      </c>
      <c r="P164" s="5">
        <v>3.9399999999999998E-2</v>
      </c>
      <c r="Q164" s="5">
        <v>3.2199999999999999E-2</v>
      </c>
      <c r="R164" s="81">
        <f t="shared" si="79"/>
        <v>3.8462573520536988E-2</v>
      </c>
      <c r="S164" s="81">
        <f t="shared" si="80"/>
        <v>3.9471546916454582E-2</v>
      </c>
      <c r="T164" s="81">
        <f t="shared" si="81"/>
        <v>6.7698259187620891E-3</v>
      </c>
      <c r="U164" s="81">
        <f t="shared" si="82"/>
        <v>3.6199999999999996E-2</v>
      </c>
      <c r="V164" s="83">
        <f t="shared" si="83"/>
        <v>3.9099999999999996E-2</v>
      </c>
    </row>
    <row r="165" spans="1:22">
      <c r="A165" s="75">
        <v>142</v>
      </c>
      <c r="B165" s="138" t="s">
        <v>175</v>
      </c>
      <c r="C165" s="139" t="s">
        <v>45</v>
      </c>
      <c r="D165" s="4">
        <v>1021987407.36</v>
      </c>
      <c r="E165" s="3">
        <f t="shared" si="77"/>
        <v>2.1567799573171498E-2</v>
      </c>
      <c r="F165" s="4">
        <v>1.5838000000000001</v>
      </c>
      <c r="G165" s="4">
        <v>1.5928</v>
      </c>
      <c r="H165" s="60">
        <v>659</v>
      </c>
      <c r="I165" s="5">
        <v>-1.32E-2</v>
      </c>
      <c r="J165" s="5">
        <v>0.1129</v>
      </c>
      <c r="K165" s="4">
        <v>1036143599.5</v>
      </c>
      <c r="L165" s="16">
        <f t="shared" si="78"/>
        <v>2.1350481912413559E-2</v>
      </c>
      <c r="M165" s="4">
        <v>1.6063000000000001</v>
      </c>
      <c r="N165" s="4">
        <v>1.6154999999999999</v>
      </c>
      <c r="O165" s="60">
        <v>674</v>
      </c>
      <c r="P165" s="5">
        <v>1.4200000000000001E-2</v>
      </c>
      <c r="Q165" s="5">
        <v>0.12870000000000001</v>
      </c>
      <c r="R165" s="81">
        <f t="shared" si="79"/>
        <v>1.3851630693345126E-2</v>
      </c>
      <c r="S165" s="81">
        <f t="shared" si="80"/>
        <v>1.4251632345554962E-2</v>
      </c>
      <c r="T165" s="81">
        <f t="shared" si="81"/>
        <v>2.2761760242792108E-2</v>
      </c>
      <c r="U165" s="81">
        <f t="shared" si="82"/>
        <v>2.7400000000000001E-2</v>
      </c>
      <c r="V165" s="83">
        <f t="shared" si="83"/>
        <v>1.5800000000000008E-2</v>
      </c>
    </row>
    <row r="166" spans="1:22">
      <c r="A166" s="75">
        <v>143</v>
      </c>
      <c r="B166" s="138" t="s">
        <v>176</v>
      </c>
      <c r="C166" s="139" t="s">
        <v>87</v>
      </c>
      <c r="D166" s="2">
        <v>7877496458.8400002</v>
      </c>
      <c r="E166" s="3">
        <f t="shared" si="77"/>
        <v>0.16624496890966209</v>
      </c>
      <c r="F166" s="4">
        <v>428.2</v>
      </c>
      <c r="G166" s="4">
        <v>432.54</v>
      </c>
      <c r="H166" s="60">
        <v>32</v>
      </c>
      <c r="I166" s="5">
        <v>-1.035E-2</v>
      </c>
      <c r="J166" s="5">
        <v>0.22578999999999999</v>
      </c>
      <c r="K166" s="2">
        <v>8191825137.04</v>
      </c>
      <c r="L166" s="16">
        <f t="shared" si="78"/>
        <v>0.16879843151318644</v>
      </c>
      <c r="M166" s="4">
        <v>445.21</v>
      </c>
      <c r="N166" s="4">
        <v>449.83</v>
      </c>
      <c r="O166" s="60">
        <v>32</v>
      </c>
      <c r="P166" s="5">
        <v>3.9899999999999998E-2</v>
      </c>
      <c r="Q166" s="5">
        <v>0.2747</v>
      </c>
      <c r="R166" s="81">
        <f t="shared" si="79"/>
        <v>3.9902103395713394E-2</v>
      </c>
      <c r="S166" s="81">
        <f t="shared" si="80"/>
        <v>3.9973181671059239E-2</v>
      </c>
      <c r="T166" s="81">
        <f t="shared" si="81"/>
        <v>0</v>
      </c>
      <c r="U166" s="81">
        <f t="shared" si="82"/>
        <v>5.0249999999999996E-2</v>
      </c>
      <c r="V166" s="83">
        <f t="shared" si="83"/>
        <v>4.8910000000000009E-2</v>
      </c>
    </row>
    <row r="167" spans="1:22">
      <c r="A167" s="75">
        <v>144</v>
      </c>
      <c r="B167" s="138" t="s">
        <v>177</v>
      </c>
      <c r="C167" s="139" t="s">
        <v>40</v>
      </c>
      <c r="D167" s="2">
        <v>420131005.26999998</v>
      </c>
      <c r="E167" s="3">
        <f t="shared" si="77"/>
        <v>8.8663531966069829E-3</v>
      </c>
      <c r="F167" s="4">
        <v>218.48</v>
      </c>
      <c r="G167" s="4">
        <v>221.19</v>
      </c>
      <c r="H167" s="60">
        <v>690</v>
      </c>
      <c r="I167" s="5">
        <v>-1.9E-3</v>
      </c>
      <c r="J167" s="5">
        <v>0.13220000000000001</v>
      </c>
      <c r="K167" s="2">
        <v>431074166.83999997</v>
      </c>
      <c r="L167" s="16">
        <f t="shared" si="78"/>
        <v>8.8825923418988061E-3</v>
      </c>
      <c r="M167" s="4">
        <v>224.29</v>
      </c>
      <c r="N167" s="4">
        <v>227.11</v>
      </c>
      <c r="O167" s="60">
        <v>690</v>
      </c>
      <c r="P167" s="5">
        <v>2.5600000000000001E-2</v>
      </c>
      <c r="Q167" s="5">
        <v>0.16239999999999999</v>
      </c>
      <c r="R167" s="81">
        <f t="shared" si="79"/>
        <v>2.6047022078190343E-2</v>
      </c>
      <c r="S167" s="81">
        <f t="shared" si="80"/>
        <v>2.6764320267643273E-2</v>
      </c>
      <c r="T167" s="81">
        <f t="shared" si="81"/>
        <v>0</v>
      </c>
      <c r="U167" s="81">
        <f t="shared" si="82"/>
        <v>2.75E-2</v>
      </c>
      <c r="V167" s="83">
        <f t="shared" si="83"/>
        <v>3.0199999999999977E-2</v>
      </c>
    </row>
    <row r="168" spans="1:22">
      <c r="A168" s="84"/>
      <c r="B168" s="19"/>
      <c r="C168" s="71" t="s">
        <v>46</v>
      </c>
      <c r="D168" s="72">
        <f>SUM(D141:D167)</f>
        <v>47384871316.741325</v>
      </c>
      <c r="E168" s="100">
        <f>(D168/$D$194)</f>
        <v>1.6587172813618104E-2</v>
      </c>
      <c r="F168" s="30"/>
      <c r="G168" s="36"/>
      <c r="H168" s="65">
        <f>SUM(H141:H167)</f>
        <v>69444</v>
      </c>
      <c r="I168" s="37"/>
      <c r="J168" s="37"/>
      <c r="K168" s="72">
        <f>SUM(K141:K167)</f>
        <v>48530220711.204056</v>
      </c>
      <c r="L168" s="100">
        <f>(K168/$K$194)</f>
        <v>1.6722104527307446E-2</v>
      </c>
      <c r="M168" s="30"/>
      <c r="N168" s="36"/>
      <c r="O168" s="65">
        <f>SUM(O141:O167)</f>
        <v>69503</v>
      </c>
      <c r="P168" s="37"/>
      <c r="Q168" s="37"/>
      <c r="R168" s="81">
        <f t="shared" si="79"/>
        <v>2.4171204070740453E-2</v>
      </c>
      <c r="S168" s="81" t="e">
        <f t="shared" si="80"/>
        <v>#DIV/0!</v>
      </c>
      <c r="T168" s="81">
        <f t="shared" si="81"/>
        <v>8.4960543747479979E-4</v>
      </c>
      <c r="U168" s="81">
        <f t="shared" si="82"/>
        <v>0</v>
      </c>
      <c r="V168" s="83">
        <f t="shared" si="83"/>
        <v>0</v>
      </c>
    </row>
    <row r="169" spans="1:22" ht="8.25" customHeight="1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</row>
    <row r="170" spans="1:22" ht="15" customHeight="1">
      <c r="A170" s="144" t="s">
        <v>178</v>
      </c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</row>
    <row r="171" spans="1:22">
      <c r="A171" s="75">
        <v>145</v>
      </c>
      <c r="B171" s="138" t="s">
        <v>179</v>
      </c>
      <c r="C171" s="139" t="s">
        <v>21</v>
      </c>
      <c r="D171" s="17">
        <v>931859130.61000001</v>
      </c>
      <c r="E171" s="3">
        <f>(D171/$D$174)</f>
        <v>0.19563564985949239</v>
      </c>
      <c r="F171" s="17">
        <v>64.597899999999996</v>
      </c>
      <c r="G171" s="17">
        <v>66.545599999999993</v>
      </c>
      <c r="H171" s="62">
        <v>1541</v>
      </c>
      <c r="I171" s="6">
        <v>0.29289999999999999</v>
      </c>
      <c r="J171" s="6">
        <v>0.4662</v>
      </c>
      <c r="K171" s="17">
        <v>933027864.25999999</v>
      </c>
      <c r="L171" s="16">
        <f>(K171/$K$174)</f>
        <v>0.190074420176475</v>
      </c>
      <c r="M171" s="17">
        <v>64.661100000000005</v>
      </c>
      <c r="N171" s="17">
        <v>66.610699999999994</v>
      </c>
      <c r="O171" s="62">
        <v>1547</v>
      </c>
      <c r="P171" s="6">
        <v>5.11E-2</v>
      </c>
      <c r="Q171" s="6">
        <v>0.44750000000000001</v>
      </c>
      <c r="R171" s="81">
        <f>((K171-D171)/D171)</f>
        <v>1.2541956306581627E-3</v>
      </c>
      <c r="S171" s="81">
        <f t="shared" ref="S171:T174" si="88">((N171-G171)/G171)</f>
        <v>9.7827655021520666E-4</v>
      </c>
      <c r="T171" s="81">
        <f t="shared" si="88"/>
        <v>3.8935756002595719E-3</v>
      </c>
      <c r="U171" s="81">
        <f t="shared" ref="U171:V174" si="89">P171-I171</f>
        <v>-0.24179999999999999</v>
      </c>
      <c r="V171" s="83">
        <f t="shared" si="89"/>
        <v>-1.8699999999999994E-2</v>
      </c>
    </row>
    <row r="172" spans="1:22">
      <c r="A172" s="75">
        <v>146</v>
      </c>
      <c r="B172" s="138" t="s">
        <v>180</v>
      </c>
      <c r="C172" s="139" t="s">
        <v>181</v>
      </c>
      <c r="D172" s="98">
        <v>775344592.88999999</v>
      </c>
      <c r="E172" s="3">
        <f>(D172/$D$174)</f>
        <v>0.16277679566844494</v>
      </c>
      <c r="F172" s="17">
        <v>22.074000000000002</v>
      </c>
      <c r="G172" s="17">
        <v>22.254300000000001</v>
      </c>
      <c r="H172" s="60">
        <v>1495</v>
      </c>
      <c r="I172" s="5">
        <v>-5.4000000000000003E-3</v>
      </c>
      <c r="J172" s="5">
        <v>1.2500000000000001E-2</v>
      </c>
      <c r="K172" s="98">
        <v>796601356.73000002</v>
      </c>
      <c r="L172" s="16">
        <f>(K172/$K$174)</f>
        <v>0.16228190688853295</v>
      </c>
      <c r="M172" s="17">
        <v>22.531600000000001</v>
      </c>
      <c r="N172" s="17">
        <v>22.720199999999998</v>
      </c>
      <c r="O172" s="60">
        <v>1494</v>
      </c>
      <c r="P172" s="5">
        <v>3.1899999999999998E-2</v>
      </c>
      <c r="Q172" s="5">
        <v>3.3599999999999998E-2</v>
      </c>
      <c r="R172" s="81">
        <f>((K172-D172)/D172)</f>
        <v>2.7415892281866704E-2</v>
      </c>
      <c r="S172" s="81">
        <f t="shared" si="88"/>
        <v>2.0935279923430427E-2</v>
      </c>
      <c r="T172" s="81">
        <f t="shared" si="88"/>
        <v>-6.6889632107023408E-4</v>
      </c>
      <c r="U172" s="81">
        <f t="shared" si="89"/>
        <v>3.73E-2</v>
      </c>
      <c r="V172" s="83">
        <f t="shared" si="89"/>
        <v>2.1099999999999997E-2</v>
      </c>
    </row>
    <row r="173" spans="1:22">
      <c r="A173" s="75">
        <v>147</v>
      </c>
      <c r="B173" s="138" t="s">
        <v>182</v>
      </c>
      <c r="C173" s="139" t="s">
        <v>42</v>
      </c>
      <c r="D173" s="9">
        <v>3056034118.27</v>
      </c>
      <c r="E173" s="3">
        <f>(D173/$D$174)</f>
        <v>0.64158755447206262</v>
      </c>
      <c r="F173" s="17">
        <v>2.2000000000000002</v>
      </c>
      <c r="G173" s="17">
        <v>2.23</v>
      </c>
      <c r="H173" s="60">
        <v>10083</v>
      </c>
      <c r="I173" s="5">
        <v>-8.8999999999999999E-3</v>
      </c>
      <c r="J173" s="5">
        <v>7.2099999999999997E-2</v>
      </c>
      <c r="K173" s="9">
        <v>3179121064.2600002</v>
      </c>
      <c r="L173" s="16">
        <f>(K173/$K$174)</f>
        <v>0.64764367293499214</v>
      </c>
      <c r="M173" s="17">
        <v>2.2799999999999998</v>
      </c>
      <c r="N173" s="17">
        <v>2.31</v>
      </c>
      <c r="O173" s="60">
        <v>10087</v>
      </c>
      <c r="P173" s="5">
        <v>3.5900000000000001E-2</v>
      </c>
      <c r="Q173" s="5">
        <v>0.1106</v>
      </c>
      <c r="R173" s="81">
        <f>((K173-D173)/D173)</f>
        <v>4.0276692349128264E-2</v>
      </c>
      <c r="S173" s="81">
        <f t="shared" si="88"/>
        <v>3.5874439461883442E-2</v>
      </c>
      <c r="T173" s="81">
        <f t="shared" si="88"/>
        <v>3.9670732916790636E-4</v>
      </c>
      <c r="U173" s="81">
        <f t="shared" si="89"/>
        <v>4.48E-2</v>
      </c>
      <c r="V173" s="83">
        <f t="shared" si="89"/>
        <v>3.8500000000000006E-2</v>
      </c>
    </row>
    <row r="174" spans="1:22">
      <c r="A174" s="75"/>
      <c r="B174" s="19"/>
      <c r="C174" s="66" t="s">
        <v>46</v>
      </c>
      <c r="D174" s="72">
        <f>SUM(D171:D173)</f>
        <v>4763237841.7700005</v>
      </c>
      <c r="E174" s="100">
        <f>(D174/$D$194)</f>
        <v>1.667381318937763E-3</v>
      </c>
      <c r="F174" s="30"/>
      <c r="G174" s="36"/>
      <c r="H174" s="65">
        <f>SUM(H171:H173)</f>
        <v>13119</v>
      </c>
      <c r="I174" s="37"/>
      <c r="J174" s="37"/>
      <c r="K174" s="72">
        <f>SUM(K171:K173)</f>
        <v>4908750285.25</v>
      </c>
      <c r="L174" s="100">
        <f>(K174/$K$194)</f>
        <v>1.6914127767288323E-3</v>
      </c>
      <c r="M174" s="30"/>
      <c r="N174" s="36"/>
      <c r="O174" s="65">
        <f>SUM(O171:O173)</f>
        <v>13128</v>
      </c>
      <c r="P174" s="37"/>
      <c r="Q174" s="37"/>
      <c r="R174" s="81">
        <f>((K174-D174)/D174)</f>
        <v>3.0549061019788944E-2</v>
      </c>
      <c r="S174" s="81" t="e">
        <f t="shared" si="88"/>
        <v>#DIV/0!</v>
      </c>
      <c r="T174" s="81">
        <f t="shared" si="88"/>
        <v>6.8602789846787104E-4</v>
      </c>
      <c r="U174" s="81">
        <f t="shared" si="89"/>
        <v>0</v>
      </c>
      <c r="V174" s="83">
        <f t="shared" si="89"/>
        <v>0</v>
      </c>
    </row>
    <row r="175" spans="1:22" ht="6" customHeight="1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</row>
    <row r="176" spans="1:22" ht="15" customHeight="1">
      <c r="A176" s="144" t="s">
        <v>183</v>
      </c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</row>
    <row r="177" spans="1:24">
      <c r="A177" s="145" t="s">
        <v>232</v>
      </c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</row>
    <row r="178" spans="1:24">
      <c r="A178" s="75">
        <v>148</v>
      </c>
      <c r="B178" s="138" t="s">
        <v>184</v>
      </c>
      <c r="C178" s="139" t="s">
        <v>185</v>
      </c>
      <c r="D178" s="13">
        <v>4120248975</v>
      </c>
      <c r="E178" s="3">
        <f>(D178/$D$193)</f>
        <v>8.0824812979405691E-2</v>
      </c>
      <c r="F178" s="18">
        <v>1.95</v>
      </c>
      <c r="G178" s="18">
        <v>1.98</v>
      </c>
      <c r="H178" s="61">
        <v>14973</v>
      </c>
      <c r="I178" s="12">
        <v>3.5999999999999999E-3</v>
      </c>
      <c r="J178" s="12">
        <v>7.8299999999999995E-2</v>
      </c>
      <c r="K178" s="13">
        <v>4135821352.46</v>
      </c>
      <c r="L178" s="3">
        <f>(K178/$K$193)</f>
        <v>8.0788035680472867E-2</v>
      </c>
      <c r="M178" s="18">
        <v>1.96</v>
      </c>
      <c r="N178" s="18">
        <v>1.99</v>
      </c>
      <c r="O178" s="61">
        <v>14973</v>
      </c>
      <c r="P178" s="12">
        <v>3.8E-3</v>
      </c>
      <c r="Q178" s="12">
        <v>8.2299999999999998E-2</v>
      </c>
      <c r="R178" s="81">
        <f>((K178-D178)/D178)</f>
        <v>3.77947487020491E-3</v>
      </c>
      <c r="S178" s="81">
        <f>((N178-G178)/G178)</f>
        <v>5.0505050505050553E-3</v>
      </c>
      <c r="T178" s="81">
        <f>((O178-H178)/H178)</f>
        <v>0</v>
      </c>
      <c r="U178" s="81">
        <f>P178-I178</f>
        <v>2.0000000000000009E-4</v>
      </c>
      <c r="V178" s="83">
        <f>Q178-J178</f>
        <v>4.0000000000000036E-3</v>
      </c>
    </row>
    <row r="179" spans="1:24">
      <c r="A179" s="75">
        <v>149</v>
      </c>
      <c r="B179" s="138" t="s">
        <v>186</v>
      </c>
      <c r="C179" s="139" t="s">
        <v>42</v>
      </c>
      <c r="D179" s="13">
        <v>661549732.98000002</v>
      </c>
      <c r="E179" s="3">
        <f>(D179/$D$193)</f>
        <v>1.2977282142199738E-2</v>
      </c>
      <c r="F179" s="18">
        <v>421.35</v>
      </c>
      <c r="G179" s="18">
        <v>426.96</v>
      </c>
      <c r="H179" s="61">
        <v>828</v>
      </c>
      <c r="I179" s="12">
        <v>5.5999999999999999E-3</v>
      </c>
      <c r="J179" s="12">
        <v>0.1181</v>
      </c>
      <c r="K179" s="13">
        <v>677858664.45000005</v>
      </c>
      <c r="L179" s="3">
        <f>(K179/$K$193)</f>
        <v>1.3241111088449494E-2</v>
      </c>
      <c r="M179" s="18">
        <v>431.13</v>
      </c>
      <c r="N179" s="18">
        <v>436.75</v>
      </c>
      <c r="O179" s="61">
        <v>832</v>
      </c>
      <c r="P179" s="12">
        <v>2.3300000000000001E-2</v>
      </c>
      <c r="Q179" s="12">
        <v>0.14410000000000001</v>
      </c>
      <c r="R179" s="81">
        <f>((K179-D179)/D179)</f>
        <v>2.4652615906192318E-2</v>
      </c>
      <c r="S179" s="81">
        <f>((N179-G179)/G179)</f>
        <v>2.2929548435450677E-2</v>
      </c>
      <c r="T179" s="81">
        <f>((O179-H179)/H179)</f>
        <v>4.830917874396135E-3</v>
      </c>
      <c r="U179" s="81">
        <f>P179-I179</f>
        <v>1.77E-2</v>
      </c>
      <c r="V179" s="83">
        <f>Q179-J179</f>
        <v>2.6000000000000009E-2</v>
      </c>
    </row>
    <row r="180" spans="1:24" ht="6" customHeight="1">
      <c r="A180" s="146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</row>
    <row r="181" spans="1:24" ht="15" customHeight="1">
      <c r="A181" s="145" t="s">
        <v>231</v>
      </c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</row>
    <row r="182" spans="1:24">
      <c r="A182" s="75">
        <v>150</v>
      </c>
      <c r="B182" s="138" t="s">
        <v>187</v>
      </c>
      <c r="C182" s="139" t="s">
        <v>188</v>
      </c>
      <c r="D182" s="2">
        <v>403828053.50999999</v>
      </c>
      <c r="E182" s="3">
        <f t="shared" ref="E182:E192" si="90">(D182/$D$193)</f>
        <v>7.9216880093473437E-3</v>
      </c>
      <c r="F182" s="2">
        <v>1041.3</v>
      </c>
      <c r="G182" s="2">
        <v>1041.3</v>
      </c>
      <c r="H182" s="60">
        <v>19</v>
      </c>
      <c r="I182" s="5">
        <v>2.7000000000000001E-3</v>
      </c>
      <c r="J182" s="5">
        <v>4.7399999999999998E-2</v>
      </c>
      <c r="K182" s="2">
        <v>404696418.00999999</v>
      </c>
      <c r="L182" s="3">
        <f t="shared" ref="L182:L192" si="91">(K182/$K$193)</f>
        <v>7.9052323279158489E-3</v>
      </c>
      <c r="M182" s="2">
        <v>1043.54</v>
      </c>
      <c r="N182" s="2">
        <v>1043.54</v>
      </c>
      <c r="O182" s="60">
        <v>19</v>
      </c>
      <c r="P182" s="5">
        <v>2.7000000000000001E-3</v>
      </c>
      <c r="Q182" s="5">
        <v>5.0099999999999999E-2</v>
      </c>
      <c r="R182" s="81">
        <f>((K182-D182)/D182)</f>
        <v>2.1503322823967618E-3</v>
      </c>
      <c r="S182" s="81">
        <f>((N182-G182)/G182)</f>
        <v>2.1511572073369917E-3</v>
      </c>
      <c r="T182" s="81">
        <f>((O182-H182)/H182)</f>
        <v>0</v>
      </c>
      <c r="U182" s="81">
        <f>P182-I182</f>
        <v>0</v>
      </c>
      <c r="V182" s="83">
        <f>Q182-J182</f>
        <v>2.700000000000001E-3</v>
      </c>
      <c r="X182" s="70"/>
    </row>
    <row r="183" spans="1:24">
      <c r="A183" s="75">
        <v>151</v>
      </c>
      <c r="B183" s="138" t="s">
        <v>189</v>
      </c>
      <c r="C183" s="139" t="s">
        <v>58</v>
      </c>
      <c r="D183" s="2">
        <v>111199403.45</v>
      </c>
      <c r="E183" s="3">
        <f t="shared" si="90"/>
        <v>2.1813417203186687E-3</v>
      </c>
      <c r="F183" s="17">
        <v>111.02</v>
      </c>
      <c r="G183" s="17">
        <v>111.02</v>
      </c>
      <c r="H183" s="60">
        <v>71</v>
      </c>
      <c r="I183" s="5">
        <v>2.3999999999999998E-3</v>
      </c>
      <c r="J183" s="5">
        <v>0.13400000000000001</v>
      </c>
      <c r="K183" s="2">
        <v>108952131.15000001</v>
      </c>
      <c r="L183" s="3">
        <f t="shared" si="91"/>
        <v>2.1282419883959167E-3</v>
      </c>
      <c r="M183" s="17">
        <v>111.22</v>
      </c>
      <c r="N183" s="17">
        <v>111.22</v>
      </c>
      <c r="O183" s="60">
        <v>71</v>
      </c>
      <c r="P183" s="5">
        <v>1.8E-3</v>
      </c>
      <c r="Q183" s="5">
        <v>0.1371</v>
      </c>
      <c r="R183" s="81">
        <f t="shared" ref="R183:R194" si="92">((K183-D183)/D183)</f>
        <v>-2.0209391689861595E-2</v>
      </c>
      <c r="S183" s="81">
        <f t="shared" ref="S183:S193" si="93">((N183-G183)/G183)</f>
        <v>1.8014772113133025E-3</v>
      </c>
      <c r="T183" s="81">
        <f t="shared" ref="T183:T193" si="94">((O183-H183)/H183)</f>
        <v>0</v>
      </c>
      <c r="U183" s="81">
        <f t="shared" ref="U183:U193" si="95">P183-I183</f>
        <v>-5.9999999999999984E-4</v>
      </c>
      <c r="V183" s="83">
        <f t="shared" ref="V183:V193" si="96">Q183-J183</f>
        <v>3.0999999999999917E-3</v>
      </c>
    </row>
    <row r="184" spans="1:24">
      <c r="A184" s="75">
        <v>152</v>
      </c>
      <c r="B184" s="140" t="s">
        <v>190</v>
      </c>
      <c r="C184" s="139" t="s">
        <v>64</v>
      </c>
      <c r="D184" s="9">
        <v>56817627.619999997</v>
      </c>
      <c r="E184" s="3">
        <f t="shared" si="90"/>
        <v>1.1145622883918114E-3</v>
      </c>
      <c r="F184" s="17">
        <v>102.37</v>
      </c>
      <c r="G184" s="17">
        <v>104</v>
      </c>
      <c r="H184" s="60">
        <v>12</v>
      </c>
      <c r="I184" s="5">
        <v>2.3E-3</v>
      </c>
      <c r="J184" s="5">
        <v>7.0300000000000001E-2</v>
      </c>
      <c r="K184" s="9">
        <v>56823841.119999997</v>
      </c>
      <c r="L184" s="3">
        <f t="shared" si="91"/>
        <v>1.1099818180428723E-3</v>
      </c>
      <c r="M184" s="17">
        <v>102.49</v>
      </c>
      <c r="N184" s="17">
        <v>104.22</v>
      </c>
      <c r="O184" s="60">
        <v>12</v>
      </c>
      <c r="P184" s="5">
        <v>1.8E-3</v>
      </c>
      <c r="Q184" s="5">
        <v>7.2099999999999997E-2</v>
      </c>
      <c r="R184" s="81">
        <f t="shared" si="92"/>
        <v>1.0935866667218655E-4</v>
      </c>
      <c r="S184" s="81">
        <f t="shared" si="93"/>
        <v>2.1153846153846045E-3</v>
      </c>
      <c r="T184" s="81">
        <f t="shared" si="94"/>
        <v>0</v>
      </c>
      <c r="U184" s="81">
        <f t="shared" si="95"/>
        <v>-5.0000000000000001E-4</v>
      </c>
      <c r="V184" s="83">
        <f t="shared" si="96"/>
        <v>1.799999999999996E-3</v>
      </c>
    </row>
    <row r="185" spans="1:24">
      <c r="A185" s="75">
        <v>153</v>
      </c>
      <c r="B185" s="138" t="s">
        <v>191</v>
      </c>
      <c r="C185" s="139" t="s">
        <v>27</v>
      </c>
      <c r="D185" s="2">
        <v>9703421843.0799999</v>
      </c>
      <c r="E185" s="3">
        <f t="shared" si="90"/>
        <v>0.19034705438576588</v>
      </c>
      <c r="F185" s="17">
        <v>141.03</v>
      </c>
      <c r="G185" s="17">
        <v>141.03</v>
      </c>
      <c r="H185" s="60">
        <v>693</v>
      </c>
      <c r="I185" s="5">
        <v>2.3999999999999998E-3</v>
      </c>
      <c r="J185" s="5">
        <v>5.4699999999999999E-2</v>
      </c>
      <c r="K185" s="2">
        <v>9663144869.7700005</v>
      </c>
      <c r="L185" s="3">
        <f t="shared" si="91"/>
        <v>0.1887573050175908</v>
      </c>
      <c r="M185" s="17">
        <v>141.35</v>
      </c>
      <c r="N185" s="17">
        <v>141.35</v>
      </c>
      <c r="O185" s="60">
        <v>692</v>
      </c>
      <c r="P185" s="5">
        <v>2.3E-3</v>
      </c>
      <c r="Q185" s="5">
        <v>5.7099999999999998E-2</v>
      </c>
      <c r="R185" s="81">
        <f t="shared" si="92"/>
        <v>-4.1508010227055119E-3</v>
      </c>
      <c r="S185" s="81">
        <f t="shared" si="93"/>
        <v>2.2690207757214294E-3</v>
      </c>
      <c r="T185" s="81">
        <f t="shared" si="94"/>
        <v>-1.443001443001443E-3</v>
      </c>
      <c r="U185" s="81">
        <f t="shared" si="95"/>
        <v>-9.9999999999999829E-5</v>
      </c>
      <c r="V185" s="83">
        <f t="shared" si="96"/>
        <v>2.3999999999999994E-3</v>
      </c>
    </row>
    <row r="186" spans="1:24">
      <c r="A186" s="75">
        <v>154</v>
      </c>
      <c r="B186" s="138" t="s">
        <v>249</v>
      </c>
      <c r="C186" s="139" t="s">
        <v>56</v>
      </c>
      <c r="D186" s="2">
        <v>278523152.95507598</v>
      </c>
      <c r="E186" s="3">
        <f t="shared" si="90"/>
        <v>5.4636459797986897E-3</v>
      </c>
      <c r="F186" s="4">
        <v>1080.16307961456</v>
      </c>
      <c r="G186" s="4">
        <v>1080.16307961456</v>
      </c>
      <c r="H186" s="60">
        <v>78</v>
      </c>
      <c r="I186" s="5">
        <v>0.13905255653517226</v>
      </c>
      <c r="J186" s="5">
        <v>0.12472436077022425</v>
      </c>
      <c r="K186" s="2">
        <v>288631819.15137202</v>
      </c>
      <c r="L186" s="3">
        <f t="shared" si="91"/>
        <v>5.6380572846192242E-3</v>
      </c>
      <c r="M186" s="4">
        <v>1083.09190170595</v>
      </c>
      <c r="N186" s="4">
        <v>1083.09190170595</v>
      </c>
      <c r="O186" s="60">
        <v>84</v>
      </c>
      <c r="P186" s="5">
        <v>0.1417707732787428</v>
      </c>
      <c r="Q186" s="5">
        <v>0.1258320040682544</v>
      </c>
      <c r="R186" s="81">
        <f t="shared" si="92"/>
        <v>3.6293809290341116E-2</v>
      </c>
      <c r="S186" s="81">
        <f t="shared" si="93"/>
        <v>2.7114628769158459E-3</v>
      </c>
      <c r="T186" s="81">
        <f t="shared" si="94"/>
        <v>7.6923076923076927E-2</v>
      </c>
      <c r="U186" s="81">
        <f t="shared" si="95"/>
        <v>2.718216743570534E-3</v>
      </c>
      <c r="V186" s="83">
        <f t="shared" si="96"/>
        <v>1.1076432980301476E-3</v>
      </c>
    </row>
    <row r="187" spans="1:24">
      <c r="A187" s="75">
        <v>155</v>
      </c>
      <c r="B187" s="138" t="s">
        <v>192</v>
      </c>
      <c r="C187" s="139" t="s">
        <v>185</v>
      </c>
      <c r="D187" s="2">
        <v>20528429287.59</v>
      </c>
      <c r="E187" s="3">
        <f t="shared" si="90"/>
        <v>0.40269567882858737</v>
      </c>
      <c r="F187" s="7">
        <v>1218.3</v>
      </c>
      <c r="G187" s="7">
        <v>1215.3</v>
      </c>
      <c r="H187" s="60">
        <v>8410</v>
      </c>
      <c r="I187" s="5">
        <v>2.5999999999999999E-3</v>
      </c>
      <c r="J187" s="5">
        <v>5.79E-2</v>
      </c>
      <c r="K187" s="2">
        <v>20825317678.82</v>
      </c>
      <c r="L187" s="3">
        <f t="shared" si="91"/>
        <v>0.40679622360694423</v>
      </c>
      <c r="M187" s="7">
        <v>1221.8699999999999</v>
      </c>
      <c r="N187" s="7">
        <v>1221.8699999999999</v>
      </c>
      <c r="O187" s="60">
        <v>8410</v>
      </c>
      <c r="P187" s="5">
        <v>2.8999999999999998E-3</v>
      </c>
      <c r="Q187" s="5">
        <v>6.08E-2</v>
      </c>
      <c r="R187" s="81">
        <f t="shared" si="92"/>
        <v>1.4462304303499573E-2</v>
      </c>
      <c r="S187" s="81">
        <f t="shared" si="93"/>
        <v>5.4060725746728679E-3</v>
      </c>
      <c r="T187" s="81">
        <f t="shared" si="94"/>
        <v>0</v>
      </c>
      <c r="U187" s="81">
        <f t="shared" si="95"/>
        <v>2.9999999999999992E-4</v>
      </c>
      <c r="V187" s="83">
        <f t="shared" si="96"/>
        <v>2.8999999999999998E-3</v>
      </c>
    </row>
    <row r="188" spans="1:24" ht="13.5" customHeight="1">
      <c r="A188" s="75">
        <v>156</v>
      </c>
      <c r="B188" s="138" t="s">
        <v>193</v>
      </c>
      <c r="C188" s="139" t="s">
        <v>78</v>
      </c>
      <c r="D188" s="2">
        <v>1079806607.9000001</v>
      </c>
      <c r="E188" s="3">
        <f t="shared" si="90"/>
        <v>2.1182012948002486E-2</v>
      </c>
      <c r="F188" s="14">
        <v>104.25</v>
      </c>
      <c r="G188" s="14">
        <v>104.25</v>
      </c>
      <c r="H188" s="60">
        <v>552</v>
      </c>
      <c r="I188" s="5">
        <v>2.2000000000000001E-3</v>
      </c>
      <c r="J188" s="5">
        <v>4.4999999999999998E-2</v>
      </c>
      <c r="K188" s="2">
        <v>1066353360.72</v>
      </c>
      <c r="L188" s="3">
        <f t="shared" si="91"/>
        <v>2.0829863287638879E-2</v>
      </c>
      <c r="M188" s="14">
        <v>104.48</v>
      </c>
      <c r="N188" s="14">
        <v>104.48</v>
      </c>
      <c r="O188" s="60">
        <v>556</v>
      </c>
      <c r="P188" s="5">
        <v>2.2000000000000001E-3</v>
      </c>
      <c r="Q188" s="5">
        <v>4.7199999999999999E-2</v>
      </c>
      <c r="R188" s="81">
        <f t="shared" si="92"/>
        <v>-1.2458941334100412E-2</v>
      </c>
      <c r="S188" s="81">
        <f t="shared" si="93"/>
        <v>2.2062350119904459E-3</v>
      </c>
      <c r="T188" s="81">
        <f t="shared" si="94"/>
        <v>7.246376811594203E-3</v>
      </c>
      <c r="U188" s="81">
        <f t="shared" si="95"/>
        <v>0</v>
      </c>
      <c r="V188" s="83">
        <f t="shared" si="96"/>
        <v>2.2000000000000006E-3</v>
      </c>
    </row>
    <row r="189" spans="1:24" ht="15.75" customHeight="1">
      <c r="A189" s="75">
        <v>157</v>
      </c>
      <c r="B189" s="138" t="s">
        <v>194</v>
      </c>
      <c r="C189" s="139" t="s">
        <v>42</v>
      </c>
      <c r="D189" s="2">
        <v>9346398531.1399994</v>
      </c>
      <c r="E189" s="3">
        <f t="shared" si="90"/>
        <v>0.18334351100964294</v>
      </c>
      <c r="F189" s="14">
        <v>130.91</v>
      </c>
      <c r="G189" s="14">
        <v>130.91</v>
      </c>
      <c r="H189" s="60">
        <v>1212</v>
      </c>
      <c r="I189" s="5">
        <v>5.0000000000000001E-4</v>
      </c>
      <c r="J189" s="5">
        <v>2.0400000000000001E-2</v>
      </c>
      <c r="K189" s="2">
        <v>9261967627.8500004</v>
      </c>
      <c r="L189" s="3">
        <f t="shared" si="91"/>
        <v>0.18092081534060103</v>
      </c>
      <c r="M189" s="14">
        <v>130.97999999999999</v>
      </c>
      <c r="N189" s="14">
        <v>130.97999999999999</v>
      </c>
      <c r="O189" s="60">
        <v>1218</v>
      </c>
      <c r="P189" s="5">
        <v>5.0000000000000001E-4</v>
      </c>
      <c r="Q189" s="5">
        <v>2.1000000000000001E-2</v>
      </c>
      <c r="R189" s="81">
        <f t="shared" si="92"/>
        <v>-9.0335226995398414E-3</v>
      </c>
      <c r="S189" s="81">
        <f t="shared" si="93"/>
        <v>5.3471850889919167E-4</v>
      </c>
      <c r="T189" s="81">
        <f t="shared" si="94"/>
        <v>4.9504950495049506E-3</v>
      </c>
      <c r="U189" s="81">
        <f t="shared" si="95"/>
        <v>0</v>
      </c>
      <c r="V189" s="83">
        <f t="shared" si="96"/>
        <v>5.9999999999999984E-4</v>
      </c>
    </row>
    <row r="190" spans="1:24">
      <c r="A190" s="75">
        <v>158</v>
      </c>
      <c r="B190" s="138" t="s">
        <v>195</v>
      </c>
      <c r="C190" s="139" t="s">
        <v>45</v>
      </c>
      <c r="D190" s="2">
        <v>4191246191.4000001</v>
      </c>
      <c r="E190" s="3">
        <f t="shared" si="90"/>
        <v>8.2217528995453829E-2</v>
      </c>
      <c r="F190" s="14">
        <v>1.2250000000000001</v>
      </c>
      <c r="G190" s="14">
        <v>1.2250000000000001</v>
      </c>
      <c r="H190" s="60">
        <v>671</v>
      </c>
      <c r="I190" s="5">
        <v>0.12670000000000001</v>
      </c>
      <c r="J190" s="5">
        <v>9.9500000000000005E-2</v>
      </c>
      <c r="K190" s="2">
        <v>4199252239.3000002</v>
      </c>
      <c r="L190" s="3">
        <f t="shared" si="91"/>
        <v>8.2027077774548318E-2</v>
      </c>
      <c r="M190" s="14">
        <v>1.2278</v>
      </c>
      <c r="N190" s="14">
        <v>1.2278</v>
      </c>
      <c r="O190" s="60">
        <v>683</v>
      </c>
      <c r="P190" s="5">
        <v>0.12640000000000001</v>
      </c>
      <c r="Q190" s="5">
        <v>0.1007</v>
      </c>
      <c r="R190" s="81">
        <f t="shared" si="92"/>
        <v>1.9101831613775565E-3</v>
      </c>
      <c r="S190" s="81">
        <f t="shared" si="93"/>
        <v>2.2857142857142152E-3</v>
      </c>
      <c r="T190" s="81">
        <f t="shared" si="94"/>
        <v>1.7883755588673621E-2</v>
      </c>
      <c r="U190" s="81">
        <f t="shared" si="95"/>
        <v>-2.9999999999999472E-4</v>
      </c>
      <c r="V190" s="83">
        <f t="shared" si="96"/>
        <v>1.1999999999999927E-3</v>
      </c>
    </row>
    <row r="191" spans="1:24">
      <c r="A191" s="75">
        <v>159</v>
      </c>
      <c r="B191" s="138" t="s">
        <v>196</v>
      </c>
      <c r="C191" s="139" t="s">
        <v>197</v>
      </c>
      <c r="D191" s="2">
        <v>335397032.50999999</v>
      </c>
      <c r="E191" s="3">
        <f t="shared" si="90"/>
        <v>6.5793117335751295E-3</v>
      </c>
      <c r="F191" s="18">
        <v>112.7967</v>
      </c>
      <c r="G191" s="18">
        <v>113.4686</v>
      </c>
      <c r="H191" s="61">
        <v>167</v>
      </c>
      <c r="I191" s="5">
        <v>6.9999999999999999E-4</v>
      </c>
      <c r="J191" s="5">
        <v>0.13980000000000001</v>
      </c>
      <c r="K191" s="2">
        <v>343481911</v>
      </c>
      <c r="L191" s="3">
        <f t="shared" si="91"/>
        <v>6.7094844086918008E-3</v>
      </c>
      <c r="M191" s="18">
        <v>115.4282</v>
      </c>
      <c r="N191" s="18">
        <v>116.1185</v>
      </c>
      <c r="O191" s="61">
        <v>167</v>
      </c>
      <c r="P191" s="5">
        <v>2.3345999999999999E-2</v>
      </c>
      <c r="Q191" s="5">
        <v>0.16650000000000001</v>
      </c>
      <c r="R191" s="81">
        <f>((K191-D191)/D191)</f>
        <v>2.4105396608596875E-2</v>
      </c>
      <c r="S191" s="81">
        <f>((N191-G191)/G191)</f>
        <v>2.3353597382888329E-2</v>
      </c>
      <c r="T191" s="81">
        <f>((O191-H191)/H191)</f>
        <v>0</v>
      </c>
      <c r="U191" s="81">
        <f>P191-I191</f>
        <v>2.2645999999999999E-2</v>
      </c>
      <c r="V191" s="83">
        <f>Q191-J191</f>
        <v>2.6700000000000002E-2</v>
      </c>
    </row>
    <row r="192" spans="1:24">
      <c r="A192" s="75">
        <v>160</v>
      </c>
      <c r="B192" s="138" t="s">
        <v>244</v>
      </c>
      <c r="C192" s="139" t="s">
        <v>197</v>
      </c>
      <c r="D192" s="2">
        <v>160659188.41999999</v>
      </c>
      <c r="E192" s="3">
        <f t="shared" si="90"/>
        <v>3.1515689795104189E-3</v>
      </c>
      <c r="F192" s="18">
        <v>104.8287</v>
      </c>
      <c r="G192" s="18">
        <v>104.8287</v>
      </c>
      <c r="H192" s="61">
        <v>67</v>
      </c>
      <c r="I192" s="5">
        <v>2.764E-3</v>
      </c>
      <c r="J192" s="5">
        <v>4.6764E-2</v>
      </c>
      <c r="K192" s="2">
        <v>161186300.44</v>
      </c>
      <c r="L192" s="3">
        <f t="shared" si="91"/>
        <v>3.1485703760885746E-3</v>
      </c>
      <c r="M192" s="18">
        <v>105.1073</v>
      </c>
      <c r="N192" s="18">
        <v>105.1073</v>
      </c>
      <c r="O192" s="61">
        <v>68</v>
      </c>
      <c r="P192" s="5">
        <v>2.6580000000000002E-3</v>
      </c>
      <c r="Q192" s="5">
        <v>4.9546E-2</v>
      </c>
      <c r="R192" s="81">
        <f t="shared" si="92"/>
        <v>3.2809329188319995E-3</v>
      </c>
      <c r="S192" s="81">
        <f t="shared" si="93"/>
        <v>2.6576691306865134E-3</v>
      </c>
      <c r="T192" s="81">
        <f t="shared" si="94"/>
        <v>1.4925373134328358E-2</v>
      </c>
      <c r="U192" s="81">
        <f t="shared" si="95"/>
        <v>-1.0599999999999976E-4</v>
      </c>
      <c r="V192" s="83">
        <f t="shared" si="96"/>
        <v>2.7819999999999998E-3</v>
      </c>
    </row>
    <row r="193" spans="1:22">
      <c r="A193" s="85"/>
      <c r="B193" s="19"/>
      <c r="C193" s="66" t="s">
        <v>46</v>
      </c>
      <c r="D193" s="59">
        <f>SUM(D178:D192)</f>
        <v>50977525627.555077</v>
      </c>
      <c r="E193" s="100">
        <f>(D193/$D$194)</f>
        <v>1.7844788931528792E-2</v>
      </c>
      <c r="F193" s="30"/>
      <c r="G193" s="34"/>
      <c r="H193" s="68">
        <f>SUM(H178:H192)</f>
        <v>27753</v>
      </c>
      <c r="I193" s="35"/>
      <c r="J193" s="35"/>
      <c r="K193" s="59">
        <f>SUM(K178:K192)</f>
        <v>51193488214.241379</v>
      </c>
      <c r="L193" s="100">
        <f>(K193/$K$194)</f>
        <v>1.7639789155922569E-2</v>
      </c>
      <c r="M193" s="30"/>
      <c r="N193" s="34"/>
      <c r="O193" s="68">
        <f>SUM(O178:O192)</f>
        <v>27785</v>
      </c>
      <c r="P193" s="35"/>
      <c r="Q193" s="35"/>
      <c r="R193" s="81">
        <f t="shared" si="92"/>
        <v>4.2364274065426017E-3</v>
      </c>
      <c r="S193" s="81" t="e">
        <f t="shared" si="93"/>
        <v>#DIV/0!</v>
      </c>
      <c r="T193" s="81">
        <f t="shared" si="94"/>
        <v>1.1530285014232696E-3</v>
      </c>
      <c r="U193" s="81">
        <f t="shared" si="95"/>
        <v>0</v>
      </c>
      <c r="V193" s="83">
        <f t="shared" si="96"/>
        <v>0</v>
      </c>
    </row>
    <row r="194" spans="1:22">
      <c r="A194" s="86"/>
      <c r="B194" s="38"/>
      <c r="C194" s="67" t="s">
        <v>198</v>
      </c>
      <c r="D194" s="69">
        <f>SUM(D23,D59,D97,D130,D138,D168,D174,D193)</f>
        <v>2856717769157.0347</v>
      </c>
      <c r="E194" s="39"/>
      <c r="F194" s="39"/>
      <c r="G194" s="40"/>
      <c r="H194" s="69">
        <f>SUM(H23,H59,H97,H130,H138,H168,H174,H193)</f>
        <v>734372</v>
      </c>
      <c r="I194" s="41"/>
      <c r="J194" s="41"/>
      <c r="K194" s="69">
        <f>SUM(K23,K59,K97,K130,K138,K168,K174,K193)</f>
        <v>2902159870604.4136</v>
      </c>
      <c r="L194" s="39"/>
      <c r="M194" s="39"/>
      <c r="N194" s="40"/>
      <c r="O194" s="69">
        <f>SUM(O23,O59,O97,O130,O138,O168,O174,O193)</f>
        <v>736143</v>
      </c>
      <c r="P194" s="42"/>
      <c r="Q194" s="69"/>
      <c r="R194" s="25">
        <f t="shared" si="92"/>
        <v>1.5907102177891392E-2</v>
      </c>
      <c r="S194" s="25"/>
      <c r="T194" s="25"/>
      <c r="U194" s="25"/>
      <c r="V194" s="25"/>
    </row>
    <row r="195" spans="1:22" ht="6.75" customHeight="1">
      <c r="A195" s="146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9"/>
    </row>
    <row r="196" spans="1:22" ht="15.75">
      <c r="A196" s="144" t="s">
        <v>199</v>
      </c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</row>
    <row r="197" spans="1:22">
      <c r="A197" s="75">
        <v>1</v>
      </c>
      <c r="B197" s="138" t="s">
        <v>200</v>
      </c>
      <c r="C197" s="139" t="s">
        <v>201</v>
      </c>
      <c r="D197" s="2">
        <v>103175705234</v>
      </c>
      <c r="E197" s="3">
        <f>(D197/$D$199)</f>
        <v>0.97913195520513507</v>
      </c>
      <c r="F197" s="14">
        <v>107.39</v>
      </c>
      <c r="G197" s="14">
        <v>107.39</v>
      </c>
      <c r="H197" s="64">
        <v>0</v>
      </c>
      <c r="I197" s="20">
        <v>0</v>
      </c>
      <c r="J197" s="20">
        <v>0.13800000000000001</v>
      </c>
      <c r="K197" s="2">
        <v>103175705234</v>
      </c>
      <c r="L197" s="3">
        <f>(K197/$K$199)</f>
        <v>0.97908117249407556</v>
      </c>
      <c r="M197" s="14">
        <v>107.39</v>
      </c>
      <c r="N197" s="14">
        <v>107.39</v>
      </c>
      <c r="O197" s="64">
        <v>0</v>
      </c>
      <c r="P197" s="20">
        <v>0</v>
      </c>
      <c r="Q197" s="20">
        <v>0.13800000000000001</v>
      </c>
      <c r="R197" s="81">
        <f>((K197-D197)/D197)</f>
        <v>0</v>
      </c>
      <c r="S197" s="81">
        <f>((N197-G197)/G197)</f>
        <v>0</v>
      </c>
      <c r="T197" s="81" t="e">
        <f>((O197-H197)/H197)</f>
        <v>#DIV/0!</v>
      </c>
      <c r="U197" s="81">
        <f>P197-I197</f>
        <v>0</v>
      </c>
      <c r="V197" s="83">
        <f>Q197-J197</f>
        <v>0</v>
      </c>
    </row>
    <row r="198" spans="1:22">
      <c r="A198" s="75">
        <v>2</v>
      </c>
      <c r="B198" s="138" t="s">
        <v>202</v>
      </c>
      <c r="C198" s="139" t="s">
        <v>45</v>
      </c>
      <c r="D198" s="2">
        <v>2198963303.2800002</v>
      </c>
      <c r="E198" s="3">
        <f>(D198/$D$199)</f>
        <v>2.0868044794864902E-2</v>
      </c>
      <c r="F198" s="21">
        <v>1000000</v>
      </c>
      <c r="G198" s="21">
        <v>1000000</v>
      </c>
      <c r="H198" s="64">
        <v>0</v>
      </c>
      <c r="I198" s="20">
        <v>0.16389999999999999</v>
      </c>
      <c r="J198" s="20">
        <v>0.16389999999999999</v>
      </c>
      <c r="K198" s="2">
        <v>2204428847.4000001</v>
      </c>
      <c r="L198" s="3">
        <f>(K198/$K$199)</f>
        <v>2.091882750592448E-2</v>
      </c>
      <c r="M198" s="21">
        <v>1000000</v>
      </c>
      <c r="N198" s="21">
        <v>1000000</v>
      </c>
      <c r="O198" s="64">
        <v>0</v>
      </c>
      <c r="P198" s="20">
        <v>0.16389999999999999</v>
      </c>
      <c r="Q198" s="20">
        <v>0.16389999999999999</v>
      </c>
      <c r="R198" s="81">
        <f>((K198-D198)/D198)</f>
        <v>2.4855094725079832E-3</v>
      </c>
      <c r="S198" s="81">
        <f>((N198-G198)/G198)</f>
        <v>0</v>
      </c>
      <c r="T198" s="81" t="e">
        <f>((O198-H198)/H198)</f>
        <v>#DIV/0!</v>
      </c>
      <c r="U198" s="81">
        <f>P198-I198</f>
        <v>0</v>
      </c>
      <c r="V198" s="83">
        <f>Q198-J198</f>
        <v>0</v>
      </c>
    </row>
    <row r="199" spans="1:22">
      <c r="A199" s="38"/>
      <c r="B199" s="38"/>
      <c r="C199" s="67" t="s">
        <v>203</v>
      </c>
      <c r="D199" s="73">
        <f>SUM(D197:D198)</f>
        <v>105374668537.28</v>
      </c>
      <c r="E199" s="24"/>
      <c r="F199" s="22"/>
      <c r="G199" s="22"/>
      <c r="H199" s="73">
        <f>SUM(H197:H198)</f>
        <v>0</v>
      </c>
      <c r="I199" s="23"/>
      <c r="J199" s="23"/>
      <c r="K199" s="73">
        <f>SUM(K197:K198)</f>
        <v>105380134081.39999</v>
      </c>
      <c r="L199" s="24"/>
      <c r="M199" s="22"/>
      <c r="N199" s="22"/>
      <c r="O199" s="23"/>
      <c r="P199" s="23"/>
      <c r="Q199" s="73"/>
      <c r="R199" s="25">
        <f>((K199-D199)/D199)</f>
        <v>5.1867723010312376E-5</v>
      </c>
      <c r="S199" s="26"/>
      <c r="T199" s="26"/>
      <c r="U199" s="25"/>
      <c r="V199" s="87"/>
    </row>
    <row r="200" spans="1:22" ht="8.25" customHeight="1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</row>
    <row r="201" spans="1:22" ht="15.75">
      <c r="A201" s="144" t="s">
        <v>204</v>
      </c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</row>
    <row r="202" spans="1:22">
      <c r="A202" s="75">
        <v>1</v>
      </c>
      <c r="B202" s="138" t="s">
        <v>205</v>
      </c>
      <c r="C202" s="139" t="s">
        <v>74</v>
      </c>
      <c r="D202" s="27">
        <v>950985096.92282999</v>
      </c>
      <c r="E202" s="10">
        <f t="shared" ref="E202:E213" si="97">(D202/$D$214)</f>
        <v>7.3929275270896336E-2</v>
      </c>
      <c r="F202" s="21">
        <v>224.10394648823612</v>
      </c>
      <c r="G202" s="21">
        <v>226.47925611170029</v>
      </c>
      <c r="H202" s="63">
        <v>61</v>
      </c>
      <c r="I202" s="28">
        <v>-4.3025234663074396E-3</v>
      </c>
      <c r="J202" s="28">
        <v>0.2801550696231927</v>
      </c>
      <c r="K202" s="27">
        <v>967646394.06478274</v>
      </c>
      <c r="L202" s="10">
        <f t="shared" ref="L202:L213" si="98">(K202/$K$214)</f>
        <v>7.3771036636765402E-2</v>
      </c>
      <c r="M202" s="21">
        <v>228.03025664305002</v>
      </c>
      <c r="N202" s="21">
        <v>230.50931048662659</v>
      </c>
      <c r="O202" s="63">
        <v>61</v>
      </c>
      <c r="P202" s="28">
        <v>1.7520040214999089E-2</v>
      </c>
      <c r="Q202" s="28">
        <v>0.3025834379244261</v>
      </c>
      <c r="R202" s="81">
        <f>((K202-D202)/D202)</f>
        <v>1.7520040214999054E-2</v>
      </c>
      <c r="S202" s="81">
        <f>((N202-G202)/G202)</f>
        <v>1.7794364235012582E-2</v>
      </c>
      <c r="T202" s="81">
        <f>((O202-H202)/H202)</f>
        <v>0</v>
      </c>
      <c r="U202" s="81">
        <f>P202-I202</f>
        <v>2.1822563681306528E-2</v>
      </c>
      <c r="V202" s="83">
        <f>Q202-J202</f>
        <v>2.2428368301233403E-2</v>
      </c>
    </row>
    <row r="203" spans="1:22">
      <c r="A203" s="75">
        <v>2</v>
      </c>
      <c r="B203" s="138" t="s">
        <v>206</v>
      </c>
      <c r="C203" s="139" t="s">
        <v>185</v>
      </c>
      <c r="D203" s="27">
        <v>996363098.94000006</v>
      </c>
      <c r="E203" s="10">
        <f t="shared" si="97"/>
        <v>7.7456946538538601E-2</v>
      </c>
      <c r="F203" s="21">
        <v>28.2</v>
      </c>
      <c r="G203" s="21">
        <v>31.17</v>
      </c>
      <c r="H203" s="63">
        <v>211</v>
      </c>
      <c r="I203" s="28">
        <v>5.0000000000000001E-3</v>
      </c>
      <c r="J203" s="28">
        <v>0.3221</v>
      </c>
      <c r="K203" s="27">
        <v>995655430.19000006</v>
      </c>
      <c r="L203" s="10">
        <f t="shared" si="98"/>
        <v>7.5906378268613156E-2</v>
      </c>
      <c r="M203" s="21">
        <v>28.32</v>
      </c>
      <c r="N203" s="21">
        <v>31.3</v>
      </c>
      <c r="O203" s="63">
        <v>211</v>
      </c>
      <c r="P203" s="28">
        <v>-6.9999999999999999E-4</v>
      </c>
      <c r="Q203" s="28">
        <v>0.32119999999999999</v>
      </c>
      <c r="R203" s="81">
        <f t="shared" ref="R203:R214" si="99">((K203-D203)/D203)</f>
        <v>-7.1025186576346207E-4</v>
      </c>
      <c r="S203" s="81">
        <f t="shared" ref="S203:S214" si="100">((N203-G203)/G203)</f>
        <v>4.1706769329483157E-3</v>
      </c>
      <c r="T203" s="81">
        <f t="shared" ref="T203:T214" si="101">((O203-H203)/H203)</f>
        <v>0</v>
      </c>
      <c r="U203" s="81">
        <f t="shared" ref="U203:U214" si="102">P203-I203</f>
        <v>-5.7000000000000002E-3</v>
      </c>
      <c r="V203" s="83">
        <f t="shared" ref="V203:V214" si="103">Q203-J203</f>
        <v>-9.000000000000119E-4</v>
      </c>
    </row>
    <row r="204" spans="1:22">
      <c r="A204" s="75">
        <v>3</v>
      </c>
      <c r="B204" s="138" t="s">
        <v>207</v>
      </c>
      <c r="C204" s="139" t="s">
        <v>36</v>
      </c>
      <c r="D204" s="27">
        <v>237822538.94</v>
      </c>
      <c r="E204" s="10">
        <f t="shared" si="97"/>
        <v>1.8488247611671525E-2</v>
      </c>
      <c r="F204" s="21">
        <v>17.969580000000001</v>
      </c>
      <c r="G204" s="21">
        <v>18.419589999999999</v>
      </c>
      <c r="H204" s="63">
        <v>107</v>
      </c>
      <c r="I204" s="28">
        <v>-5.4502232259497463E-2</v>
      </c>
      <c r="J204" s="28">
        <v>1.3644681719034546E-2</v>
      </c>
      <c r="K204" s="27">
        <v>260268186.81</v>
      </c>
      <c r="L204" s="10">
        <f t="shared" si="98"/>
        <v>1.9842221355148848E-2</v>
      </c>
      <c r="M204" s="21">
        <v>19.422882999999999</v>
      </c>
      <c r="N204" s="21">
        <v>19.881253000000001</v>
      </c>
      <c r="O204" s="63">
        <v>107</v>
      </c>
      <c r="P204" s="28">
        <v>8.0875785226572683E-2</v>
      </c>
      <c r="Q204" s="28">
        <v>-0.17314849030656143</v>
      </c>
      <c r="R204" s="81">
        <f t="shared" si="99"/>
        <v>9.4379817699544427E-2</v>
      </c>
      <c r="S204" s="81">
        <f t="shared" si="100"/>
        <v>7.9353720685422499E-2</v>
      </c>
      <c r="T204" s="81">
        <f t="shared" si="101"/>
        <v>0</v>
      </c>
      <c r="U204" s="81">
        <f t="shared" si="102"/>
        <v>0.13537801748607015</v>
      </c>
      <c r="V204" s="83">
        <f t="shared" si="103"/>
        <v>-0.18679317202559598</v>
      </c>
    </row>
    <row r="205" spans="1:22">
      <c r="A205" s="75">
        <v>4</v>
      </c>
      <c r="B205" s="138" t="s">
        <v>208</v>
      </c>
      <c r="C205" s="139" t="s">
        <v>36</v>
      </c>
      <c r="D205" s="27">
        <v>519206197.68000001</v>
      </c>
      <c r="E205" s="10">
        <f t="shared" si="97"/>
        <v>4.0362922652356713E-2</v>
      </c>
      <c r="F205" s="21">
        <v>39.200789999999998</v>
      </c>
      <c r="G205" s="21">
        <v>39.684060000000002</v>
      </c>
      <c r="H205" s="63">
        <v>98</v>
      </c>
      <c r="I205" s="28">
        <v>-5.3036812573749037E-3</v>
      </c>
      <c r="J205" s="28">
        <v>4.1287603905876713E-2</v>
      </c>
      <c r="K205" s="27">
        <v>554027556.5</v>
      </c>
      <c r="L205" s="10">
        <f t="shared" si="98"/>
        <v>4.223773004170657E-2</v>
      </c>
      <c r="M205" s="21">
        <v>41.544365999999997</v>
      </c>
      <c r="N205" s="21">
        <v>42.040286999999999</v>
      </c>
      <c r="O205" s="63">
        <v>98</v>
      </c>
      <c r="P205" s="28">
        <v>5.9783907798868663E-2</v>
      </c>
      <c r="Q205" s="28">
        <v>0.10334822367838004</v>
      </c>
      <c r="R205" s="81">
        <f t="shared" si="99"/>
        <v>6.7066531515984101E-2</v>
      </c>
      <c r="S205" s="81">
        <f t="shared" si="100"/>
        <v>5.9374645638576216E-2</v>
      </c>
      <c r="T205" s="81">
        <f t="shared" si="101"/>
        <v>0</v>
      </c>
      <c r="U205" s="81">
        <f t="shared" si="102"/>
        <v>6.5087589056243567E-2</v>
      </c>
      <c r="V205" s="83">
        <f t="shared" si="103"/>
        <v>6.2060619772503323E-2</v>
      </c>
    </row>
    <row r="206" spans="1:22">
      <c r="A206" s="75">
        <v>5</v>
      </c>
      <c r="B206" s="138" t="s">
        <v>209</v>
      </c>
      <c r="C206" s="139" t="s">
        <v>210</v>
      </c>
      <c r="D206" s="27">
        <v>1081137228.96</v>
      </c>
      <c r="E206" s="10">
        <f t="shared" si="97"/>
        <v>8.4047260113776376E-2</v>
      </c>
      <c r="F206" s="21">
        <v>25300</v>
      </c>
      <c r="G206" s="21">
        <v>34200</v>
      </c>
      <c r="H206" s="63">
        <v>227</v>
      </c>
      <c r="I206" s="28">
        <v>-0.05</v>
      </c>
      <c r="J206" s="28">
        <v>0.85</v>
      </c>
      <c r="K206" s="27">
        <v>1087642613.03</v>
      </c>
      <c r="L206" s="10">
        <f t="shared" si="98"/>
        <v>8.2919260119902471E-2</v>
      </c>
      <c r="M206" s="21">
        <v>25000</v>
      </c>
      <c r="N206" s="21">
        <v>34000</v>
      </c>
      <c r="O206" s="63">
        <v>227</v>
      </c>
      <c r="P206" s="28">
        <v>0.01</v>
      </c>
      <c r="Q206" s="28">
        <v>0.86</v>
      </c>
      <c r="R206" s="81">
        <f t="shared" si="99"/>
        <v>6.0171677523840218E-3</v>
      </c>
      <c r="S206" s="81">
        <f t="shared" si="100"/>
        <v>-5.8479532163742687E-3</v>
      </c>
      <c r="T206" s="81">
        <f t="shared" si="101"/>
        <v>0</v>
      </c>
      <c r="U206" s="81">
        <f t="shared" si="102"/>
        <v>6.0000000000000005E-2</v>
      </c>
      <c r="V206" s="83">
        <f t="shared" si="103"/>
        <v>1.0000000000000009E-2</v>
      </c>
    </row>
    <row r="207" spans="1:22">
      <c r="A207" s="75">
        <v>6</v>
      </c>
      <c r="B207" s="138" t="s">
        <v>211</v>
      </c>
      <c r="C207" s="139" t="s">
        <v>212</v>
      </c>
      <c r="D207" s="27">
        <v>975447338.63</v>
      </c>
      <c r="E207" s="10">
        <f t="shared" si="97"/>
        <v>7.5830962065741372E-2</v>
      </c>
      <c r="F207" s="21">
        <v>933.9</v>
      </c>
      <c r="G207" s="21">
        <v>933.9</v>
      </c>
      <c r="H207" s="63">
        <v>119</v>
      </c>
      <c r="I207" s="28">
        <v>-6.88E-2</v>
      </c>
      <c r="J207" s="28">
        <v>-1.9E-2</v>
      </c>
      <c r="K207" s="27">
        <v>1020838006.63</v>
      </c>
      <c r="L207" s="10">
        <f t="shared" si="98"/>
        <v>7.7826237403683732E-2</v>
      </c>
      <c r="M207" s="21">
        <v>1010</v>
      </c>
      <c r="N207" s="21">
        <v>1010</v>
      </c>
      <c r="O207" s="63">
        <v>120</v>
      </c>
      <c r="P207" s="28">
        <v>0.1104</v>
      </c>
      <c r="Q207" s="28">
        <v>8.6099999999999996E-2</v>
      </c>
      <c r="R207" s="81">
        <f t="shared" si="99"/>
        <v>4.6533181446525303E-2</v>
      </c>
      <c r="S207" s="81">
        <f t="shared" si="100"/>
        <v>8.1486240496841236E-2</v>
      </c>
      <c r="T207" s="81">
        <f t="shared" si="101"/>
        <v>8.4033613445378148E-3</v>
      </c>
      <c r="U207" s="81">
        <f t="shared" si="102"/>
        <v>0.1792</v>
      </c>
      <c r="V207" s="83">
        <f t="shared" si="103"/>
        <v>0.1051</v>
      </c>
    </row>
    <row r="208" spans="1:22">
      <c r="A208" s="75">
        <v>7</v>
      </c>
      <c r="B208" s="138" t="s">
        <v>213</v>
      </c>
      <c r="C208" s="139" t="s">
        <v>212</v>
      </c>
      <c r="D208" s="27">
        <v>908660686.47000003</v>
      </c>
      <c r="E208" s="10">
        <f t="shared" si="97"/>
        <v>7.0638989228380591E-2</v>
      </c>
      <c r="F208" s="21">
        <v>577.98</v>
      </c>
      <c r="G208" s="21">
        <v>577.98</v>
      </c>
      <c r="H208" s="63">
        <v>554</v>
      </c>
      <c r="I208" s="28">
        <v>-6.4000000000000003E-3</v>
      </c>
      <c r="J208" s="28">
        <v>0.36009999999999998</v>
      </c>
      <c r="K208" s="27">
        <v>884035751.22000003</v>
      </c>
      <c r="L208" s="10">
        <f t="shared" si="98"/>
        <v>6.7396762072876482E-2</v>
      </c>
      <c r="M208" s="21">
        <v>638</v>
      </c>
      <c r="N208" s="21">
        <v>638</v>
      </c>
      <c r="O208" s="63">
        <v>563</v>
      </c>
      <c r="P208" s="28">
        <v>-2.7099999999999999E-2</v>
      </c>
      <c r="Q208" s="28">
        <v>0.3236</v>
      </c>
      <c r="R208" s="81">
        <f t="shared" si="99"/>
        <v>-2.7100253831453737E-2</v>
      </c>
      <c r="S208" s="81">
        <f t="shared" si="100"/>
        <v>0.10384442368248033</v>
      </c>
      <c r="T208" s="81">
        <f t="shared" si="101"/>
        <v>1.6245487364620937E-2</v>
      </c>
      <c r="U208" s="81">
        <f t="shared" si="102"/>
        <v>-2.07E-2</v>
      </c>
      <c r="V208" s="83">
        <f t="shared" si="103"/>
        <v>-3.6499999999999977E-2</v>
      </c>
    </row>
    <row r="209" spans="1:22">
      <c r="A209" s="75">
        <v>8</v>
      </c>
      <c r="B209" s="138" t="s">
        <v>214</v>
      </c>
      <c r="C209" s="139" t="s">
        <v>215</v>
      </c>
      <c r="D209" s="27">
        <v>343774192.20999998</v>
      </c>
      <c r="E209" s="10">
        <f t="shared" si="97"/>
        <v>2.6724895026389122E-2</v>
      </c>
      <c r="F209" s="21">
        <v>15.28</v>
      </c>
      <c r="G209" s="21">
        <v>15.38</v>
      </c>
      <c r="H209" s="63">
        <v>61</v>
      </c>
      <c r="I209" s="28">
        <v>-3.6600000000000001E-2</v>
      </c>
      <c r="J209" s="28">
        <v>0.38840000000000002</v>
      </c>
      <c r="K209" s="27">
        <v>350944147.47000003</v>
      </c>
      <c r="L209" s="10">
        <f t="shared" si="98"/>
        <v>2.6755138777207595E-2</v>
      </c>
      <c r="M209" s="21">
        <v>15.59</v>
      </c>
      <c r="N209" s="21">
        <v>15.69</v>
      </c>
      <c r="O209" s="63">
        <v>61</v>
      </c>
      <c r="P209" s="28">
        <v>9.4999999999999998E-3</v>
      </c>
      <c r="Q209" s="28">
        <v>0.37519999999999998</v>
      </c>
      <c r="R209" s="81">
        <f t="shared" si="99"/>
        <v>2.0856583834600848E-2</v>
      </c>
      <c r="S209" s="81">
        <f t="shared" si="100"/>
        <v>2.0156046814044128E-2</v>
      </c>
      <c r="T209" s="81">
        <f t="shared" si="101"/>
        <v>0</v>
      </c>
      <c r="U209" s="81">
        <f t="shared" si="102"/>
        <v>4.6100000000000002E-2</v>
      </c>
      <c r="V209" s="83">
        <f t="shared" si="103"/>
        <v>-1.3200000000000045E-2</v>
      </c>
    </row>
    <row r="210" spans="1:22">
      <c r="A210" s="75">
        <v>9</v>
      </c>
      <c r="B210" s="138" t="s">
        <v>216</v>
      </c>
      <c r="C210" s="139" t="s">
        <v>215</v>
      </c>
      <c r="D210" s="29">
        <v>623071007.89999998</v>
      </c>
      <c r="E210" s="10">
        <f t="shared" si="97"/>
        <v>4.8437339560213781E-2</v>
      </c>
      <c r="F210" s="21">
        <v>7.28</v>
      </c>
      <c r="G210" s="21">
        <v>7.38</v>
      </c>
      <c r="H210" s="63">
        <v>101</v>
      </c>
      <c r="I210" s="28">
        <v>-6.25E-2</v>
      </c>
      <c r="J210" s="28">
        <v>-0.15060000000000001</v>
      </c>
      <c r="K210" s="29">
        <v>674095326.10000002</v>
      </c>
      <c r="L210" s="10">
        <f t="shared" si="98"/>
        <v>5.1391408373363034E-2</v>
      </c>
      <c r="M210" s="21">
        <v>7.92</v>
      </c>
      <c r="N210" s="21">
        <v>8.02</v>
      </c>
      <c r="O210" s="63">
        <v>101</v>
      </c>
      <c r="P210" s="28">
        <v>5.33E-2</v>
      </c>
      <c r="Q210" s="28">
        <v>-0.1053</v>
      </c>
      <c r="R210" s="81">
        <f t="shared" si="99"/>
        <v>8.189165849968294E-2</v>
      </c>
      <c r="S210" s="81">
        <f t="shared" si="100"/>
        <v>8.6720867208672045E-2</v>
      </c>
      <c r="T210" s="81">
        <f t="shared" si="101"/>
        <v>0</v>
      </c>
      <c r="U210" s="81">
        <f t="shared" si="102"/>
        <v>0.1158</v>
      </c>
      <c r="V210" s="83">
        <f t="shared" si="103"/>
        <v>4.5300000000000007E-2</v>
      </c>
    </row>
    <row r="211" spans="1:22" ht="15" customHeight="1">
      <c r="A211" s="75">
        <v>10</v>
      </c>
      <c r="B211" s="138" t="s">
        <v>217</v>
      </c>
      <c r="C211" s="139" t="s">
        <v>215</v>
      </c>
      <c r="D211" s="27">
        <v>449728737.63</v>
      </c>
      <c r="E211" s="10">
        <f t="shared" si="97"/>
        <v>3.4961767275916614E-2</v>
      </c>
      <c r="F211" s="21">
        <v>126.75</v>
      </c>
      <c r="G211" s="21">
        <v>128.75</v>
      </c>
      <c r="H211" s="63">
        <v>255</v>
      </c>
      <c r="I211" s="28">
        <v>-1.67E-2</v>
      </c>
      <c r="J211" s="28">
        <v>0.99319999999999997</v>
      </c>
      <c r="K211" s="27">
        <v>450857026.87</v>
      </c>
      <c r="L211" s="10">
        <f t="shared" si="98"/>
        <v>3.4372256695396897E-2</v>
      </c>
      <c r="M211" s="21">
        <v>127.07</v>
      </c>
      <c r="N211" s="21">
        <v>129.07</v>
      </c>
      <c r="O211" s="63">
        <v>255</v>
      </c>
      <c r="P211" s="28">
        <v>-0.42370000000000002</v>
      </c>
      <c r="Q211" s="28">
        <v>0.14860000000000001</v>
      </c>
      <c r="R211" s="81">
        <f t="shared" si="99"/>
        <v>2.5088217531881933E-3</v>
      </c>
      <c r="S211" s="81">
        <f t="shared" si="100"/>
        <v>2.4854368932038305E-3</v>
      </c>
      <c r="T211" s="81">
        <f t="shared" si="101"/>
        <v>0</v>
      </c>
      <c r="U211" s="81">
        <f t="shared" si="102"/>
        <v>-0.40700000000000003</v>
      </c>
      <c r="V211" s="83">
        <f t="shared" si="103"/>
        <v>-0.84460000000000002</v>
      </c>
    </row>
    <row r="212" spans="1:22">
      <c r="A212" s="75">
        <v>11</v>
      </c>
      <c r="B212" s="138" t="s">
        <v>218</v>
      </c>
      <c r="C212" s="139" t="s">
        <v>215</v>
      </c>
      <c r="D212" s="27">
        <v>5279057297.5900002</v>
      </c>
      <c r="E212" s="10">
        <f t="shared" si="97"/>
        <v>0.41039221475416582</v>
      </c>
      <c r="F212" s="21">
        <v>36.340000000000003</v>
      </c>
      <c r="G212" s="21">
        <v>36.54</v>
      </c>
      <c r="H212" s="63">
        <v>272</v>
      </c>
      <c r="I212" s="28">
        <v>-5.2600000000000001E-2</v>
      </c>
      <c r="J212" s="28">
        <v>0.33329999999999999</v>
      </c>
      <c r="K212" s="27">
        <v>5373438813.8500004</v>
      </c>
      <c r="L212" s="10">
        <f t="shared" si="98"/>
        <v>0.40965806727886883</v>
      </c>
      <c r="M212" s="21">
        <v>37</v>
      </c>
      <c r="N212" s="21">
        <v>37.200000000000003</v>
      </c>
      <c r="O212" s="63">
        <v>272</v>
      </c>
      <c r="P212" s="28">
        <v>-1.3899999999999999E-2</v>
      </c>
      <c r="Q212" s="28">
        <v>0.31480000000000002</v>
      </c>
      <c r="R212" s="81">
        <f t="shared" si="99"/>
        <v>1.7878479232094593E-2</v>
      </c>
      <c r="S212" s="81">
        <f t="shared" si="100"/>
        <v>1.8062397372742303E-2</v>
      </c>
      <c r="T212" s="81">
        <f t="shared" si="101"/>
        <v>0</v>
      </c>
      <c r="U212" s="81">
        <f t="shared" si="102"/>
        <v>3.8699999999999998E-2</v>
      </c>
      <c r="V212" s="83">
        <f t="shared" si="103"/>
        <v>-1.8499999999999961E-2</v>
      </c>
    </row>
    <row r="213" spans="1:22">
      <c r="A213" s="75">
        <v>12</v>
      </c>
      <c r="B213" s="138" t="s">
        <v>219</v>
      </c>
      <c r="C213" s="139" t="s">
        <v>215</v>
      </c>
      <c r="D213" s="29">
        <v>498190639.19999999</v>
      </c>
      <c r="E213" s="10">
        <f t="shared" si="97"/>
        <v>3.8729179901953112E-2</v>
      </c>
      <c r="F213" s="21">
        <v>46.91</v>
      </c>
      <c r="G213" s="21">
        <v>47.11</v>
      </c>
      <c r="H213" s="63">
        <v>58</v>
      </c>
      <c r="I213" s="28">
        <v>-1.8700000000000001E-2</v>
      </c>
      <c r="J213" s="28">
        <v>0.77739999999999998</v>
      </c>
      <c r="K213" s="29">
        <v>497438325.10000002</v>
      </c>
      <c r="L213" s="10">
        <f t="shared" si="98"/>
        <v>3.7923502976466968E-2</v>
      </c>
      <c r="M213" s="21">
        <v>46.84</v>
      </c>
      <c r="N213" s="21">
        <v>47.04</v>
      </c>
      <c r="O213" s="63">
        <v>58</v>
      </c>
      <c r="P213" s="28">
        <v>-1.8700000000000001E-2</v>
      </c>
      <c r="Q213" s="28">
        <v>0.77739999999999998</v>
      </c>
      <c r="R213" s="81">
        <f t="shared" si="99"/>
        <v>-1.5100928054530259E-3</v>
      </c>
      <c r="S213" s="81">
        <f t="shared" si="100"/>
        <v>-1.4858841010401249E-3</v>
      </c>
      <c r="T213" s="81">
        <f t="shared" si="101"/>
        <v>0</v>
      </c>
      <c r="U213" s="81">
        <f t="shared" si="102"/>
        <v>0</v>
      </c>
      <c r="V213" s="83">
        <f t="shared" si="103"/>
        <v>0</v>
      </c>
    </row>
    <row r="214" spans="1:22">
      <c r="A214" s="43"/>
      <c r="B214" s="43"/>
      <c r="C214" s="74" t="s">
        <v>220</v>
      </c>
      <c r="D214" s="73">
        <f>SUM(D202:D213)</f>
        <v>12863444061.07283</v>
      </c>
      <c r="E214" s="24"/>
      <c r="F214" s="24"/>
      <c r="G214" s="22"/>
      <c r="H214" s="73">
        <f>SUM(H202:H213)</f>
        <v>2124</v>
      </c>
      <c r="I214" s="23"/>
      <c r="J214" s="23"/>
      <c r="K214" s="73">
        <f>SUM(K202:K213)</f>
        <v>13116887577.834784</v>
      </c>
      <c r="L214" s="24"/>
      <c r="M214" s="24"/>
      <c r="N214" s="22"/>
      <c r="O214" s="73">
        <f>SUM(O202:O213)</f>
        <v>2134</v>
      </c>
      <c r="P214" s="23"/>
      <c r="Q214" s="23"/>
      <c r="R214" s="81">
        <f t="shared" si="99"/>
        <v>1.9702617398471105E-2</v>
      </c>
      <c r="S214" s="81" t="e">
        <f t="shared" si="100"/>
        <v>#DIV/0!</v>
      </c>
      <c r="T214" s="81">
        <f t="shared" si="101"/>
        <v>4.7080979284369112E-3</v>
      </c>
      <c r="U214" s="81">
        <f t="shared" si="102"/>
        <v>0</v>
      </c>
      <c r="V214" s="83">
        <f t="shared" si="103"/>
        <v>0</v>
      </c>
    </row>
    <row r="215" spans="1:22">
      <c r="A215" s="88"/>
      <c r="B215" s="88"/>
      <c r="C215" s="89" t="s">
        <v>221</v>
      </c>
      <c r="D215" s="90">
        <f>SUM(D194,D199,D214)</f>
        <v>2974955881755.3872</v>
      </c>
      <c r="E215" s="91"/>
      <c r="F215" s="91"/>
      <c r="G215" s="92"/>
      <c r="H215" s="90">
        <f>SUM(H194,H199,H214)</f>
        <v>736496</v>
      </c>
      <c r="I215" s="93"/>
      <c r="J215" s="93"/>
      <c r="K215" s="90">
        <f>SUM(K194,K199,K214)</f>
        <v>3020656892263.6484</v>
      </c>
      <c r="L215" s="91"/>
      <c r="M215" s="91"/>
      <c r="N215" s="92"/>
      <c r="O215" s="90">
        <f>SUM(O194,O199,O214)</f>
        <v>738277</v>
      </c>
      <c r="P215" s="94"/>
      <c r="Q215" s="90"/>
      <c r="R215" s="95"/>
      <c r="S215" s="96"/>
      <c r="T215" s="96"/>
      <c r="U215" s="97"/>
      <c r="V215" s="97"/>
    </row>
    <row r="216" spans="1:22">
      <c r="A216" s="109" t="s">
        <v>250</v>
      </c>
      <c r="B216" s="110" t="s">
        <v>277</v>
      </c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</row>
    <row r="218" spans="1:22">
      <c r="B218" s="113"/>
      <c r="C218" s="113"/>
      <c r="D218" s="112"/>
      <c r="K218" s="112"/>
    </row>
    <row r="219" spans="1:22">
      <c r="B219" s="113"/>
      <c r="D219" s="112"/>
    </row>
  </sheetData>
  <sheetProtection algorithmName="SHA-512" hashValue="2GirC4WLWS1gzm5hY3+EFVna4eDHfaKVwg62xgNVnVNJlO/Trv+LKQ4nxoybRvwMowmy/zf/5PpgK8hGZGvsBg==" saltValue="jVhPniweovbMLuAGbdAoAg==" spinCount="100000" sheet="1" objects="1" scenarios="1"/>
  <mergeCells count="31">
    <mergeCell ref="A98:V98"/>
    <mergeCell ref="A1:V1"/>
    <mergeCell ref="U2:V2"/>
    <mergeCell ref="A4:V4"/>
    <mergeCell ref="A5:V5"/>
    <mergeCell ref="A24:V24"/>
    <mergeCell ref="A25:V25"/>
    <mergeCell ref="A60:V60"/>
    <mergeCell ref="A61:V61"/>
    <mergeCell ref="R2:T2"/>
    <mergeCell ref="K2:Q2"/>
    <mergeCell ref="D2:J2"/>
    <mergeCell ref="A176:V176"/>
    <mergeCell ref="A99:V99"/>
    <mergeCell ref="A100:V100"/>
    <mergeCell ref="A116:V116"/>
    <mergeCell ref="A117:V117"/>
    <mergeCell ref="A131:V131"/>
    <mergeCell ref="A132:V132"/>
    <mergeCell ref="A139:V139"/>
    <mergeCell ref="A140:V140"/>
    <mergeCell ref="A169:V169"/>
    <mergeCell ref="A170:V170"/>
    <mergeCell ref="A175:V175"/>
    <mergeCell ref="A200:V200"/>
    <mergeCell ref="A201:V201"/>
    <mergeCell ref="A177:V177"/>
    <mergeCell ref="A180:V180"/>
    <mergeCell ref="A181:V181"/>
    <mergeCell ref="A195:U195"/>
    <mergeCell ref="A196:V196"/>
  </mergeCells>
  <pageMargins left="0.7" right="0.7" top="0.75" bottom="0.75" header="0.3" footer="0.3"/>
  <pageSetup paperSize="9" orientation="portrait" horizontalDpi="300" verticalDpi="300" r:id="rId1"/>
  <ignoredErrors>
    <ignoredError sqref="L84 E84 E66" formula="1"/>
    <ignoredError sqref="S138 S23 T35 S59 S97 S130 T148 S168 S174 S193 S214 T197:T19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D28"/>
  <sheetViews>
    <sheetView workbookViewId="0">
      <selection activeCell="A2" sqref="A2:D21"/>
    </sheetView>
  </sheetViews>
  <sheetFormatPr defaultRowHeight="15"/>
  <cols>
    <col min="1" max="1" width="34" customWidth="1"/>
    <col min="2" max="2" width="20.7109375" customWidth="1"/>
    <col min="3" max="3" width="17.42578125" customWidth="1"/>
  </cols>
  <sheetData>
    <row r="1" spans="1:4">
      <c r="A1" s="101"/>
      <c r="B1" s="101"/>
      <c r="C1" s="101"/>
      <c r="D1" s="101"/>
    </row>
    <row r="2" spans="1:4" ht="33">
      <c r="A2" s="129" t="s">
        <v>222</v>
      </c>
      <c r="B2" s="157" t="s">
        <v>274</v>
      </c>
      <c r="C2" s="157" t="s">
        <v>282</v>
      </c>
      <c r="D2" s="99"/>
    </row>
    <row r="3" spans="1:4" ht="16.5">
      <c r="A3" s="158" t="s">
        <v>15</v>
      </c>
      <c r="B3" s="130">
        <f t="shared" ref="B3:C10" si="0">B12</f>
        <v>26.745861363273004</v>
      </c>
      <c r="C3" s="130">
        <f t="shared" si="0"/>
        <v>27.6542160115843</v>
      </c>
      <c r="D3" s="99"/>
    </row>
    <row r="4" spans="1:4" ht="17.25" customHeight="1">
      <c r="A4" s="131" t="s">
        <v>47</v>
      </c>
      <c r="B4" s="132">
        <f t="shared" si="0"/>
        <v>984.56612172851305</v>
      </c>
      <c r="C4" s="132">
        <f t="shared" si="0"/>
        <v>1008.1575286280232</v>
      </c>
      <c r="D4" s="99"/>
    </row>
    <row r="5" spans="1:4" ht="19.5" customHeight="1">
      <c r="A5" s="131" t="s">
        <v>223</v>
      </c>
      <c r="B5" s="130">
        <f t="shared" si="0"/>
        <v>239.7472082621791</v>
      </c>
      <c r="C5" s="130">
        <f t="shared" si="0"/>
        <v>239.13905996020239</v>
      </c>
      <c r="D5" s="99"/>
    </row>
    <row r="6" spans="1:4" ht="16.5">
      <c r="A6" s="131" t="s">
        <v>128</v>
      </c>
      <c r="B6" s="132">
        <f t="shared" si="0"/>
        <v>1403.9426416315687</v>
      </c>
      <c r="C6" s="132">
        <f t="shared" si="0"/>
        <v>1423.9851130769678</v>
      </c>
      <c r="D6" s="99"/>
    </row>
    <row r="7" spans="1:4" ht="16.5">
      <c r="A7" s="131" t="s">
        <v>224</v>
      </c>
      <c r="B7" s="130">
        <f t="shared" si="0"/>
        <v>98.590301385434415</v>
      </c>
      <c r="C7" s="130">
        <f t="shared" si="0"/>
        <v>98.591493716940278</v>
      </c>
      <c r="D7" s="99"/>
    </row>
    <row r="8" spans="1:4" ht="16.5">
      <c r="A8" s="131" t="s">
        <v>154</v>
      </c>
      <c r="B8" s="133">
        <f t="shared" si="0"/>
        <v>47.384871316741325</v>
      </c>
      <c r="C8" s="133">
        <f t="shared" si="0"/>
        <v>48.530220711204059</v>
      </c>
      <c r="D8" s="99"/>
    </row>
    <row r="9" spans="1:4" ht="16.5">
      <c r="A9" s="131" t="s">
        <v>178</v>
      </c>
      <c r="B9" s="130">
        <f t="shared" si="0"/>
        <v>4.7632378417700005</v>
      </c>
      <c r="C9" s="130">
        <f t="shared" si="0"/>
        <v>4.90875028525</v>
      </c>
      <c r="D9" s="99"/>
    </row>
    <row r="10" spans="1:4" ht="16.5">
      <c r="A10" s="131" t="s">
        <v>225</v>
      </c>
      <c r="B10" s="130">
        <f t="shared" si="0"/>
        <v>50.977525627555075</v>
      </c>
      <c r="C10" s="130">
        <f t="shared" si="0"/>
        <v>51.193488214241377</v>
      </c>
      <c r="D10" s="99"/>
    </row>
    <row r="11" spans="1:4">
      <c r="A11" s="99"/>
      <c r="B11" s="99"/>
      <c r="C11" s="99"/>
      <c r="D11" s="99"/>
    </row>
    <row r="12" spans="1:4">
      <c r="A12" s="159" t="s">
        <v>15</v>
      </c>
      <c r="B12" s="160">
        <f>'Weekly Valuation'!D23/1000000000</f>
        <v>26.745861363273004</v>
      </c>
      <c r="C12" s="161">
        <f>'Weekly Valuation'!K23/1000000000</f>
        <v>27.6542160115843</v>
      </c>
      <c r="D12" s="99"/>
    </row>
    <row r="13" spans="1:4">
      <c r="A13" s="162" t="s">
        <v>47</v>
      </c>
      <c r="B13" s="160">
        <f>'Weekly Valuation'!D59/1000000000</f>
        <v>984.56612172851305</v>
      </c>
      <c r="C13" s="163">
        <f>'Weekly Valuation'!K59/1000000000</f>
        <v>1008.1575286280232</v>
      </c>
      <c r="D13" s="99"/>
    </row>
    <row r="14" spans="1:4">
      <c r="A14" s="162" t="s">
        <v>223</v>
      </c>
      <c r="B14" s="160">
        <f>'Weekly Valuation'!D97/1000000000</f>
        <v>239.7472082621791</v>
      </c>
      <c r="C14" s="161">
        <f>'Weekly Valuation'!K97/1000000000</f>
        <v>239.13905996020239</v>
      </c>
      <c r="D14" s="99"/>
    </row>
    <row r="15" spans="1:4">
      <c r="A15" s="162" t="s">
        <v>128</v>
      </c>
      <c r="B15" s="160">
        <f>'Weekly Valuation'!D130/1000000000</f>
        <v>1403.9426416315687</v>
      </c>
      <c r="C15" s="163">
        <f>'Weekly Valuation'!K130/1000000000</f>
        <v>1423.9851130769678</v>
      </c>
      <c r="D15" s="99"/>
    </row>
    <row r="16" spans="1:4">
      <c r="A16" s="162" t="s">
        <v>224</v>
      </c>
      <c r="B16" s="160">
        <f>'Weekly Valuation'!D138/1000000000</f>
        <v>98.590301385434415</v>
      </c>
      <c r="C16" s="161">
        <f>'Weekly Valuation'!K138/1000000000</f>
        <v>98.591493716940278</v>
      </c>
      <c r="D16" s="99"/>
    </row>
    <row r="17" spans="1:4">
      <c r="A17" s="162" t="s">
        <v>154</v>
      </c>
      <c r="B17" s="160">
        <f>'Weekly Valuation'!D168/1000000000</f>
        <v>47.384871316741325</v>
      </c>
      <c r="C17" s="164">
        <f>'Weekly Valuation'!K168/1000000000</f>
        <v>48.530220711204059</v>
      </c>
      <c r="D17" s="99"/>
    </row>
    <row r="18" spans="1:4">
      <c r="A18" s="162" t="s">
        <v>178</v>
      </c>
      <c r="B18" s="160">
        <f>'Weekly Valuation'!D174/1000000000</f>
        <v>4.7632378417700005</v>
      </c>
      <c r="C18" s="161">
        <f>'Weekly Valuation'!K174/1000000000</f>
        <v>4.90875028525</v>
      </c>
      <c r="D18" s="99"/>
    </row>
    <row r="19" spans="1:4">
      <c r="A19" s="162" t="s">
        <v>225</v>
      </c>
      <c r="B19" s="160">
        <f>'Weekly Valuation'!D193/1000000000</f>
        <v>50.977525627555075</v>
      </c>
      <c r="C19" s="161">
        <f>'Weekly Valuation'!K193/1000000000</f>
        <v>51.193488214241377</v>
      </c>
      <c r="D19" s="99"/>
    </row>
    <row r="20" spans="1:4" ht="16.5">
      <c r="A20" s="134"/>
      <c r="B20" s="99"/>
      <c r="C20" s="165"/>
      <c r="D20" s="99"/>
    </row>
    <row r="21" spans="1:4" ht="16.5">
      <c r="A21" s="134"/>
      <c r="B21" s="99"/>
      <c r="C21" s="137"/>
      <c r="D21" s="99"/>
    </row>
    <row r="22" spans="1:4" ht="16.5">
      <c r="A22" s="115"/>
      <c r="B22" s="106"/>
      <c r="C22" s="124"/>
      <c r="D22" s="101"/>
    </row>
    <row r="23" spans="1:4" ht="16.5">
      <c r="A23" s="115"/>
      <c r="B23" s="106"/>
      <c r="C23" s="106"/>
      <c r="D23" s="99"/>
    </row>
    <row r="24" spans="1:4" ht="16.5">
      <c r="A24" s="115"/>
      <c r="B24" s="106"/>
      <c r="C24" s="106"/>
      <c r="D24" s="99"/>
    </row>
    <row r="25" spans="1:4" ht="16.5">
      <c r="A25" s="115"/>
      <c r="B25" s="106"/>
      <c r="C25" s="106"/>
      <c r="D25" s="99"/>
    </row>
    <row r="26" spans="1:4" ht="16.5">
      <c r="A26" s="115"/>
      <c r="B26" s="106"/>
      <c r="C26" s="106"/>
    </row>
    <row r="27" spans="1:4">
      <c r="B27" s="101"/>
      <c r="C27" s="101"/>
    </row>
    <row r="28" spans="1:4">
      <c r="B28" s="101"/>
      <c r="C28" s="101"/>
    </row>
  </sheetData>
  <sheetProtection algorithmName="SHA-512" hashValue="j+UsP4iSUfJa9qqPvKI8910RQuQBgOrqqgvMpRF5q+pCi2HOf4sDGILmUNLSfpmcl1+T4EiImISHl9zZeU2a+g==" saltValue="+VpfbLu1c9oVayavBI4tcQ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33"/>
  <sheetViews>
    <sheetView zoomScale="85" zoomScaleNormal="85" workbookViewId="0">
      <selection activeCell="D14" sqref="D14"/>
    </sheetView>
  </sheetViews>
  <sheetFormatPr defaultRowHeight="15"/>
  <cols>
    <col min="1" max="1" width="26.7109375" customWidth="1"/>
    <col min="2" max="2" width="17.42578125" customWidth="1"/>
  </cols>
  <sheetData>
    <row r="1" spans="1:4" ht="16.5">
      <c r="A1" s="129" t="s">
        <v>222</v>
      </c>
      <c r="B1" s="135">
        <v>45443</v>
      </c>
      <c r="C1" s="99"/>
      <c r="D1" s="101"/>
    </row>
    <row r="2" spans="1:4" ht="16.5">
      <c r="A2" s="131" t="s">
        <v>178</v>
      </c>
      <c r="B2" s="130">
        <f>'Weekly Valuation'!K174</f>
        <v>4908750285.25</v>
      </c>
      <c r="C2" s="99"/>
      <c r="D2" s="101"/>
    </row>
    <row r="3" spans="1:4" ht="16.5">
      <c r="A3" s="131" t="s">
        <v>15</v>
      </c>
      <c r="B3" s="130">
        <f>'Weekly Valuation'!K23</f>
        <v>27654216011.584301</v>
      </c>
      <c r="C3" s="99"/>
      <c r="D3" s="101"/>
    </row>
    <row r="4" spans="1:4" ht="16.5">
      <c r="A4" s="131" t="s">
        <v>154</v>
      </c>
      <c r="B4" s="133">
        <f>'Weekly Valuation'!K168</f>
        <v>48530220711.204056</v>
      </c>
      <c r="C4" s="99"/>
      <c r="D4" s="101"/>
    </row>
    <row r="5" spans="1:4" ht="16.5">
      <c r="A5" s="131" t="s">
        <v>225</v>
      </c>
      <c r="B5" s="130">
        <f>'Weekly Valuation'!K193</f>
        <v>51193488214.241379</v>
      </c>
      <c r="C5" s="99"/>
      <c r="D5" s="101"/>
    </row>
    <row r="6" spans="1:4" ht="16.5">
      <c r="A6" s="131" t="s">
        <v>224</v>
      </c>
      <c r="B6" s="130">
        <f>'Weekly Valuation'!K138</f>
        <v>98591493716.940277</v>
      </c>
      <c r="C6" s="99"/>
      <c r="D6" s="101"/>
    </row>
    <row r="7" spans="1:4" ht="16.5">
      <c r="A7" s="131" t="s">
        <v>223</v>
      </c>
      <c r="B7" s="130">
        <f>'Weekly Valuation'!K97</f>
        <v>239139059960.20239</v>
      </c>
      <c r="C7" s="99"/>
      <c r="D7" s="101"/>
    </row>
    <row r="8" spans="1:4" ht="16.5">
      <c r="A8" s="131" t="s">
        <v>47</v>
      </c>
      <c r="B8" s="132">
        <f>'Weekly Valuation'!K59</f>
        <v>1008157528628.0232</v>
      </c>
      <c r="C8" s="99"/>
      <c r="D8" s="101"/>
    </row>
    <row r="9" spans="1:4" ht="16.5">
      <c r="A9" s="131" t="s">
        <v>128</v>
      </c>
      <c r="B9" s="132">
        <f>'Weekly Valuation'!K130</f>
        <v>1423985113076.9678</v>
      </c>
      <c r="C9" s="99"/>
      <c r="D9" s="101"/>
    </row>
    <row r="10" spans="1:4">
      <c r="A10" s="99"/>
      <c r="B10" s="99"/>
      <c r="C10" s="99"/>
      <c r="D10" s="101"/>
    </row>
    <row r="11" spans="1:4" ht="16.5">
      <c r="A11" s="136"/>
      <c r="B11" s="99"/>
      <c r="C11" s="99"/>
      <c r="D11" s="101"/>
    </row>
    <row r="12" spans="1:4" ht="16.5">
      <c r="A12" s="137"/>
      <c r="B12" s="99"/>
      <c r="C12" s="99"/>
      <c r="D12" s="101"/>
    </row>
    <row r="13" spans="1:4" ht="16.5">
      <c r="A13" s="137"/>
      <c r="B13" s="137"/>
      <c r="C13" s="99"/>
      <c r="D13" s="101"/>
    </row>
    <row r="14" spans="1:4" ht="16.5">
      <c r="A14" s="137"/>
      <c r="B14" s="137"/>
      <c r="C14" s="99"/>
      <c r="D14" s="101"/>
    </row>
    <row r="15" spans="1:4" ht="16.5" customHeight="1">
      <c r="A15" s="124"/>
      <c r="B15" s="124"/>
      <c r="C15" s="101"/>
      <c r="D15" s="101"/>
    </row>
    <row r="16" spans="1:4" ht="16.5">
      <c r="A16" s="106"/>
      <c r="B16" s="106"/>
      <c r="C16" s="101"/>
      <c r="D16" s="101"/>
    </row>
    <row r="17" spans="1:17" ht="16.5">
      <c r="A17" s="106"/>
      <c r="B17" s="106"/>
      <c r="C17" s="101"/>
    </row>
    <row r="18" spans="1:17" ht="16.5">
      <c r="A18" s="118"/>
      <c r="B18" s="106"/>
      <c r="C18" s="101"/>
    </row>
    <row r="19" spans="1:17" ht="16.5">
      <c r="A19" s="118"/>
      <c r="B19" s="118"/>
      <c r="C19" s="101"/>
    </row>
    <row r="20" spans="1:17" ht="16.5">
      <c r="A20" s="118"/>
      <c r="B20" s="118"/>
      <c r="C20" s="101"/>
    </row>
    <row r="21" spans="1:17" ht="16.5">
      <c r="A21" s="115"/>
      <c r="B21" s="118"/>
      <c r="C21" s="101"/>
    </row>
    <row r="22" spans="1:17" ht="16.5">
      <c r="A22" s="101"/>
      <c r="B22" s="118"/>
      <c r="C22" s="101"/>
    </row>
    <row r="23" spans="1:17">
      <c r="A23" s="101"/>
      <c r="B23" s="101"/>
      <c r="C23" s="101"/>
    </row>
    <row r="24" spans="1:17">
      <c r="A24" s="101"/>
      <c r="B24" s="101"/>
      <c r="C24" s="101"/>
    </row>
    <row r="25" spans="1:17">
      <c r="A25" s="101"/>
      <c r="B25" s="101"/>
      <c r="C25" s="101"/>
    </row>
    <row r="26" spans="1:17">
      <c r="A26" s="101"/>
      <c r="B26" s="101"/>
    </row>
    <row r="32" spans="1:17" ht="16.5" customHeight="1">
      <c r="A32" s="156" t="s">
        <v>283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07"/>
    </row>
    <row r="33" spans="1:17" ht="15" customHeight="1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07"/>
    </row>
  </sheetData>
  <sheetProtection algorithmName="SHA-512" hashValue="t8IgKdd3cRvcOjZHzOGtXvRj419LLSgPX7DuqGb8S61vabIpi58mXKmEPJsQBKTErSoX2aDvOHMxOgZD8NAf5A==" saltValue="vF0J2Tov037jbS9enuf3Pw==" spinCount="100000" sheet="1" objects="1" scenarios="1"/>
  <sortState xmlns:xlrd2="http://schemas.microsoft.com/office/spreadsheetml/2017/richdata2"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M7"/>
  <sheetViews>
    <sheetView zoomScale="110" zoomScaleNormal="110" workbookViewId="0">
      <selection activeCell="F8" sqref="F8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9"/>
      <c r="B1" s="99"/>
      <c r="C1" s="99"/>
      <c r="D1" s="99"/>
      <c r="E1" s="99"/>
      <c r="F1" s="99"/>
      <c r="G1" s="99"/>
      <c r="H1" s="99"/>
      <c r="I1" s="99"/>
      <c r="J1" s="99"/>
      <c r="K1" s="101"/>
      <c r="L1" s="101"/>
      <c r="M1" s="101"/>
    </row>
    <row r="2" spans="1:13">
      <c r="A2" s="166" t="s">
        <v>233</v>
      </c>
      <c r="B2" s="167">
        <v>45394</v>
      </c>
      <c r="C2" s="167">
        <v>45401</v>
      </c>
      <c r="D2" s="167">
        <v>45408</v>
      </c>
      <c r="E2" s="167">
        <v>45415</v>
      </c>
      <c r="F2" s="167">
        <v>45422</v>
      </c>
      <c r="G2" s="167">
        <v>45429</v>
      </c>
      <c r="H2" s="167">
        <v>45436</v>
      </c>
      <c r="I2" s="167">
        <v>45443</v>
      </c>
      <c r="J2" s="99"/>
      <c r="K2" s="101"/>
      <c r="L2" s="101"/>
      <c r="M2" s="101"/>
    </row>
    <row r="3" spans="1:13">
      <c r="A3" s="166" t="s">
        <v>234</v>
      </c>
      <c r="B3" s="168">
        <f t="shared" ref="B3:I3" si="0">B4</f>
        <v>2515.3217074592571</v>
      </c>
      <c r="C3" s="168">
        <f t="shared" si="0"/>
        <v>2510.7979153396032</v>
      </c>
      <c r="D3" s="168">
        <f t="shared" si="0"/>
        <v>2662.1939749035823</v>
      </c>
      <c r="E3" s="168">
        <f t="shared" si="0"/>
        <v>2732.0956989192559</v>
      </c>
      <c r="F3" s="168">
        <f t="shared" si="0"/>
        <v>2805.3798287181139</v>
      </c>
      <c r="G3" s="168">
        <f t="shared" si="0"/>
        <v>2882.6977794869722</v>
      </c>
      <c r="H3" s="168">
        <f t="shared" si="0"/>
        <v>2856.7177691570346</v>
      </c>
      <c r="I3" s="168">
        <f t="shared" si="0"/>
        <v>2902.1598706044138</v>
      </c>
      <c r="J3" s="99"/>
      <c r="K3" s="101"/>
      <c r="L3" s="101"/>
      <c r="M3" s="101"/>
    </row>
    <row r="4" spans="1:13">
      <c r="A4" s="99"/>
      <c r="B4" s="169">
        <f>'NAV Trend'!C10/1000000000</f>
        <v>2515.3217074592571</v>
      </c>
      <c r="C4" s="169">
        <f>'NAV Trend'!D10/1000000000</f>
        <v>2510.7979153396032</v>
      </c>
      <c r="D4" s="169">
        <f>'NAV Trend'!E10/1000000000</f>
        <v>2662.1939749035823</v>
      </c>
      <c r="E4" s="169">
        <f>'NAV Trend'!F10/1000000000</f>
        <v>2732.0956989192559</v>
      </c>
      <c r="F4" s="169">
        <f>'NAV Trend'!G10/1000000000</f>
        <v>2805.3798287181139</v>
      </c>
      <c r="G4" s="169">
        <f>'NAV Trend'!H10/1000000000</f>
        <v>2882.6977794869722</v>
      </c>
      <c r="H4" s="170">
        <f>'NAV Trend'!I10/1000000000</f>
        <v>2856.7177691570346</v>
      </c>
      <c r="I4" s="170">
        <f>'NAV Trend'!J10/1000000000</f>
        <v>2902.1598706044138</v>
      </c>
      <c r="J4" s="99"/>
      <c r="K4" s="101"/>
      <c r="L4" s="101"/>
      <c r="M4" s="101"/>
    </row>
    <row r="5" spans="1:13">
      <c r="A5" s="99"/>
      <c r="B5" s="99"/>
      <c r="C5" s="99"/>
      <c r="D5" s="99"/>
      <c r="E5" s="99"/>
      <c r="F5" s="99"/>
      <c r="G5" s="99"/>
      <c r="H5" s="99"/>
      <c r="I5" s="99"/>
      <c r="J5" s="99"/>
      <c r="K5" s="101"/>
      <c r="L5" s="101"/>
    </row>
    <row r="6" spans="1:1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1:13">
      <c r="A7" s="101"/>
      <c r="B7" s="101"/>
      <c r="C7" s="101"/>
      <c r="D7" s="101"/>
      <c r="E7" s="101"/>
      <c r="F7" s="101"/>
      <c r="G7" s="101"/>
      <c r="H7" s="101"/>
      <c r="I7" s="101"/>
      <c r="J7" s="101"/>
    </row>
  </sheetData>
  <sheetProtection algorithmName="SHA-512" hashValue="R404BgxDhB6Qizf68W4+hJDjAbl1ra7fcow6DUxM1VSdk0Rv2lVz4XxsYAnYmUEd8BWqePrQXW8XBE4b1lhGjA==" saltValue="ZRXWNyMXfMmG/A8rW2vLYw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A2AF0-A961-4E58-933E-1EE96F1E7D82}">
  <sheetPr>
    <tabColor rgb="FFFFFF00"/>
  </sheetPr>
  <dimension ref="A1:L6"/>
  <sheetViews>
    <sheetView workbookViewId="0">
      <selection activeCell="I9" sqref="I9"/>
    </sheetView>
  </sheetViews>
  <sheetFormatPr defaultRowHeight="15"/>
  <cols>
    <col min="1" max="1" width="16.5703125" customWidth="1"/>
    <col min="2" max="2" width="11.140625" bestFit="1" customWidth="1"/>
    <col min="3" max="3" width="11.42578125" bestFit="1" customWidth="1"/>
    <col min="4" max="4" width="11.5703125" bestFit="1" customWidth="1"/>
    <col min="5" max="5" width="11.140625" bestFit="1" customWidth="1"/>
    <col min="6" max="7" width="11.28515625" bestFit="1" customWidth="1"/>
    <col min="8" max="8" width="11.7109375" bestFit="1" customWidth="1"/>
    <col min="9" max="9" width="11.140625" customWidth="1"/>
  </cols>
  <sheetData>
    <row r="1" spans="1:12">
      <c r="A1" s="99"/>
      <c r="B1" s="99"/>
      <c r="C1" s="99"/>
      <c r="D1" s="99"/>
      <c r="E1" s="99"/>
      <c r="F1" s="99"/>
      <c r="G1" s="99"/>
      <c r="H1" s="99"/>
      <c r="I1" s="99"/>
      <c r="J1" s="99"/>
      <c r="K1" s="101"/>
      <c r="L1" s="101"/>
    </row>
    <row r="2" spans="1:12">
      <c r="A2" s="166" t="s">
        <v>233</v>
      </c>
      <c r="B2" s="167">
        <v>45394</v>
      </c>
      <c r="C2" s="167">
        <v>45401</v>
      </c>
      <c r="D2" s="167">
        <v>45408</v>
      </c>
      <c r="E2" s="167">
        <v>45415</v>
      </c>
      <c r="F2" s="167">
        <v>45422</v>
      </c>
      <c r="G2" s="167">
        <v>45429</v>
      </c>
      <c r="H2" s="167">
        <v>45436</v>
      </c>
      <c r="I2" s="167">
        <v>45443</v>
      </c>
      <c r="J2" s="99"/>
      <c r="K2" s="101"/>
      <c r="L2" s="101"/>
    </row>
    <row r="3" spans="1:12">
      <c r="A3" s="166" t="s">
        <v>265</v>
      </c>
      <c r="B3" s="168">
        <f t="shared" ref="B3:I3" si="0">B4</f>
        <v>13.204581677229028</v>
      </c>
      <c r="C3" s="168">
        <f t="shared" si="0"/>
        <v>12.730402807627465</v>
      </c>
      <c r="D3" s="168">
        <f t="shared" si="0"/>
        <v>12.735357486958618</v>
      </c>
      <c r="E3" s="168">
        <f t="shared" si="0"/>
        <v>13.067918239830002</v>
      </c>
      <c r="F3" s="168">
        <f t="shared" si="0"/>
        <v>13.03449671834</v>
      </c>
      <c r="G3" s="168">
        <f t="shared" si="0"/>
        <v>13.029745632197505</v>
      </c>
      <c r="H3" s="168">
        <f t="shared" si="0"/>
        <v>12.86344406107283</v>
      </c>
      <c r="I3" s="168">
        <f t="shared" si="0"/>
        <v>13.116887577834783</v>
      </c>
      <c r="J3" s="99"/>
      <c r="K3" s="101"/>
      <c r="L3" s="101"/>
    </row>
    <row r="4" spans="1:12">
      <c r="A4" s="99"/>
      <c r="B4" s="169">
        <f>'NAV Trend'!C16/1000000000</f>
        <v>13.204581677229028</v>
      </c>
      <c r="C4" s="169">
        <f>'NAV Trend'!D16/1000000000</f>
        <v>12.730402807627465</v>
      </c>
      <c r="D4" s="169">
        <f>'NAV Trend'!E16/1000000000</f>
        <v>12.735357486958618</v>
      </c>
      <c r="E4" s="169">
        <f>'NAV Trend'!F16/1000000000</f>
        <v>13.067918239830002</v>
      </c>
      <c r="F4" s="169">
        <f>'NAV Trend'!G16/1000000000</f>
        <v>13.03449671834</v>
      </c>
      <c r="G4" s="169">
        <f>'NAV Trend'!H16/1000000000</f>
        <v>13.029745632197505</v>
      </c>
      <c r="H4" s="169">
        <f>'NAV Trend'!I16/1000000000</f>
        <v>12.86344406107283</v>
      </c>
      <c r="I4" s="170">
        <f>'NAV Trend'!J16/1000000000</f>
        <v>13.116887577834783</v>
      </c>
      <c r="J4" s="99"/>
      <c r="K4" s="101"/>
      <c r="L4" s="101"/>
    </row>
    <row r="5" spans="1:12">
      <c r="A5" s="99"/>
      <c r="B5" s="99"/>
      <c r="C5" s="99"/>
      <c r="D5" s="99"/>
      <c r="E5" s="99"/>
      <c r="F5" s="99"/>
      <c r="G5" s="99"/>
      <c r="H5" s="99"/>
      <c r="I5" s="99"/>
      <c r="J5" s="99"/>
      <c r="K5" s="101"/>
      <c r="L5" s="101"/>
    </row>
    <row r="6" spans="1:1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</sheetData>
  <sheetProtection algorithmName="SHA-512" hashValue="7e6t11LlZUNtFJnaJ4XC+Atwh6onxiG87tJH59F311I8wb4QaRPmAOCXncInegWVbyx4Ory59sJM4cAzKsC+UQ==" saltValue="ZsXmxKviJn9QOQrZnJZhm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topLeftCell="D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4" t="s">
        <v>222</v>
      </c>
      <c r="B1" s="45">
        <v>45387</v>
      </c>
      <c r="C1" s="45">
        <v>45394</v>
      </c>
      <c r="D1" s="45">
        <v>45401</v>
      </c>
      <c r="E1" s="45">
        <v>45408</v>
      </c>
      <c r="F1" s="45">
        <v>45415</v>
      </c>
      <c r="G1" s="45">
        <v>45422</v>
      </c>
      <c r="H1" s="45">
        <v>45429</v>
      </c>
      <c r="I1" s="45">
        <v>45436</v>
      </c>
      <c r="J1" s="45">
        <v>45443</v>
      </c>
    </row>
    <row r="2" spans="1:11" ht="16.5">
      <c r="A2" s="46" t="s">
        <v>15</v>
      </c>
      <c r="B2" s="47">
        <v>27852455758.705902</v>
      </c>
      <c r="C2" s="47">
        <v>27759764748.77</v>
      </c>
      <c r="D2" s="47">
        <v>26572100101.452099</v>
      </c>
      <c r="E2" s="47">
        <v>26264049012.868401</v>
      </c>
      <c r="F2" s="47">
        <v>27319052490.226498</v>
      </c>
      <c r="G2" s="128">
        <v>27676372012.243797</v>
      </c>
      <c r="H2" s="128">
        <v>27187812730.4636</v>
      </c>
      <c r="I2" s="128">
        <v>26745861363.273003</v>
      </c>
      <c r="J2" s="128">
        <v>27654216011.584301</v>
      </c>
    </row>
    <row r="3" spans="1:11" ht="16.5">
      <c r="A3" s="46" t="s">
        <v>47</v>
      </c>
      <c r="B3" s="48">
        <v>932135468254.62366</v>
      </c>
      <c r="C3" s="128">
        <v>934334906874.48413</v>
      </c>
      <c r="D3" s="128">
        <v>933193021103.14502</v>
      </c>
      <c r="E3" s="128">
        <v>929998159930.67285</v>
      </c>
      <c r="F3" s="128">
        <v>943173062252.88904</v>
      </c>
      <c r="G3" s="128">
        <v>959754142868.04614</v>
      </c>
      <c r="H3" s="128">
        <v>974788648500.33569</v>
      </c>
      <c r="I3" s="128">
        <v>984566121728.51306</v>
      </c>
      <c r="J3" s="128">
        <v>1008157528628.0232</v>
      </c>
    </row>
    <row r="4" spans="1:11" ht="16.5">
      <c r="A4" s="46" t="s">
        <v>223</v>
      </c>
      <c r="B4" s="47">
        <v>269472046413.53357</v>
      </c>
      <c r="C4" s="127">
        <v>268371629137.21021</v>
      </c>
      <c r="D4" s="127">
        <v>263752465697.42932</v>
      </c>
      <c r="E4" s="127">
        <v>259455612091.81857</v>
      </c>
      <c r="F4" s="127">
        <v>257291528161.24875</v>
      </c>
      <c r="G4" s="127">
        <v>246839006741.43805</v>
      </c>
      <c r="H4" s="127">
        <v>244017171187.90228</v>
      </c>
      <c r="I4" s="127">
        <v>239747208262.17911</v>
      </c>
      <c r="J4" s="127">
        <v>239139059960.20239</v>
      </c>
    </row>
    <row r="5" spans="1:11" ht="16.5">
      <c r="A5" s="46" t="s">
        <v>128</v>
      </c>
      <c r="B5" s="48">
        <v>1156417308460.8564</v>
      </c>
      <c r="C5" s="128">
        <v>1082391359671.3127</v>
      </c>
      <c r="D5" s="128">
        <v>1084163633164.5548</v>
      </c>
      <c r="E5" s="128">
        <v>1242707828226.4185</v>
      </c>
      <c r="F5" s="128">
        <v>1300480857237.7634</v>
      </c>
      <c r="G5" s="128">
        <v>1366888956827.947</v>
      </c>
      <c r="H5" s="128">
        <v>1433100293468.5864</v>
      </c>
      <c r="I5" s="128">
        <v>1403942641631.5686</v>
      </c>
      <c r="J5" s="128">
        <v>1423985113076.9678</v>
      </c>
    </row>
    <row r="6" spans="1:11" ht="16.5">
      <c r="A6" s="46" t="s">
        <v>224</v>
      </c>
      <c r="B6" s="47">
        <v>99837132151.759857</v>
      </c>
      <c r="C6" s="47">
        <v>99870092317.262451</v>
      </c>
      <c r="D6" s="47">
        <v>99918187898.83699</v>
      </c>
      <c r="E6" s="47">
        <v>100037877390.68518</v>
      </c>
      <c r="F6" s="47">
        <v>99185326803.116425</v>
      </c>
      <c r="G6" s="47">
        <v>99061132410.269897</v>
      </c>
      <c r="H6" s="47">
        <v>99095338201.223831</v>
      </c>
      <c r="I6" s="47">
        <v>98590301385.434418</v>
      </c>
      <c r="J6" s="47">
        <v>98591493716.940277</v>
      </c>
    </row>
    <row r="7" spans="1:11" ht="16.5">
      <c r="A7" s="46" t="s">
        <v>154</v>
      </c>
      <c r="B7" s="49">
        <v>49320093297.825478</v>
      </c>
      <c r="C7" s="49">
        <v>48079052440.593132</v>
      </c>
      <c r="D7" s="49">
        <v>47213858445.276672</v>
      </c>
      <c r="E7" s="49">
        <v>47381646798.600899</v>
      </c>
      <c r="F7" s="49">
        <v>48298812075.103348</v>
      </c>
      <c r="G7" s="49">
        <v>49028772091.292122</v>
      </c>
      <c r="H7" s="49">
        <v>48528341927.034386</v>
      </c>
      <c r="I7" s="49">
        <v>47384871316.741325</v>
      </c>
      <c r="J7" s="49">
        <v>48530220711.204056</v>
      </c>
    </row>
    <row r="8" spans="1:11" ht="16.5">
      <c r="A8" s="46" t="s">
        <v>178</v>
      </c>
      <c r="B8" s="47">
        <v>5149295610.3599997</v>
      </c>
      <c r="C8" s="47">
        <v>5005243623.0900002</v>
      </c>
      <c r="D8" s="47">
        <v>4752808696.8699999</v>
      </c>
      <c r="E8" s="47">
        <v>4722955841.5799999</v>
      </c>
      <c r="F8" s="47">
        <v>4807945930.6199999</v>
      </c>
      <c r="G8" s="47">
        <v>4887347689.7399998</v>
      </c>
      <c r="H8" s="47">
        <v>4791752838.1499996</v>
      </c>
      <c r="I8" s="47">
        <v>4763237841.7700005</v>
      </c>
      <c r="J8" s="47">
        <v>4908750285.25</v>
      </c>
    </row>
    <row r="9" spans="1:11" ht="16.5">
      <c r="A9" s="46" t="s">
        <v>225</v>
      </c>
      <c r="B9" s="47">
        <v>49480081538.382065</v>
      </c>
      <c r="C9" s="47">
        <v>49509658646.534012</v>
      </c>
      <c r="D9" s="47">
        <v>51231840232.037872</v>
      </c>
      <c r="E9" s="47">
        <v>51625845610.938026</v>
      </c>
      <c r="F9" s="47">
        <v>51539113968.28791</v>
      </c>
      <c r="G9" s="47">
        <v>51244098077.136551</v>
      </c>
      <c r="H9" s="47">
        <v>51188420633.276352</v>
      </c>
      <c r="I9" s="47">
        <v>50977525627.555077</v>
      </c>
      <c r="J9" s="47">
        <v>51193488214.241379</v>
      </c>
    </row>
    <row r="10" spans="1:11" ht="15.75">
      <c r="A10" s="50" t="s">
        <v>226</v>
      </c>
      <c r="B10" s="51">
        <f t="shared" ref="B10:I10" si="0">SUM(B2:B9)</f>
        <v>2589663881486.0469</v>
      </c>
      <c r="C10" s="51">
        <f t="shared" si="0"/>
        <v>2515321707459.2573</v>
      </c>
      <c r="D10" s="51">
        <f t="shared" si="0"/>
        <v>2510797915339.603</v>
      </c>
      <c r="E10" s="51">
        <f t="shared" si="0"/>
        <v>2662193974903.5825</v>
      </c>
      <c r="F10" s="51">
        <f t="shared" si="0"/>
        <v>2732095698919.2559</v>
      </c>
      <c r="G10" s="51">
        <f t="shared" si="0"/>
        <v>2805379828718.1138</v>
      </c>
      <c r="H10" s="51">
        <f t="shared" si="0"/>
        <v>2882697779486.9722</v>
      </c>
      <c r="I10" s="51">
        <f t="shared" si="0"/>
        <v>2856717769157.0347</v>
      </c>
      <c r="J10" s="51">
        <f t="shared" ref="J10" si="1">SUM(J2:J9)</f>
        <v>2902159870604.4136</v>
      </c>
    </row>
    <row r="11" spans="1:11" ht="16.5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1" ht="15.75">
      <c r="A12" s="54" t="s">
        <v>227</v>
      </c>
      <c r="B12" s="55" t="s">
        <v>228</v>
      </c>
      <c r="C12" s="56">
        <f>(B10+C10)/2</f>
        <v>2552492794472.6523</v>
      </c>
      <c r="D12" s="57">
        <f t="shared" ref="D12:J12" si="2">(C10+D10)/2</f>
        <v>2513059811399.4302</v>
      </c>
      <c r="E12" s="57">
        <f t="shared" si="2"/>
        <v>2586495945121.5928</v>
      </c>
      <c r="F12" s="57">
        <f t="shared" si="2"/>
        <v>2697144836911.4189</v>
      </c>
      <c r="G12" s="57">
        <f>(F10+G10)/2</f>
        <v>2768737763818.6846</v>
      </c>
      <c r="H12" s="57">
        <f t="shared" si="2"/>
        <v>2844038804102.543</v>
      </c>
      <c r="I12" s="57">
        <f t="shared" si="2"/>
        <v>2869707774322.0034</v>
      </c>
      <c r="J12" s="57">
        <f t="shared" si="2"/>
        <v>2879438819880.7241</v>
      </c>
    </row>
    <row r="13" spans="1:11"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1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1" ht="16.5">
      <c r="A15" s="101"/>
      <c r="B15" s="45">
        <v>45387</v>
      </c>
      <c r="C15" s="45">
        <v>45394</v>
      </c>
      <c r="D15" s="45">
        <v>45401</v>
      </c>
      <c r="E15" s="45">
        <v>45408</v>
      </c>
      <c r="F15" s="45">
        <v>45415</v>
      </c>
      <c r="G15" s="45">
        <v>45422</v>
      </c>
      <c r="H15" s="45">
        <v>45429</v>
      </c>
      <c r="I15" s="45">
        <v>45436</v>
      </c>
      <c r="J15" s="45">
        <v>45443</v>
      </c>
      <c r="K15" s="101"/>
    </row>
    <row r="16" spans="1:11" ht="16.5">
      <c r="A16" s="123" t="s">
        <v>264</v>
      </c>
      <c r="B16" s="126">
        <v>13392488443.196085</v>
      </c>
      <c r="C16" s="126">
        <v>13204581677.229027</v>
      </c>
      <c r="D16" s="126">
        <v>12730402807.627464</v>
      </c>
      <c r="E16" s="126">
        <v>12735357486.958618</v>
      </c>
      <c r="F16" s="126">
        <v>13067918239.830002</v>
      </c>
      <c r="G16" s="126">
        <v>13034496718.34</v>
      </c>
      <c r="H16" s="126">
        <v>13029745632.197506</v>
      </c>
      <c r="I16" s="126">
        <v>12863444061.07283</v>
      </c>
      <c r="J16" s="126">
        <v>13116887577.834784</v>
      </c>
      <c r="K16" s="101"/>
    </row>
    <row r="17" spans="1:11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1:11">
      <c r="A18" s="101"/>
      <c r="B18" s="101"/>
      <c r="C18" s="125"/>
      <c r="D18" s="125"/>
      <c r="E18" s="125"/>
      <c r="F18" s="125"/>
      <c r="G18" s="125"/>
      <c r="H18" s="125"/>
      <c r="I18" s="125"/>
      <c r="J18" s="125"/>
      <c r="K18" s="101"/>
    </row>
    <row r="19" spans="1:11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</row>
    <row r="20" spans="1:11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1:11"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1:11">
      <c r="B22" s="101"/>
      <c r="C22" s="101"/>
      <c r="D22" s="101"/>
      <c r="E22" s="101"/>
      <c r="F22" s="101"/>
      <c r="G22" s="101"/>
      <c r="H22" s="101"/>
      <c r="I22" s="101"/>
      <c r="J22" s="101"/>
      <c r="K22" s="99"/>
    </row>
  </sheetData>
  <sheetProtection algorithmName="SHA-512" hashValue="hA+A61pgHf2/kZuqfxdOAzPl9LHogzNDzsKlZst1/vL6G1Ft3CLhBAmrqzNyporZ703Gd1+9qT0ozPwRMLeFMw==" saltValue="4vhY5g2P1y7PkQGeGDwixw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tundeisaac.ti@gmail.com</cp:lastModifiedBy>
  <dcterms:created xsi:type="dcterms:W3CDTF">2023-10-09T09:40:10Z</dcterms:created>
  <dcterms:modified xsi:type="dcterms:W3CDTF">2024-06-06T15:33:09Z</dcterms:modified>
</cp:coreProperties>
</file>