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xr:revisionPtr revIDLastSave="0" documentId="13_ncr:1_{F9D5A3F0-F08C-4B59-B8CE-4F69CDC7F1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8" i="1" l="1"/>
  <c r="M98" i="1"/>
  <c r="N117" i="1"/>
  <c r="M117" i="1"/>
  <c r="N119" i="1"/>
  <c r="M119" i="1"/>
  <c r="N106" i="1" l="1"/>
  <c r="M106" i="1"/>
  <c r="K106" i="1"/>
  <c r="N100" i="1"/>
  <c r="M100" i="1"/>
  <c r="K100" i="1"/>
  <c r="N102" i="1"/>
  <c r="M102" i="1"/>
  <c r="K102" i="1"/>
  <c r="N124" i="1" l="1"/>
  <c r="M124" i="1"/>
  <c r="K124" i="1"/>
  <c r="N99" i="1"/>
  <c r="M99" i="1"/>
  <c r="K99" i="1"/>
  <c r="R84" i="1"/>
  <c r="N101" i="1" l="1"/>
  <c r="M101" i="1"/>
  <c r="K101" i="1"/>
  <c r="N109" i="1" l="1"/>
  <c r="M109" i="1"/>
  <c r="K109" i="1"/>
  <c r="N107" i="1"/>
  <c r="M107" i="1"/>
  <c r="K107" i="1"/>
  <c r="N123" i="1" l="1"/>
  <c r="M123" i="1"/>
  <c r="N118" i="1"/>
  <c r="M118" i="1"/>
  <c r="K118" i="1"/>
  <c r="N108" i="1"/>
  <c r="M108" i="1"/>
  <c r="K108" i="1"/>
  <c r="N114" i="1"/>
  <c r="M114" i="1"/>
  <c r="K114" i="1"/>
  <c r="G124" i="1" l="1"/>
  <c r="F124" i="1"/>
  <c r="G123" i="1"/>
  <c r="F123" i="1"/>
  <c r="G120" i="1"/>
  <c r="F120" i="1"/>
  <c r="G119" i="1"/>
  <c r="F119" i="1"/>
  <c r="G118" i="1"/>
  <c r="F118" i="1"/>
  <c r="G117" i="1"/>
  <c r="F117" i="1"/>
  <c r="G114" i="1"/>
  <c r="F114" i="1"/>
  <c r="D124" i="1"/>
  <c r="D118" i="1"/>
  <c r="D114" i="1"/>
  <c r="G109" i="1"/>
  <c r="F109" i="1"/>
  <c r="G108" i="1"/>
  <c r="F108" i="1"/>
  <c r="G107" i="1"/>
  <c r="F107" i="1"/>
  <c r="G106" i="1"/>
  <c r="F106" i="1"/>
  <c r="G102" i="1"/>
  <c r="F102" i="1"/>
  <c r="G101" i="1"/>
  <c r="F101" i="1"/>
  <c r="G100" i="1"/>
  <c r="F100" i="1"/>
  <c r="G99" i="1"/>
  <c r="F99" i="1"/>
  <c r="G98" i="1"/>
  <c r="F98" i="1"/>
  <c r="D109" i="1"/>
  <c r="D108" i="1"/>
  <c r="D107" i="1"/>
  <c r="D106" i="1"/>
  <c r="D102" i="1"/>
  <c r="D101" i="1"/>
  <c r="D100" i="1"/>
  <c r="D99" i="1"/>
  <c r="N120" i="1" l="1"/>
  <c r="M120" i="1"/>
  <c r="O125" i="1" l="1"/>
  <c r="I10" i="4"/>
  <c r="H10" i="4"/>
  <c r="G10" i="4"/>
  <c r="F10" i="4"/>
  <c r="E10" i="4"/>
  <c r="D10" i="4"/>
  <c r="C10" i="4"/>
  <c r="B10" i="4"/>
  <c r="R10" i="1" l="1"/>
  <c r="S10" i="1"/>
  <c r="T10" i="1"/>
  <c r="U10" i="1"/>
  <c r="V10" i="1"/>
  <c r="R100" i="1"/>
  <c r="S100" i="1"/>
  <c r="T100" i="1"/>
  <c r="U100" i="1"/>
  <c r="V100" i="1"/>
  <c r="R150" i="1" l="1"/>
  <c r="S55" i="1" l="1"/>
  <c r="D133" i="1" l="1"/>
  <c r="I4" i="6"/>
  <c r="H4" i="6"/>
  <c r="G4" i="6"/>
  <c r="F4" i="6"/>
  <c r="E4" i="6"/>
  <c r="D4" i="6"/>
  <c r="C4" i="6"/>
  <c r="B4" i="6"/>
  <c r="I3" i="6"/>
  <c r="H3" i="6"/>
  <c r="G3" i="6"/>
  <c r="F3" i="6"/>
  <c r="E3" i="6"/>
  <c r="D3" i="6"/>
  <c r="C3" i="6"/>
  <c r="B3" i="6"/>
  <c r="R102" i="1" l="1"/>
  <c r="S102" i="1"/>
  <c r="T102" i="1"/>
  <c r="U102" i="1"/>
  <c r="V102" i="1"/>
  <c r="R103" i="1"/>
  <c r="S103" i="1"/>
  <c r="T103" i="1"/>
  <c r="U103" i="1"/>
  <c r="V103" i="1"/>
  <c r="R198" i="1" l="1"/>
  <c r="R199" i="1"/>
  <c r="V123" i="1" l="1"/>
  <c r="U123" i="1"/>
  <c r="T123" i="1"/>
  <c r="R123" i="1"/>
  <c r="R92" i="1"/>
  <c r="S92" i="1"/>
  <c r="T92" i="1"/>
  <c r="U92" i="1"/>
  <c r="V92" i="1"/>
  <c r="R55" i="1"/>
  <c r="V55" i="1"/>
  <c r="U55" i="1"/>
  <c r="T55" i="1"/>
  <c r="R178" i="1"/>
  <c r="S123" i="1" l="1"/>
  <c r="R139" i="1" l="1"/>
  <c r="R118" i="1" l="1"/>
  <c r="S118" i="1"/>
  <c r="T118" i="1"/>
  <c r="U118" i="1"/>
  <c r="V118" i="1"/>
  <c r="R78" i="1"/>
  <c r="S78" i="1"/>
  <c r="T78" i="1"/>
  <c r="U78" i="1"/>
  <c r="V78" i="1"/>
  <c r="V192" i="1" l="1"/>
  <c r="T155" i="1"/>
  <c r="S155" i="1"/>
  <c r="R121" i="1" l="1"/>
  <c r="V151" i="1" l="1"/>
  <c r="T143" i="1" l="1"/>
  <c r="R137" i="1"/>
  <c r="S137" i="1"/>
  <c r="T137" i="1"/>
  <c r="U137" i="1"/>
  <c r="V137" i="1"/>
  <c r="R157" i="1"/>
  <c r="S157" i="1"/>
  <c r="T157" i="1"/>
  <c r="U157" i="1"/>
  <c r="V157" i="1"/>
  <c r="R117" i="1" l="1"/>
  <c r="S117" i="1"/>
  <c r="S179" i="1" l="1"/>
  <c r="V117" i="1"/>
  <c r="U117" i="1"/>
  <c r="T117" i="1"/>
  <c r="R67" i="1" l="1"/>
  <c r="V75" i="1" l="1"/>
  <c r="U75" i="1"/>
  <c r="T75" i="1"/>
  <c r="S75" i="1"/>
  <c r="R75" i="1"/>
  <c r="V81" i="1" l="1"/>
  <c r="U81" i="1"/>
  <c r="T81" i="1"/>
  <c r="S81" i="1"/>
  <c r="R81" i="1"/>
  <c r="B4" i="5" l="1"/>
  <c r="B3" i="5" s="1"/>
  <c r="C4" i="5"/>
  <c r="C3" i="5" s="1"/>
  <c r="D4" i="5"/>
  <c r="D3" i="5" s="1"/>
  <c r="E4" i="5"/>
  <c r="E3" i="5" s="1"/>
  <c r="F4" i="5"/>
  <c r="F3" i="5" s="1"/>
  <c r="G4" i="5"/>
  <c r="G3" i="5" s="1"/>
  <c r="H4" i="5"/>
  <c r="H3" i="5" s="1"/>
  <c r="V180" i="1"/>
  <c r="U180" i="1"/>
  <c r="T180" i="1"/>
  <c r="S180" i="1"/>
  <c r="R180" i="1"/>
  <c r="T33" i="1" l="1"/>
  <c r="S22" i="1" l="1"/>
  <c r="T22" i="1"/>
  <c r="V101" i="1" l="1"/>
  <c r="R101" i="1"/>
  <c r="S101" i="1"/>
  <c r="T101" i="1"/>
  <c r="U101" i="1"/>
  <c r="R13" i="1" l="1"/>
  <c r="R49" i="1" l="1"/>
  <c r="V49" i="1"/>
  <c r="U49" i="1"/>
  <c r="T49" i="1"/>
  <c r="S49" i="1"/>
  <c r="V129" i="1" l="1"/>
  <c r="U129" i="1"/>
  <c r="T129" i="1"/>
  <c r="S129" i="1"/>
  <c r="R129" i="1"/>
  <c r="R72" i="1" l="1"/>
  <c r="V185" i="1" l="1"/>
  <c r="U185" i="1"/>
  <c r="T185" i="1"/>
  <c r="S185" i="1"/>
  <c r="R185" i="1"/>
  <c r="S173" i="1" l="1"/>
  <c r="D168" i="1" l="1"/>
  <c r="B18" i="2" s="1"/>
  <c r="B9" i="2" s="1"/>
  <c r="D125" i="1"/>
  <c r="E100" i="1" s="1"/>
  <c r="E123" i="1" l="1"/>
  <c r="B15" i="2"/>
  <c r="B6" i="2" s="1"/>
  <c r="E114" i="1"/>
  <c r="E118" i="1"/>
  <c r="E102" i="1"/>
  <c r="E117" i="1"/>
  <c r="R91" i="1"/>
  <c r="S91" i="1"/>
  <c r="T91" i="1"/>
  <c r="U91" i="1"/>
  <c r="V91" i="1"/>
  <c r="D208" i="1"/>
  <c r="D187" i="1"/>
  <c r="B19" i="2" s="1"/>
  <c r="B10" i="2" s="1"/>
  <c r="D57" i="1"/>
  <c r="B13" i="2" s="1"/>
  <c r="B4" i="2" s="1"/>
  <c r="E129" i="1" l="1"/>
  <c r="B16" i="2"/>
  <c r="B7" i="2" s="1"/>
  <c r="E177" i="1"/>
  <c r="E178" i="1"/>
  <c r="E179" i="1"/>
  <c r="E180" i="1"/>
  <c r="E181" i="1"/>
  <c r="E182" i="1"/>
  <c r="E183" i="1"/>
  <c r="E184" i="1"/>
  <c r="E185" i="1"/>
  <c r="E186" i="1"/>
  <c r="R166" i="1"/>
  <c r="R83" i="1" l="1"/>
  <c r="S83" i="1"/>
  <c r="T83" i="1"/>
  <c r="V83" i="1"/>
  <c r="U83" i="1"/>
  <c r="D23" i="1" l="1"/>
  <c r="B12" i="2" l="1"/>
  <c r="B3" i="2" s="1"/>
  <c r="E10" i="1"/>
  <c r="R115" i="1"/>
  <c r="R20" i="1" l="1"/>
  <c r="R197" i="1" l="1"/>
  <c r="S197" i="1"/>
  <c r="T197" i="1"/>
  <c r="U197" i="1"/>
  <c r="V197" i="1"/>
  <c r="S198" i="1"/>
  <c r="T198" i="1"/>
  <c r="U198" i="1"/>
  <c r="V198" i="1"/>
  <c r="S199" i="1"/>
  <c r="T199" i="1"/>
  <c r="U199" i="1"/>
  <c r="V199" i="1"/>
  <c r="R200" i="1"/>
  <c r="S200" i="1"/>
  <c r="T200" i="1"/>
  <c r="U200" i="1"/>
  <c r="V200" i="1"/>
  <c r="R201" i="1"/>
  <c r="S201" i="1"/>
  <c r="T201" i="1"/>
  <c r="U201" i="1"/>
  <c r="V201" i="1"/>
  <c r="R202" i="1"/>
  <c r="S202" i="1"/>
  <c r="T202" i="1"/>
  <c r="U202" i="1"/>
  <c r="V202" i="1"/>
  <c r="R203" i="1"/>
  <c r="S203" i="1"/>
  <c r="T203" i="1"/>
  <c r="U203" i="1"/>
  <c r="V203" i="1"/>
  <c r="R204" i="1"/>
  <c r="S204" i="1"/>
  <c r="T204" i="1"/>
  <c r="U204" i="1"/>
  <c r="V204" i="1"/>
  <c r="R205" i="1"/>
  <c r="S205" i="1"/>
  <c r="T205" i="1"/>
  <c r="U205" i="1"/>
  <c r="V205" i="1"/>
  <c r="R206" i="1"/>
  <c r="S206" i="1"/>
  <c r="T206" i="1"/>
  <c r="U206" i="1"/>
  <c r="V206" i="1"/>
  <c r="R207" i="1"/>
  <c r="S207" i="1"/>
  <c r="T207" i="1"/>
  <c r="U207" i="1"/>
  <c r="V207" i="1"/>
  <c r="S208" i="1"/>
  <c r="U208" i="1"/>
  <c r="V208" i="1"/>
  <c r="V196" i="1"/>
  <c r="U196" i="1"/>
  <c r="T196" i="1"/>
  <c r="S196" i="1"/>
  <c r="R196" i="1"/>
  <c r="U192" i="1"/>
  <c r="T192" i="1"/>
  <c r="S192" i="1"/>
  <c r="R192" i="1"/>
  <c r="V191" i="1"/>
  <c r="U191" i="1"/>
  <c r="T191" i="1"/>
  <c r="S191" i="1"/>
  <c r="R191" i="1"/>
  <c r="R177" i="1"/>
  <c r="S177" i="1"/>
  <c r="T177" i="1"/>
  <c r="U177" i="1"/>
  <c r="V177" i="1"/>
  <c r="S178" i="1"/>
  <c r="T178" i="1"/>
  <c r="U178" i="1"/>
  <c r="V178" i="1"/>
  <c r="R179" i="1"/>
  <c r="T179" i="1"/>
  <c r="U179" i="1"/>
  <c r="V179" i="1"/>
  <c r="R181" i="1"/>
  <c r="S181" i="1"/>
  <c r="T181" i="1"/>
  <c r="U181" i="1"/>
  <c r="V181" i="1"/>
  <c r="R182" i="1"/>
  <c r="S182" i="1"/>
  <c r="T182" i="1"/>
  <c r="U182" i="1"/>
  <c r="V182" i="1"/>
  <c r="R183" i="1"/>
  <c r="S183" i="1"/>
  <c r="T183" i="1"/>
  <c r="U183" i="1"/>
  <c r="V183" i="1"/>
  <c r="R184" i="1"/>
  <c r="S184" i="1"/>
  <c r="T184" i="1"/>
  <c r="U184" i="1"/>
  <c r="V184" i="1"/>
  <c r="R186" i="1"/>
  <c r="S186" i="1"/>
  <c r="T186" i="1"/>
  <c r="U186" i="1"/>
  <c r="V186" i="1"/>
  <c r="S187" i="1"/>
  <c r="U187" i="1"/>
  <c r="V187" i="1"/>
  <c r="V176" i="1"/>
  <c r="U176" i="1"/>
  <c r="T176" i="1"/>
  <c r="S176" i="1"/>
  <c r="R176" i="1"/>
  <c r="V173" i="1"/>
  <c r="U173" i="1"/>
  <c r="T173" i="1"/>
  <c r="R173" i="1"/>
  <c r="V172" i="1"/>
  <c r="U172" i="1"/>
  <c r="T172" i="1"/>
  <c r="S172" i="1"/>
  <c r="R172" i="1"/>
  <c r="S166" i="1"/>
  <c r="T166" i="1"/>
  <c r="U166" i="1"/>
  <c r="V166" i="1"/>
  <c r="R167" i="1"/>
  <c r="S167" i="1"/>
  <c r="T167" i="1"/>
  <c r="U167" i="1"/>
  <c r="V167" i="1"/>
  <c r="S168" i="1"/>
  <c r="U168" i="1"/>
  <c r="V168" i="1"/>
  <c r="V165" i="1"/>
  <c r="U165" i="1"/>
  <c r="T165" i="1"/>
  <c r="S165" i="1"/>
  <c r="R165" i="1"/>
  <c r="R138" i="1"/>
  <c r="S138" i="1"/>
  <c r="T138" i="1"/>
  <c r="U138" i="1"/>
  <c r="V138" i="1"/>
  <c r="S139" i="1"/>
  <c r="T139" i="1"/>
  <c r="U139" i="1"/>
  <c r="V139" i="1"/>
  <c r="R140" i="1"/>
  <c r="S140" i="1"/>
  <c r="T140" i="1"/>
  <c r="U140" i="1"/>
  <c r="R141" i="1"/>
  <c r="S141" i="1"/>
  <c r="T141" i="1"/>
  <c r="U141" i="1"/>
  <c r="V141" i="1"/>
  <c r="R142" i="1"/>
  <c r="S142" i="1"/>
  <c r="T142" i="1"/>
  <c r="U142" i="1"/>
  <c r="V142" i="1"/>
  <c r="R143" i="1"/>
  <c r="S143" i="1"/>
  <c r="U143" i="1"/>
  <c r="V143" i="1"/>
  <c r="R144" i="1"/>
  <c r="S144" i="1"/>
  <c r="T144" i="1"/>
  <c r="U144" i="1"/>
  <c r="V144" i="1"/>
  <c r="R145" i="1"/>
  <c r="S145" i="1"/>
  <c r="T145" i="1"/>
  <c r="U145" i="1"/>
  <c r="V145" i="1"/>
  <c r="R146" i="1"/>
  <c r="S146" i="1"/>
  <c r="T146" i="1"/>
  <c r="U146" i="1"/>
  <c r="V146" i="1"/>
  <c r="R147" i="1"/>
  <c r="S147" i="1"/>
  <c r="T147" i="1"/>
  <c r="U147" i="1"/>
  <c r="V147" i="1"/>
  <c r="R148" i="1"/>
  <c r="S148" i="1"/>
  <c r="T148" i="1"/>
  <c r="U148" i="1"/>
  <c r="V148" i="1"/>
  <c r="R149" i="1"/>
  <c r="S149" i="1"/>
  <c r="T149" i="1"/>
  <c r="U149" i="1"/>
  <c r="V149" i="1"/>
  <c r="S150" i="1"/>
  <c r="T150" i="1"/>
  <c r="U150" i="1"/>
  <c r="V150" i="1"/>
  <c r="R151" i="1"/>
  <c r="S151" i="1"/>
  <c r="T151" i="1"/>
  <c r="U151" i="1"/>
  <c r="R152" i="1"/>
  <c r="S152" i="1"/>
  <c r="T152" i="1"/>
  <c r="U152" i="1"/>
  <c r="V152" i="1"/>
  <c r="R153" i="1"/>
  <c r="S153" i="1"/>
  <c r="T153" i="1"/>
  <c r="U153" i="1"/>
  <c r="V153" i="1"/>
  <c r="R154" i="1"/>
  <c r="S154" i="1"/>
  <c r="T154" i="1"/>
  <c r="U154" i="1"/>
  <c r="V154" i="1"/>
  <c r="R155" i="1"/>
  <c r="U155" i="1"/>
  <c r="V155" i="1"/>
  <c r="R156" i="1"/>
  <c r="S156" i="1"/>
  <c r="T156" i="1"/>
  <c r="U156" i="1"/>
  <c r="V156" i="1"/>
  <c r="R158" i="1"/>
  <c r="S158" i="1"/>
  <c r="T158" i="1"/>
  <c r="U158" i="1"/>
  <c r="V158" i="1"/>
  <c r="R159" i="1"/>
  <c r="S159" i="1"/>
  <c r="T159" i="1"/>
  <c r="U159" i="1"/>
  <c r="V159" i="1"/>
  <c r="R160" i="1"/>
  <c r="S160" i="1"/>
  <c r="T160" i="1"/>
  <c r="U160" i="1"/>
  <c r="V160" i="1"/>
  <c r="R161" i="1"/>
  <c r="S161" i="1"/>
  <c r="T161" i="1"/>
  <c r="U161" i="1"/>
  <c r="V161" i="1"/>
  <c r="S162" i="1"/>
  <c r="U162" i="1"/>
  <c r="V162" i="1"/>
  <c r="V136" i="1"/>
  <c r="U136" i="1"/>
  <c r="T136" i="1"/>
  <c r="S136" i="1"/>
  <c r="R136" i="1"/>
  <c r="R130" i="1"/>
  <c r="S130" i="1"/>
  <c r="T130" i="1"/>
  <c r="U130" i="1"/>
  <c r="V130" i="1"/>
  <c r="R131" i="1"/>
  <c r="S131" i="1"/>
  <c r="T131" i="1"/>
  <c r="U131" i="1"/>
  <c r="V131" i="1"/>
  <c r="R132" i="1"/>
  <c r="S132" i="1"/>
  <c r="T132" i="1"/>
  <c r="U132" i="1"/>
  <c r="V132" i="1"/>
  <c r="S133" i="1"/>
  <c r="U133" i="1"/>
  <c r="V133" i="1"/>
  <c r="V128" i="1"/>
  <c r="U128" i="1"/>
  <c r="T128" i="1"/>
  <c r="S128" i="1"/>
  <c r="R128" i="1"/>
  <c r="R114" i="1"/>
  <c r="S114" i="1"/>
  <c r="T114" i="1"/>
  <c r="U114" i="1"/>
  <c r="V114" i="1"/>
  <c r="S115" i="1"/>
  <c r="T115" i="1"/>
  <c r="U115" i="1"/>
  <c r="V115" i="1"/>
  <c r="R116" i="1"/>
  <c r="S116" i="1"/>
  <c r="T116" i="1"/>
  <c r="U116" i="1"/>
  <c r="V116" i="1"/>
  <c r="R119" i="1"/>
  <c r="S119" i="1"/>
  <c r="T119" i="1"/>
  <c r="U119" i="1"/>
  <c r="V119" i="1"/>
  <c r="R120" i="1"/>
  <c r="S120" i="1"/>
  <c r="T120" i="1"/>
  <c r="U120" i="1"/>
  <c r="V120" i="1"/>
  <c r="S121" i="1"/>
  <c r="T121" i="1"/>
  <c r="U121" i="1"/>
  <c r="V121" i="1"/>
  <c r="R122" i="1"/>
  <c r="S122" i="1"/>
  <c r="T122" i="1"/>
  <c r="U122" i="1"/>
  <c r="V122" i="1"/>
  <c r="R124" i="1"/>
  <c r="S124" i="1"/>
  <c r="T124" i="1"/>
  <c r="U124" i="1"/>
  <c r="V124" i="1"/>
  <c r="S125" i="1"/>
  <c r="U125" i="1"/>
  <c r="V125" i="1"/>
  <c r="V113" i="1"/>
  <c r="U113" i="1"/>
  <c r="T113" i="1"/>
  <c r="S113" i="1"/>
  <c r="R113" i="1"/>
  <c r="R99" i="1"/>
  <c r="S99" i="1"/>
  <c r="T99" i="1"/>
  <c r="U99" i="1"/>
  <c r="V99" i="1"/>
  <c r="R104" i="1"/>
  <c r="S104" i="1"/>
  <c r="T104" i="1"/>
  <c r="U104" i="1"/>
  <c r="V104" i="1"/>
  <c r="R105" i="1"/>
  <c r="S105" i="1"/>
  <c r="T105" i="1"/>
  <c r="U105" i="1"/>
  <c r="V105" i="1"/>
  <c r="R106" i="1"/>
  <c r="S106" i="1"/>
  <c r="T106" i="1"/>
  <c r="U106" i="1"/>
  <c r="V106" i="1"/>
  <c r="R107" i="1"/>
  <c r="S107" i="1"/>
  <c r="T107" i="1"/>
  <c r="U107" i="1"/>
  <c r="V107" i="1"/>
  <c r="R108" i="1"/>
  <c r="S108" i="1"/>
  <c r="T108" i="1"/>
  <c r="U108" i="1"/>
  <c r="V108" i="1"/>
  <c r="R109" i="1"/>
  <c r="S109" i="1"/>
  <c r="T109" i="1"/>
  <c r="U109" i="1"/>
  <c r="V109" i="1"/>
  <c r="R110" i="1"/>
  <c r="S110" i="1"/>
  <c r="T110" i="1"/>
  <c r="U110" i="1"/>
  <c r="V110" i="1"/>
  <c r="V98" i="1"/>
  <c r="U98" i="1"/>
  <c r="T98" i="1"/>
  <c r="S98" i="1"/>
  <c r="R98" i="1"/>
  <c r="R61" i="1"/>
  <c r="S61" i="1"/>
  <c r="T61" i="1"/>
  <c r="U61" i="1"/>
  <c r="V61" i="1"/>
  <c r="R62" i="1"/>
  <c r="S62" i="1"/>
  <c r="T62" i="1"/>
  <c r="U62" i="1"/>
  <c r="V62" i="1"/>
  <c r="R63" i="1"/>
  <c r="S63" i="1"/>
  <c r="T63" i="1"/>
  <c r="U63" i="1"/>
  <c r="V63" i="1"/>
  <c r="R64" i="1"/>
  <c r="S64" i="1"/>
  <c r="T64" i="1"/>
  <c r="U64" i="1"/>
  <c r="R65" i="1"/>
  <c r="S65" i="1"/>
  <c r="T65" i="1"/>
  <c r="U65" i="1"/>
  <c r="R66" i="1"/>
  <c r="S66" i="1"/>
  <c r="T66" i="1"/>
  <c r="U66" i="1"/>
  <c r="V66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R70" i="1"/>
  <c r="S70" i="1"/>
  <c r="T70" i="1"/>
  <c r="U70" i="1"/>
  <c r="V70" i="1"/>
  <c r="R71" i="1"/>
  <c r="S71" i="1"/>
  <c r="T71" i="1"/>
  <c r="U71" i="1"/>
  <c r="V71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6" i="1"/>
  <c r="S76" i="1"/>
  <c r="T76" i="1"/>
  <c r="U76" i="1"/>
  <c r="V76" i="1"/>
  <c r="R77" i="1"/>
  <c r="S77" i="1"/>
  <c r="T77" i="1"/>
  <c r="U77" i="1"/>
  <c r="V77" i="1"/>
  <c r="R79" i="1"/>
  <c r="S79" i="1"/>
  <c r="T79" i="1"/>
  <c r="U79" i="1"/>
  <c r="V79" i="1"/>
  <c r="R80" i="1"/>
  <c r="S80" i="1"/>
  <c r="T80" i="1"/>
  <c r="U80" i="1"/>
  <c r="V80" i="1"/>
  <c r="R82" i="1"/>
  <c r="S82" i="1"/>
  <c r="T82" i="1"/>
  <c r="U82" i="1"/>
  <c r="V82" i="1"/>
  <c r="S84" i="1"/>
  <c r="T84" i="1"/>
  <c r="U84" i="1"/>
  <c r="V84" i="1"/>
  <c r="R85" i="1"/>
  <c r="S85" i="1"/>
  <c r="T85" i="1"/>
  <c r="U85" i="1"/>
  <c r="V85" i="1"/>
  <c r="R86" i="1"/>
  <c r="S86" i="1"/>
  <c r="T86" i="1"/>
  <c r="U86" i="1"/>
  <c r="V86" i="1"/>
  <c r="R87" i="1"/>
  <c r="S87" i="1"/>
  <c r="T87" i="1"/>
  <c r="U87" i="1"/>
  <c r="V87" i="1"/>
  <c r="R88" i="1"/>
  <c r="S88" i="1"/>
  <c r="T88" i="1"/>
  <c r="U88" i="1"/>
  <c r="V88" i="1"/>
  <c r="R89" i="1"/>
  <c r="S89" i="1"/>
  <c r="T89" i="1"/>
  <c r="U89" i="1"/>
  <c r="V89" i="1"/>
  <c r="R90" i="1"/>
  <c r="S90" i="1"/>
  <c r="T90" i="1"/>
  <c r="U90" i="1"/>
  <c r="V90" i="1"/>
  <c r="R93" i="1"/>
  <c r="S93" i="1"/>
  <c r="T93" i="1"/>
  <c r="U93" i="1"/>
  <c r="V93" i="1"/>
  <c r="S94" i="1"/>
  <c r="U94" i="1"/>
  <c r="V94" i="1"/>
  <c r="V60" i="1"/>
  <c r="U60" i="1"/>
  <c r="T60" i="1"/>
  <c r="S60" i="1"/>
  <c r="R60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T32" i="1"/>
  <c r="U32" i="1"/>
  <c r="V32" i="1"/>
  <c r="R33" i="1"/>
  <c r="S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R56" i="1"/>
  <c r="S56" i="1"/>
  <c r="T56" i="1"/>
  <c r="U56" i="1"/>
  <c r="V56" i="1"/>
  <c r="S57" i="1"/>
  <c r="U57" i="1"/>
  <c r="V57" i="1"/>
  <c r="V26" i="1"/>
  <c r="U26" i="1"/>
  <c r="T26" i="1"/>
  <c r="S26" i="1"/>
  <c r="R2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1" i="1"/>
  <c r="S11" i="1"/>
  <c r="T11" i="1"/>
  <c r="U11" i="1"/>
  <c r="V11" i="1"/>
  <c r="R12" i="1"/>
  <c r="S12" i="1"/>
  <c r="T12" i="1"/>
  <c r="U12" i="1"/>
  <c r="V12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S20" i="1"/>
  <c r="T20" i="1"/>
  <c r="U20" i="1"/>
  <c r="V20" i="1"/>
  <c r="R21" i="1"/>
  <c r="S21" i="1"/>
  <c r="T21" i="1"/>
  <c r="U21" i="1"/>
  <c r="V21" i="1"/>
  <c r="R22" i="1"/>
  <c r="U22" i="1"/>
  <c r="V22" i="1"/>
  <c r="S23" i="1"/>
  <c r="U23" i="1"/>
  <c r="V23" i="1"/>
  <c r="V6" i="1"/>
  <c r="U6" i="1"/>
  <c r="T6" i="1"/>
  <c r="V65" i="1" l="1"/>
  <c r="V140" i="1"/>
  <c r="O187" i="1" l="1"/>
  <c r="O208" i="1"/>
  <c r="K208" i="1"/>
  <c r="H208" i="1"/>
  <c r="K193" i="1"/>
  <c r="H193" i="1"/>
  <c r="D193" i="1"/>
  <c r="H187" i="1"/>
  <c r="K187" i="1"/>
  <c r="B5" i="3" s="1"/>
  <c r="H168" i="1"/>
  <c r="O168" i="1"/>
  <c r="K168" i="1"/>
  <c r="O162" i="1"/>
  <c r="K162" i="1"/>
  <c r="H162" i="1"/>
  <c r="D162" i="1"/>
  <c r="B17" i="2" s="1"/>
  <c r="B8" i="2" s="1"/>
  <c r="O133" i="1"/>
  <c r="K133" i="1"/>
  <c r="H133" i="1"/>
  <c r="T133" i="1" s="1"/>
  <c r="H125" i="1"/>
  <c r="K125" i="1"/>
  <c r="O94" i="1"/>
  <c r="K94" i="1"/>
  <c r="H94" i="1"/>
  <c r="D94" i="1"/>
  <c r="O57" i="1"/>
  <c r="K57" i="1"/>
  <c r="H57" i="1"/>
  <c r="O23" i="1"/>
  <c r="H23" i="1"/>
  <c r="E56" i="1" l="1"/>
  <c r="E55" i="1"/>
  <c r="C17" i="2"/>
  <c r="C8" i="2" s="1"/>
  <c r="B4" i="3"/>
  <c r="C15" i="2"/>
  <c r="C6" i="2" s="1"/>
  <c r="L100" i="1"/>
  <c r="L129" i="1"/>
  <c r="C16" i="2"/>
  <c r="C7" i="2" s="1"/>
  <c r="B6" i="3"/>
  <c r="C18" i="2"/>
  <c r="C9" i="2" s="1"/>
  <c r="B2" i="3"/>
  <c r="C19" i="2"/>
  <c r="C10" i="2" s="1"/>
  <c r="B7" i="3"/>
  <c r="C14" i="2"/>
  <c r="C5" i="2" s="1"/>
  <c r="B8" i="3"/>
  <c r="C13" i="2"/>
  <c r="C4" i="2" s="1"/>
  <c r="E92" i="1"/>
  <c r="B14" i="2"/>
  <c r="B5" i="2" s="1"/>
  <c r="L157" i="1"/>
  <c r="L123" i="1"/>
  <c r="B9" i="3"/>
  <c r="L78" i="1"/>
  <c r="L92" i="1"/>
  <c r="L55" i="1"/>
  <c r="L177" i="1"/>
  <c r="L178" i="1"/>
  <c r="L179" i="1"/>
  <c r="L180" i="1"/>
  <c r="L181" i="1"/>
  <c r="L182" i="1"/>
  <c r="L183" i="1"/>
  <c r="L184" i="1"/>
  <c r="L185" i="1"/>
  <c r="L186" i="1"/>
  <c r="L117" i="1"/>
  <c r="L118" i="1"/>
  <c r="E75" i="1"/>
  <c r="E78" i="1"/>
  <c r="E156" i="1"/>
  <c r="E157" i="1"/>
  <c r="L85" i="1"/>
  <c r="L93" i="1"/>
  <c r="L75" i="1"/>
  <c r="L137" i="1"/>
  <c r="E137" i="1"/>
  <c r="L102" i="1"/>
  <c r="L115" i="1"/>
  <c r="L176" i="1"/>
  <c r="E81" i="1"/>
  <c r="L81" i="1"/>
  <c r="L53" i="1"/>
  <c r="L36" i="1"/>
  <c r="L206" i="1"/>
  <c r="L207" i="1"/>
  <c r="E49" i="1"/>
  <c r="L48" i="1"/>
  <c r="L50" i="1"/>
  <c r="L49" i="1"/>
  <c r="L51" i="1"/>
  <c r="L98" i="1"/>
  <c r="L113" i="1"/>
  <c r="L152" i="1"/>
  <c r="L158" i="1"/>
  <c r="L86" i="1"/>
  <c r="L63" i="1"/>
  <c r="L156" i="1"/>
  <c r="L101" i="1"/>
  <c r="L26" i="1"/>
  <c r="L39" i="1"/>
  <c r="T187" i="1"/>
  <c r="L90" i="1"/>
  <c r="L91" i="1"/>
  <c r="E83" i="1"/>
  <c r="E91" i="1"/>
  <c r="T208" i="1"/>
  <c r="L83" i="1"/>
  <c r="T57" i="1"/>
  <c r="T168" i="1"/>
  <c r="R168" i="1"/>
  <c r="T94" i="1"/>
  <c r="T162" i="1"/>
  <c r="T23" i="1"/>
  <c r="R133" i="1"/>
  <c r="R208" i="1"/>
  <c r="T125" i="1"/>
  <c r="O188" i="1"/>
  <c r="O209" i="1" s="1"/>
  <c r="R162" i="1"/>
  <c r="L151" i="1"/>
  <c r="R125" i="1"/>
  <c r="R94" i="1"/>
  <c r="L62" i="1"/>
  <c r="L64" i="1"/>
  <c r="L66" i="1"/>
  <c r="L68" i="1"/>
  <c r="L70" i="1"/>
  <c r="L72" i="1"/>
  <c r="L74" i="1"/>
  <c r="L77" i="1"/>
  <c r="L80" i="1"/>
  <c r="L84" i="1"/>
  <c r="L88" i="1"/>
  <c r="L61" i="1"/>
  <c r="L65" i="1"/>
  <c r="L67" i="1"/>
  <c r="L69" i="1"/>
  <c r="L71" i="1"/>
  <c r="L73" i="1"/>
  <c r="L76" i="1"/>
  <c r="L79" i="1"/>
  <c r="L82" i="1"/>
  <c r="L87" i="1"/>
  <c r="L89" i="1"/>
  <c r="E28" i="1"/>
  <c r="E30" i="1"/>
  <c r="E32" i="1"/>
  <c r="E34" i="1"/>
  <c r="E36" i="1"/>
  <c r="E38" i="1"/>
  <c r="E40" i="1"/>
  <c r="E42" i="1"/>
  <c r="E44" i="1"/>
  <c r="E46" i="1"/>
  <c r="E48" i="1"/>
  <c r="E51" i="1"/>
  <c r="E53" i="1"/>
  <c r="E27" i="1"/>
  <c r="E29" i="1"/>
  <c r="E31" i="1"/>
  <c r="E33" i="1"/>
  <c r="E35" i="1"/>
  <c r="E37" i="1"/>
  <c r="E39" i="1"/>
  <c r="E41" i="1"/>
  <c r="E43" i="1"/>
  <c r="E45" i="1"/>
  <c r="E47" i="1"/>
  <c r="E50" i="1"/>
  <c r="E52" i="1"/>
  <c r="E54" i="1"/>
  <c r="E26" i="1"/>
  <c r="R187" i="1"/>
  <c r="H188" i="1"/>
  <c r="H209" i="1" s="1"/>
  <c r="J10" i="4"/>
  <c r="I12" i="4"/>
  <c r="H12" i="4"/>
  <c r="G12" i="4"/>
  <c r="F12" i="4"/>
  <c r="E12" i="4"/>
  <c r="C12" i="4"/>
  <c r="E204" i="1"/>
  <c r="L205" i="1"/>
  <c r="L204" i="1"/>
  <c r="L202" i="1"/>
  <c r="L201" i="1"/>
  <c r="L200" i="1"/>
  <c r="L198" i="1"/>
  <c r="L197" i="1"/>
  <c r="L196" i="1"/>
  <c r="L191" i="1"/>
  <c r="E191" i="1"/>
  <c r="L173" i="1"/>
  <c r="L165" i="1"/>
  <c r="E167" i="1"/>
  <c r="E161" i="1"/>
  <c r="E158" i="1"/>
  <c r="L150" i="1"/>
  <c r="L148" i="1"/>
  <c r="L145" i="1"/>
  <c r="L142" i="1"/>
  <c r="L140" i="1"/>
  <c r="L136" i="1"/>
  <c r="L131" i="1"/>
  <c r="E132" i="1"/>
  <c r="L132" i="1"/>
  <c r="E90" i="1"/>
  <c r="E89" i="1"/>
  <c r="E87" i="1"/>
  <c r="E85" i="1"/>
  <c r="E82" i="1"/>
  <c r="E79" i="1"/>
  <c r="E76" i="1"/>
  <c r="E73" i="1"/>
  <c r="E71" i="1"/>
  <c r="E69" i="1"/>
  <c r="E67" i="1"/>
  <c r="E65" i="1"/>
  <c r="E63" i="1"/>
  <c r="E61" i="1"/>
  <c r="L52" i="1"/>
  <c r="R57" i="1"/>
  <c r="L33" i="1"/>
  <c r="K23" i="1"/>
  <c r="L10" i="1" s="1"/>
  <c r="E15" i="1"/>
  <c r="S6" i="1"/>
  <c r="R6" i="1"/>
  <c r="C12" i="2" l="1"/>
  <c r="C3" i="2" s="1"/>
  <c r="B3" i="3"/>
  <c r="J12" i="4"/>
  <c r="I4" i="5"/>
  <c r="I3" i="5" s="1"/>
  <c r="L7" i="1"/>
  <c r="L8" i="1"/>
  <c r="L9" i="1"/>
  <c r="L11" i="1"/>
  <c r="L12" i="1"/>
  <c r="L13" i="1"/>
  <c r="L14" i="1"/>
  <c r="L15" i="1"/>
  <c r="L16" i="1"/>
  <c r="L17" i="1"/>
  <c r="L18" i="1"/>
  <c r="L19" i="1"/>
  <c r="L20" i="1"/>
  <c r="L21" i="1"/>
  <c r="L22" i="1"/>
  <c r="E8" i="1"/>
  <c r="E6" i="1"/>
  <c r="E11" i="1"/>
  <c r="E9" i="1"/>
  <c r="E20" i="1"/>
  <c r="R23" i="1"/>
  <c r="L6" i="1"/>
  <c r="L41" i="1"/>
  <c r="L128" i="1"/>
  <c r="L138" i="1"/>
  <c r="L141" i="1"/>
  <c r="L144" i="1"/>
  <c r="L146" i="1"/>
  <c r="L149" i="1"/>
  <c r="L153" i="1"/>
  <c r="E19" i="1"/>
  <c r="L60" i="1"/>
  <c r="E64" i="1"/>
  <c r="E128" i="1"/>
  <c r="E136" i="1"/>
  <c r="E138" i="1"/>
  <c r="E139" i="1"/>
  <c r="E144" i="1"/>
  <c r="E145" i="1"/>
  <c r="E146" i="1"/>
  <c r="E147" i="1"/>
  <c r="E152" i="1"/>
  <c r="E155" i="1"/>
  <c r="E160" i="1"/>
  <c r="E12" i="1"/>
  <c r="E14" i="1"/>
  <c r="E17" i="1"/>
  <c r="E21" i="1"/>
  <c r="L30" i="1"/>
  <c r="L38" i="1"/>
  <c r="L44" i="1"/>
  <c r="K188" i="1"/>
  <c r="L130" i="1"/>
  <c r="E140" i="1"/>
  <c r="E141" i="1"/>
  <c r="E142" i="1"/>
  <c r="E143" i="1"/>
  <c r="E148" i="1"/>
  <c r="E149" i="1"/>
  <c r="E150" i="1"/>
  <c r="E151" i="1"/>
  <c r="E153" i="1"/>
  <c r="E154" i="1"/>
  <c r="E159" i="1"/>
  <c r="L172" i="1"/>
  <c r="L106" i="1"/>
  <c r="L105" i="1"/>
  <c r="L34" i="1"/>
  <c r="L45" i="1"/>
  <c r="L54" i="1"/>
  <c r="E131" i="1"/>
  <c r="L155" i="1"/>
  <c r="L160" i="1"/>
  <c r="L167" i="1"/>
  <c r="E199" i="1"/>
  <c r="E203" i="1"/>
  <c r="E207" i="1"/>
  <c r="D12" i="4"/>
  <c r="E99" i="1"/>
  <c r="L37" i="1"/>
  <c r="L40" i="1"/>
  <c r="L31" i="1"/>
  <c r="L42" i="1"/>
  <c r="L139" i="1"/>
  <c r="L143" i="1"/>
  <c r="L147" i="1"/>
  <c r="E166" i="1"/>
  <c r="E176" i="1"/>
  <c r="E192" i="1"/>
  <c r="L199" i="1"/>
  <c r="L203" i="1"/>
  <c r="L29" i="1"/>
  <c r="E7" i="1"/>
  <c r="E18" i="1"/>
  <c r="E22" i="1"/>
  <c r="L28" i="1"/>
  <c r="L47" i="1"/>
  <c r="E60" i="1"/>
  <c r="E68" i="1"/>
  <c r="E72" i="1"/>
  <c r="E77" i="1"/>
  <c r="E84" i="1"/>
  <c r="E88" i="1"/>
  <c r="E93" i="1"/>
  <c r="E130" i="1"/>
  <c r="L154" i="1"/>
  <c r="L159" i="1"/>
  <c r="L166" i="1"/>
  <c r="L192" i="1"/>
  <c r="R193" i="1"/>
  <c r="E198" i="1"/>
  <c r="E202" i="1"/>
  <c r="E206" i="1"/>
  <c r="E165" i="1"/>
  <c r="E173" i="1"/>
  <c r="E197" i="1"/>
  <c r="E201" i="1"/>
  <c r="E205" i="1"/>
  <c r="L46" i="1"/>
  <c r="L56" i="1"/>
  <c r="L27" i="1"/>
  <c r="L35" i="1"/>
  <c r="E172" i="1"/>
  <c r="E13" i="1"/>
  <c r="E16" i="1"/>
  <c r="L32" i="1"/>
  <c r="L43" i="1"/>
  <c r="E62" i="1"/>
  <c r="E66" i="1"/>
  <c r="E70" i="1"/>
  <c r="E74" i="1"/>
  <c r="E80" i="1"/>
  <c r="E86" i="1"/>
  <c r="L161" i="1"/>
  <c r="E196" i="1"/>
  <c r="E200" i="1"/>
  <c r="L116" i="1" l="1"/>
  <c r="L99" i="1"/>
  <c r="L103" i="1"/>
  <c r="L109" i="1"/>
  <c r="L120" i="1"/>
  <c r="L104" i="1"/>
  <c r="K209" i="1"/>
  <c r="L23" i="1"/>
  <c r="L162" i="1"/>
  <c r="L57" i="1"/>
  <c r="L133" i="1"/>
  <c r="L94" i="1"/>
  <c r="L125" i="1"/>
  <c r="L187" i="1"/>
  <c r="L168" i="1"/>
  <c r="L108" i="1"/>
  <c r="L107" i="1"/>
  <c r="L124" i="1"/>
  <c r="L119" i="1"/>
  <c r="L121" i="1"/>
  <c r="L110" i="1"/>
  <c r="L122" i="1"/>
  <c r="L114" i="1"/>
  <c r="E122" i="1"/>
  <c r="E119" i="1"/>
  <c r="E110" i="1"/>
  <c r="E107" i="1"/>
  <c r="E104" i="1"/>
  <c r="E109" i="1"/>
  <c r="E105" i="1"/>
  <c r="E115" i="1"/>
  <c r="E106" i="1"/>
  <c r="D188" i="1"/>
  <c r="E124" i="1"/>
  <c r="E98" i="1"/>
  <c r="E108" i="1"/>
  <c r="E103" i="1"/>
  <c r="E121" i="1"/>
  <c r="E120" i="1"/>
  <c r="E116" i="1"/>
  <c r="E113" i="1"/>
  <c r="E125" i="1" l="1"/>
  <c r="R188" i="1"/>
  <c r="E57" i="1"/>
  <c r="E162" i="1"/>
  <c r="D209" i="1"/>
  <c r="E94" i="1"/>
  <c r="E23" i="1"/>
  <c r="E187" i="1"/>
  <c r="E133" i="1"/>
  <c r="E168" i="1"/>
</calcChain>
</file>

<file path=xl/sharedStrings.xml><?xml version="1.0" encoding="utf-8"?>
<sst xmlns="http://schemas.openxmlformats.org/spreadsheetml/2006/main" count="437" uniqueCount="275">
  <si>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</si>
  <si>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</si>
  <si>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</si>
  <si>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</si>
  <si>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</si>
  <si>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</si>
  <si>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</si>
  <si>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</si>
  <si>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</si>
  <si>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</si>
  <si>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</si>
  <si>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</si>
  <si>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</si>
  <si>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</si>
  <si>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</si>
  <si>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</si>
  <si>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</si>
  <si>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</si>
  <si>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</si>
  <si>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</si>
  <si>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</si>
  <si>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</si>
  <si>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</si>
  <si>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</si>
  <si>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</si>
  <si>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</si>
  <si>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</si>
  <si>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</si>
  <si>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</si>
  <si>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</si>
  <si>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</si>
  <si>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</si>
  <si>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</si>
  <si>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</si>
  <si>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</si>
  <si>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</si>
  <si>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</si>
  <si>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</si>
  <si>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</si>
  <si>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</si>
  <si>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</si>
  <si>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</si>
  <si>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</si>
  <si>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</si>
  <si>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</si>
  <si>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</si>
  <si>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</si>
  <si>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</si>
  <si>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</si>
  <si>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</si>
  <si>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</si>
  <si>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</si>
  <si>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</si>
  <si>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</si>
  <si>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</si>
  <si>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</si>
  <si>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</si>
  <si>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</si>
  <si>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</si>
  <si>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</si>
  <si>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</si>
  <si>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</si>
  <si>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</si>
  <si>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</si>
  <si>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</si>
  <si>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</si>
  <si>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</si>
  <si>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</si>
  <si>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</si>
  <si>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</si>
  <si>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</si>
  <si>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</si>
  <si>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</si>
  <si>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</si>
  <si>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</si>
  <si>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</si>
  <si>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</si>
  <si>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</si>
  <si>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</si>
  <si>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</si>
  <si>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</si>
  <si>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</si>
  <si>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</si>
  <si>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</si>
  <si>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</si>
  <si>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</si>
  <si>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</si>
  <si>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</si>
  <si>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</si>
  <si>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</si>
  <si>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</si>
  <si>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</si>
  <si>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</si>
  <si>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</si>
  <si>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</si>
  <si>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</si>
  <si>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</si>
  <si>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</si>
  <si>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</si>
  <si>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</si>
  <si>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</si>
  <si>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</si>
  <si>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</si>
  <si>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</si>
  <si>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</si>
  <si>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</si>
  <si>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</si>
  <si>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</si>
  <si>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</si>
  <si>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</si>
  <si>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</si>
  <si>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</si>
  <si>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</si>
  <si>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</si>
  <si>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</si>
  <si>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</si>
  <si>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</si>
  <si>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</si>
  <si>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</si>
  <si>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</si>
  <si>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</si>
  <si>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</si>
  <si>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</si>
  <si>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</si>
  <si>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</si>
  <si>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</si>
  <si>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</si>
  <si>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</si>
  <si>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</si>
  <si>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</si>
  <si>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</si>
  <si>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</si>
  <si>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</si>
  <si>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</si>
  <si>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</si>
  <si>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</si>
  <si>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</si>
  <si>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</si>
  <si>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</si>
  <si>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</si>
  <si>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</si>
  <si>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</si>
  <si>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</si>
  <si>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</si>
  <si>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</si>
  <si>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</si>
  <si>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</si>
  <si>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</si>
  <si>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</si>
  <si>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</si>
  <si>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</si>
  <si>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</si>
  <si>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</si>
  <si>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</si>
  <si>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</si>
  <si>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</si>
  <si>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</si>
  <si>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</si>
  <si>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</si>
  <si>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</si>
  <si>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</si>
  <si>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</si>
  <si>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</si>
  <si>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</si>
  <si>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</si>
  <si>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</si>
  <si>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</si>
  <si>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</si>
  <si>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</si>
  <si>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</si>
  <si>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</si>
  <si>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</si>
  <si>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</si>
  <si>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</si>
  <si>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</si>
  <si>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</si>
  <si>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</si>
  <si>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</si>
  <si>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</si>
  <si>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</si>
  <si>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</si>
  <si>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</si>
  <si>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</si>
  <si>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</si>
  <si>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</si>
  <si>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</si>
  <si>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</si>
  <si>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</si>
  <si>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</si>
  <si>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</si>
  <si>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</si>
  <si>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</si>
  <si>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</si>
  <si>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</si>
  <si>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</si>
  <si>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</si>
  <si>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</si>
  <si>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</si>
  <si>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</si>
  <si>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</si>
  <si>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</si>
  <si>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</si>
  <si>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</si>
  <si>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</si>
  <si>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</si>
  <si>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</si>
  <si>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</si>
  <si>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</si>
  <si>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</si>
  <si>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</si>
  <si>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</si>
  <si>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</si>
  <si>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</si>
  <si>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</si>
  <si>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</si>
  <si>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</si>
  <si>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</si>
  <si>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</si>
  <si>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</si>
  <si>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</si>
  <si>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</si>
  <si>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</si>
  <si>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</si>
  <si>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</si>
  <si>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</si>
  <si>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</si>
  <si>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</si>
  <si>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</si>
  <si>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</si>
  <si>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</si>
  <si>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</si>
  <si>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</si>
  <si>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</si>
  <si>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</si>
  <si>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</si>
  <si>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</si>
  <si>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</si>
  <si>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</si>
  <si>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</si>
  <si>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</si>
  <si>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</si>
  <si>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</si>
  <si>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</si>
  <si>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</si>
  <si>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</si>
  <si>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</si>
  <si>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</si>
  <si>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</si>
  <si>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</si>
  <si>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</si>
  <si>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</si>
  <si>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</si>
  <si>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</si>
  <si>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</si>
  <si>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</si>
  <si>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</si>
  <si>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</si>
  <si>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</si>
  <si>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</si>
  <si>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</si>
  <si>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Zedcrest Money Market Fund</t>
  </si>
  <si>
    <t>Zedcrest Investment Managers Limited</t>
  </si>
  <si>
    <t>Zedcrest Fixed Income Fund</t>
  </si>
  <si>
    <t>Zedcrest Dollar Fund</t>
  </si>
  <si>
    <t>EXCHANGE TRADED FUNDS (ETFs)</t>
  </si>
  <si>
    <t>ETFs AGGREGATE</t>
  </si>
  <si>
    <t>CardinalStone Equity Fund</t>
  </si>
  <si>
    <t>CardinalStone Dollar Fund</t>
  </si>
  <si>
    <t>NAV, Unit Price and Yield as at Week Ended April 26, 2024</t>
  </si>
  <si>
    <t>Week Ended April 26, 2024</t>
  </si>
  <si>
    <t>WEEKLY VALUATION REPORT OF COLLECTIVE INVESTMENT SCHEMES AS AT WEEK ENDED FRIDAY, MAY 3, 2024</t>
  </si>
  <si>
    <t>NAV, Unit Price and Yield as at Week Ended May 3,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</si>
  <si>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3rd May, 2024 = N1,383.065</t>
    </r>
  </si>
  <si>
    <t>Week Ended May 3, 2024</t>
  </si>
  <si>
    <t>The chart above shows that the Dollar Fund category (Eurobonds and Fixed Income) has the highest share of the Aggregate Net Asset Value (NAV) at 47.60%, followed by Money Market Fund with 34.52%, Bond/Fixed Income Fund at 9.42%, Real Estate Investment Trust at 3.63%.  Next is Shari'ah Compliant Fund at 1.89%, Balanced Fund at 1.77%, Equity Fund at 1.00% and Ethical Fund at 0.18%.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</si>
</sst>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sz val="8"/>
      <color theme="1"/>
      <name val="Segoe UI"/>
      <family val="2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7" borderId="14" applyNumberFormat="0" applyAlignment="0" applyProtection="0"/>
    <xf numFmtId="0" fontId="36" fillId="18" borderId="15" applyNumberFormat="0" applyAlignment="0" applyProtection="0"/>
    <xf numFmtId="0" fontId="37" fillId="18" borderId="14" applyNumberFormat="0" applyAlignment="0" applyProtection="0"/>
    <xf numFmtId="0" fontId="38" fillId="0" borderId="16" applyNumberFormat="0" applyFill="0" applyAlignment="0" applyProtection="0"/>
    <xf numFmtId="0" fontId="39" fillId="19" borderId="17" applyNumberFormat="0" applyAlignment="0" applyProtection="0"/>
    <xf numFmtId="0" fontId="40" fillId="0" borderId="0" applyNumberFormat="0" applyFill="0" applyBorder="0" applyAlignment="0" applyProtection="0"/>
    <xf numFmtId="0" fontId="1" fillId="20" borderId="18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4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172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4" fontId="0" fillId="0" borderId="0" xfId="0" applyNumberFormat="1"/>
    <xf numFmtId="0" fontId="45" fillId="0" borderId="0" xfId="0" applyFont="1" applyAlignment="1">
      <alignment horizontal="right"/>
    </xf>
    <xf numFmtId="166" fontId="0" fillId="0" borderId="0" xfId="0" applyNumberFormat="1"/>
    <xf numFmtId="4" fontId="46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7" fillId="3" borderId="5" xfId="0" applyFont="1" applyFill="1" applyBorder="1" applyAlignment="1">
      <alignment horizontal="center" wrapText="1"/>
    </xf>
    <xf numFmtId="0" fontId="23" fillId="3" borderId="5" xfId="0" applyFont="1" applyFill="1" applyBorder="1"/>
    <xf numFmtId="0" fontId="19" fillId="3" borderId="5" xfId="0" applyFont="1" applyFill="1" applyBorder="1" applyAlignment="1">
      <alignment horizontal="right"/>
    </xf>
    <xf numFmtId="165" fontId="6" fillId="5" borderId="5" xfId="2" applyNumberFormat="1" applyFont="1" applyFill="1" applyBorder="1" applyAlignment="1">
      <alignment horizontal="center"/>
    </xf>
    <xf numFmtId="0" fontId="45" fillId="0" borderId="5" xfId="0" applyFont="1" applyBorder="1" applyAlignment="1">
      <alignment horizontal="right"/>
    </xf>
    <xf numFmtId="164" fontId="12" fillId="3" borderId="0" xfId="1" applyFont="1" applyFill="1" applyBorder="1" applyAlignment="1">
      <alignment horizontal="right" vertical="top" wrapText="1"/>
    </xf>
    <xf numFmtId="164" fontId="21" fillId="0" borderId="0" xfId="1" applyFont="1"/>
    <xf numFmtId="164" fontId="12" fillId="0" borderId="0" xfId="1" applyFont="1"/>
    <xf numFmtId="4" fontId="12" fillId="3" borderId="5" xfId="0" applyNumberFormat="1" applyFont="1" applyFill="1" applyBorder="1"/>
    <xf numFmtId="4" fontId="12" fillId="3" borderId="5" xfId="0" applyNumberFormat="1" applyFont="1" applyFill="1" applyBorder="1" applyAlignment="1">
      <alignment horizontal="right"/>
    </xf>
    <xf numFmtId="0" fontId="48" fillId="0" borderId="5" xfId="0" applyFont="1" applyBorder="1" applyAlignment="1">
      <alignment horizontal="right"/>
    </xf>
    <xf numFmtId="16" fontId="49" fillId="3" borderId="5" xfId="0" applyNumberFormat="1" applyFont="1" applyFill="1" applyBorder="1" applyAlignment="1">
      <alignment wrapText="1"/>
    </xf>
    <xf numFmtId="0" fontId="49" fillId="0" borderId="5" xfId="0" applyFont="1" applyBorder="1" applyAlignment="1">
      <alignment horizontal="right" wrapText="1"/>
    </xf>
    <xf numFmtId="4" fontId="50" fillId="3" borderId="5" xfId="0" applyNumberFormat="1" applyFont="1" applyFill="1" applyBorder="1"/>
    <xf numFmtId="0" fontId="49" fillId="0" borderId="5" xfId="0" applyFont="1" applyBorder="1" applyAlignment="1">
      <alignment horizontal="right"/>
    </xf>
    <xf numFmtId="4" fontId="50" fillId="3" borderId="5" xfId="0" applyNumberFormat="1" applyFont="1" applyFill="1" applyBorder="1" applyAlignment="1">
      <alignment horizontal="right"/>
    </xf>
    <xf numFmtId="164" fontId="50" fillId="3" borderId="5" xfId="1" applyFont="1" applyFill="1" applyBorder="1" applyAlignment="1">
      <alignment horizontal="right" vertical="top" wrapText="1"/>
    </xf>
    <xf numFmtId="0" fontId="51" fillId="0" borderId="5" xfId="0" applyFont="1" applyBorder="1" applyAlignment="1">
      <alignment horizontal="right" wrapText="1"/>
    </xf>
    <xf numFmtId="164" fontId="52" fillId="0" borderId="0" xfId="1" applyFont="1"/>
    <xf numFmtId="4" fontId="52" fillId="3" borderId="5" xfId="0" applyNumberFormat="1" applyFont="1" applyFill="1" applyBorder="1"/>
    <xf numFmtId="0" fontId="51" fillId="0" borderId="5" xfId="0" applyFont="1" applyBorder="1" applyAlignment="1">
      <alignment horizontal="right"/>
    </xf>
    <xf numFmtId="4" fontId="52" fillId="3" borderId="5" xfId="0" applyNumberFormat="1" applyFont="1" applyFill="1" applyBorder="1" applyAlignment="1">
      <alignment horizontal="right"/>
    </xf>
    <xf numFmtId="164" fontId="52" fillId="3" borderId="5" xfId="1" applyFont="1" applyFill="1" applyBorder="1" applyAlignment="1">
      <alignment horizontal="right" vertical="top" wrapText="1"/>
    </xf>
    <xf numFmtId="0" fontId="49" fillId="0" borderId="0" xfId="0" applyFont="1" applyAlignment="1">
      <alignment horizontal="right"/>
    </xf>
    <xf numFmtId="4" fontId="50" fillId="3" borderId="0" xfId="0" applyNumberFormat="1" applyFont="1" applyFill="1" applyAlignment="1">
      <alignment horizontal="right"/>
    </xf>
    <xf numFmtId="4" fontId="50" fillId="3" borderId="0" xfId="0" applyNumberFormat="1" applyFont="1" applyFill="1"/>
    <xf numFmtId="16" fontId="49" fillId="3" borderId="5" xfId="0" applyNumberFormat="1" applyFont="1" applyFill="1" applyBorder="1"/>
    <xf numFmtId="0" fontId="49" fillId="0" borderId="10" xfId="0" applyFont="1" applyBorder="1" applyAlignment="1">
      <alignment horizontal="right"/>
    </xf>
    <xf numFmtId="0" fontId="39" fillId="0" borderId="0" xfId="0" applyFont="1"/>
    <xf numFmtId="16" fontId="53" fillId="3" borderId="0" xfId="0" applyNumberFormat="1" applyFont="1" applyFill="1"/>
    <xf numFmtId="164" fontId="54" fillId="0" borderId="0" xfId="1" applyFont="1"/>
    <xf numFmtId="43" fontId="54" fillId="0" borderId="0" xfId="0" applyNumberFormat="1" applyFont="1"/>
    <xf numFmtId="4" fontId="54" fillId="0" borderId="0" xfId="0" applyNumberFormat="1" applyFont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4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left" wrapText="1"/>
    </xf>
    <xf numFmtId="49" fontId="6" fillId="0" borderId="5" xfId="0" applyNumberFormat="1" applyFont="1" applyBorder="1" applyAlignment="1">
      <alignment wrapText="1"/>
    </xf>
    <xf numFmtId="4" fontId="55" fillId="0" borderId="0" xfId="0" applyNumberFormat="1" applyFont="1"/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23" fillId="13" borderId="0" xfId="0" applyFont="1" applyFill="1" applyAlignment="1">
      <alignment horizontal="center" wrapText="1"/>
    </xf>
  </cellXfs>
  <cellStyles count="59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 xr:uid="{3E2F10A3-2931-47B9-9037-A926F090663B}"/>
    <cellStyle name="60% - Accent2 2" xfId="49" xr:uid="{7FDA209E-90DD-4F22-BA51-BAAF09033C88}"/>
    <cellStyle name="60% - Accent3 2" xfId="50" xr:uid="{6559FD3E-55FB-4384-B79B-375CB83EE83A}"/>
    <cellStyle name="60% - Accent4 2" xfId="51" xr:uid="{C278CF58-7B61-4265-BD37-E951024486D1}"/>
    <cellStyle name="60% - Accent5 2" xfId="52" xr:uid="{7400C4F0-C71C-4F86-9EB1-93161B660D96}"/>
    <cellStyle name="60% - Accent6 2" xfId="53" xr:uid="{9482E2F4-C0F8-4C05-9696-FE40E0AE3EE9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 xr:uid="{00000000-0005-0000-0000-000001000000}"/>
    <cellStyle name="Comma 2" xfId="7" xr:uid="{00000000-0005-0000-0000-000002000000}"/>
    <cellStyle name="Comma 2 2" xfId="43" xr:uid="{7FDEEF4F-409F-4574-BF1F-11F6886F052E}"/>
    <cellStyle name="Comma 3" xfId="54" xr:uid="{9D6EB6E4-FDCC-4865-9F62-1335F0BDF101}"/>
    <cellStyle name="Comma 3 2" xfId="4" xr:uid="{00000000-0005-0000-0000-000003000000}"/>
    <cellStyle name="Comma 3 2 2" xfId="44" xr:uid="{0B2E002E-CCC3-4E39-B06E-0A234DE2B917}"/>
    <cellStyle name="Comma 4" xfId="9" xr:uid="{7E9A854F-1E87-4896-8102-790EF57093D9}"/>
    <cellStyle name="Comma 5" xfId="55" xr:uid="{D2975A73-C7C2-43F9-B839-6A818D0DA01D}"/>
    <cellStyle name="Comma 6" xfId="57" xr:uid="{C3684CE0-A1E3-46A2-BB48-FBDC7D9C1F4E}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 xr:uid="{4FFB5546-03D1-4007-AD06-C80F9706DDB8}"/>
    <cellStyle name="Normal" xfId="0" builtinId="0"/>
    <cellStyle name="Normal 2" xfId="8" xr:uid="{6E835889-8A32-48B2-8C41-226AFE52856D}"/>
    <cellStyle name="Normal 2 2" xfId="45" xr:uid="{AB75C98A-BA03-437B-BC9F-4D0C9A93CC4B}"/>
    <cellStyle name="Normal 27 2" xfId="6" xr:uid="{00000000-0005-0000-0000-000005000000}"/>
    <cellStyle name="Note" xfId="22" builtinId="10" customBuiltin="1"/>
    <cellStyle name="Output" xfId="17" builtinId="21" customBuiltin="1"/>
    <cellStyle name="Percent" xfId="2" builtinId="5"/>
    <cellStyle name="Percent 2 2" xfId="5" xr:uid="{00000000-0005-0000-0000-000007000000}"/>
    <cellStyle name="Percent 5" xfId="56" xr:uid="{D11B0100-E898-4AB2-A152-5E22447C24BA}"/>
    <cellStyle name="Percent 6" xfId="58" xr:uid="{80D5C716-5C3E-47A5-972E-C7B1C79EA500}"/>
    <cellStyle name="Title 2" xfId="46" xr:uid="{75225FE6-AD44-4FD3-AD7C-4F10A4B75329}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April 26,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26.264049012868401</c:v>
                </c:pt>
                <c:pt idx="1">
                  <c:v>929.99815993067284</c:v>
                </c:pt>
                <c:pt idx="2">
                  <c:v>259.45561209181858</c:v>
                </c:pt>
                <c:pt idx="3">
                  <c:v>1242.7078282264185</c:v>
                </c:pt>
                <c:pt idx="4">
                  <c:v>100.03787739068518</c:v>
                </c:pt>
                <c:pt idx="5" formatCode="_-* #,##0.00_-;\-* #,##0.00_-;_-* &quot;-&quot;??_-;_-@_-">
                  <c:v>47.381646798600897</c:v>
                </c:pt>
                <c:pt idx="6">
                  <c:v>4.7229558415800001</c:v>
                </c:pt>
                <c:pt idx="7">
                  <c:v>51.625845610938029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May 3,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27.319052490226497</c:v>
                </c:pt>
                <c:pt idx="1">
                  <c:v>943.17306225288905</c:v>
                </c:pt>
                <c:pt idx="2">
                  <c:v>257.29152816124872</c:v>
                </c:pt>
                <c:pt idx="3">
                  <c:v>1300.4808572377635</c:v>
                </c:pt>
                <c:pt idx="4">
                  <c:v>99.185326803116425</c:v>
                </c:pt>
                <c:pt idx="5" formatCode="_-* #,##0.00_-;\-* #,##0.00_-;_-* &quot;-&quot;??_-;_-@_-">
                  <c:v>48.298812075103349</c:v>
                </c:pt>
                <c:pt idx="6">
                  <c:v>4.8079459306199999</c:v>
                </c:pt>
                <c:pt idx="7">
                  <c:v>51.539113968287907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3RD MAY,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52536576715378"/>
          <c:y val="0.14742728847951844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3-May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2.6526971099187786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1.8232066883237173E-2"/>
                  <c:y val="3.1761457967088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4807945930.6199999</c:v>
                </c:pt>
                <c:pt idx="1">
                  <c:v>27319052490.226498</c:v>
                </c:pt>
                <c:pt idx="2" formatCode="_-* #,##0.00_-;\-* #,##0.00_-;_-* &quot;-&quot;??_-;_-@_-">
                  <c:v>48298812075.103348</c:v>
                </c:pt>
                <c:pt idx="3">
                  <c:v>51539113968.28791</c:v>
                </c:pt>
                <c:pt idx="4">
                  <c:v>99185326803.116425</c:v>
                </c:pt>
                <c:pt idx="5">
                  <c:v>257291528161.24875</c:v>
                </c:pt>
                <c:pt idx="6">
                  <c:v>943173062252.88904</c:v>
                </c:pt>
                <c:pt idx="7">
                  <c:v>1300480857237.7634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45366</c:v>
                </c:pt>
                <c:pt idx="1">
                  <c:v>45373</c:v>
                </c:pt>
                <c:pt idx="2">
                  <c:v>45379</c:v>
                </c:pt>
                <c:pt idx="3">
                  <c:v>45387</c:v>
                </c:pt>
                <c:pt idx="4">
                  <c:v>45394</c:v>
                </c:pt>
                <c:pt idx="5">
                  <c:v>45401</c:v>
                </c:pt>
                <c:pt idx="6">
                  <c:v>45408</c:v>
                </c:pt>
                <c:pt idx="7">
                  <c:v>45415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2600.1201124317486</c:v>
                </c:pt>
                <c:pt idx="1">
                  <c:v>2726.590314934399</c:v>
                </c:pt>
                <c:pt idx="2">
                  <c:v>2644.8482103597744</c:v>
                </c:pt>
                <c:pt idx="3">
                  <c:v>2589.6638814860466</c:v>
                </c:pt>
                <c:pt idx="4">
                  <c:v>2515.3217074592571</c:v>
                </c:pt>
                <c:pt idx="5">
                  <c:v>2510.7979153396032</c:v>
                </c:pt>
                <c:pt idx="6">
                  <c:v>2662.1939749035823</c:v>
                </c:pt>
                <c:pt idx="7">
                  <c:v>2732.0956989192559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45359</c:v>
                </c:pt>
                <c:pt idx="1">
                  <c:v>45366</c:v>
                </c:pt>
                <c:pt idx="2">
                  <c:v>45373</c:v>
                </c:pt>
                <c:pt idx="3">
                  <c:v>45379</c:v>
                </c:pt>
                <c:pt idx="4">
                  <c:v>45387</c:v>
                </c:pt>
                <c:pt idx="5">
                  <c:v>45394</c:v>
                </c:pt>
                <c:pt idx="6">
                  <c:v>45401</c:v>
                </c:pt>
                <c:pt idx="7">
                  <c:v>45408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13.749994436969999</c:v>
                </c:pt>
                <c:pt idx="1">
                  <c:v>13.611683369310001</c:v>
                </c:pt>
                <c:pt idx="2">
                  <c:v>13.637941626835818</c:v>
                </c:pt>
                <c:pt idx="3">
                  <c:v>13.392488443196084</c:v>
                </c:pt>
                <c:pt idx="4">
                  <c:v>13.204581677229028</c:v>
                </c:pt>
                <c:pt idx="5">
                  <c:v>12.730402807627465</c:v>
                </c:pt>
                <c:pt idx="6">
                  <c:v>12.735357486958618</c:v>
                </c:pt>
                <c:pt idx="7">
                  <c:v>13.067918239830002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310515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10</xdr:col>
      <xdr:colOff>588820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B213"/>
  <sheetViews>
    <sheetView tabSelected="1" zoomScaleNormal="100" workbookViewId="0">
      <pane ySplit="3" topLeftCell="A4" activePane="bottomLeft" state="frozen"/>
      <selection activeCell="H6" sqref="H6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59" t="s">
        <v>270</v>
      </c>
      <c r="B1" s="160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2"/>
    </row>
    <row r="2" spans="1:25" ht="15" customHeight="1">
      <c r="A2" s="1"/>
      <c r="B2" s="1"/>
      <c r="C2" s="1"/>
      <c r="D2" s="166" t="s">
        <v>268</v>
      </c>
      <c r="E2" s="167"/>
      <c r="F2" s="167"/>
      <c r="G2" s="167"/>
      <c r="H2" s="167"/>
      <c r="I2" s="167"/>
      <c r="J2" s="168"/>
      <c r="K2" s="166" t="s">
        <v>271</v>
      </c>
      <c r="L2" s="167"/>
      <c r="M2" s="167"/>
      <c r="N2" s="167"/>
      <c r="O2" s="167"/>
      <c r="P2" s="167"/>
      <c r="Q2" s="168"/>
      <c r="R2" s="166" t="s">
        <v>0</v>
      </c>
      <c r="S2" s="167"/>
      <c r="T2" s="168"/>
      <c r="U2" s="163" t="s">
        <v>1</v>
      </c>
      <c r="V2" s="163"/>
    </row>
    <row r="3" spans="1:25" ht="25.5">
      <c r="A3" s="82" t="s">
        <v>2</v>
      </c>
      <c r="B3" s="82" t="s">
        <v>3</v>
      </c>
      <c r="C3" s="76" t="s">
        <v>4</v>
      </c>
      <c r="D3" s="77" t="s">
        <v>5</v>
      </c>
      <c r="E3" s="78" t="s">
        <v>6</v>
      </c>
      <c r="F3" s="78" t="s">
        <v>7</v>
      </c>
      <c r="G3" s="78" t="s">
        <v>8</v>
      </c>
      <c r="H3" s="78" t="s">
        <v>229</v>
      </c>
      <c r="I3" s="78" t="s">
        <v>9</v>
      </c>
      <c r="J3" s="78" t="s">
        <v>10</v>
      </c>
      <c r="K3" s="79" t="s">
        <v>5</v>
      </c>
      <c r="L3" s="78" t="s">
        <v>6</v>
      </c>
      <c r="M3" s="78" t="s">
        <v>7</v>
      </c>
      <c r="N3" s="78" t="s">
        <v>8</v>
      </c>
      <c r="O3" s="78" t="s">
        <v>229</v>
      </c>
      <c r="P3" s="78" t="s">
        <v>9</v>
      </c>
      <c r="Q3" s="78" t="s">
        <v>10</v>
      </c>
      <c r="R3" s="77" t="s">
        <v>11</v>
      </c>
      <c r="S3" s="78" t="s">
        <v>12</v>
      </c>
      <c r="T3" s="78" t="s">
        <v>235</v>
      </c>
      <c r="U3" s="78" t="s">
        <v>13</v>
      </c>
      <c r="V3" s="78" t="s">
        <v>14</v>
      </c>
    </row>
    <row r="4" spans="1:25" ht="7.5" customHeight="1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</row>
    <row r="5" spans="1:25" ht="15" customHeight="1">
      <c r="A5" s="165" t="s">
        <v>15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</row>
    <row r="6" spans="1:25">
      <c r="A6" s="75">
        <v>1</v>
      </c>
      <c r="B6" s="152" t="s">
        <v>16</v>
      </c>
      <c r="C6" s="153" t="s">
        <v>17</v>
      </c>
      <c r="D6" s="2">
        <v>1072729141.74</v>
      </c>
      <c r="E6" s="3">
        <f t="shared" ref="E6:E22" si="0">(D6/$D$23)</f>
        <v>4.0844012330863488E-2</v>
      </c>
      <c r="F6" s="8">
        <v>316.25259999999997</v>
      </c>
      <c r="G6" s="8">
        <v>316.25259999999997</v>
      </c>
      <c r="H6" s="60">
        <v>1739</v>
      </c>
      <c r="I6" s="5">
        <v>-2.1899999999999999E-2</v>
      </c>
      <c r="J6" s="5">
        <v>2.06E-2</v>
      </c>
      <c r="K6" s="2">
        <v>1107449066.1900001</v>
      </c>
      <c r="L6" s="3">
        <f>(K6/$K$23)</f>
        <v>4.0537608930111851E-2</v>
      </c>
      <c r="M6" s="8">
        <v>326.589</v>
      </c>
      <c r="N6" s="8">
        <v>326.589</v>
      </c>
      <c r="O6" s="60">
        <v>1739</v>
      </c>
      <c r="P6" s="5">
        <v>3.27E-2</v>
      </c>
      <c r="Q6" s="5">
        <v>5.3900000000000003E-2</v>
      </c>
      <c r="R6" s="80">
        <f>((K6-D6)/D6)</f>
        <v>3.2365974875711169E-2</v>
      </c>
      <c r="S6" s="80">
        <f>((N6-G6)/G6)</f>
        <v>3.2684000068299919E-2</v>
      </c>
      <c r="T6" s="80">
        <f>((O6-H6)/H6)</f>
        <v>0</v>
      </c>
      <c r="U6" s="81">
        <f>P6-I6</f>
        <v>5.4599999999999996E-2</v>
      </c>
      <c r="V6" s="83">
        <f>Q6-J6</f>
        <v>3.3300000000000003E-2</v>
      </c>
    </row>
    <row r="7" spans="1:25">
      <c r="A7" s="75">
        <v>2</v>
      </c>
      <c r="B7" s="152" t="s">
        <v>18</v>
      </c>
      <c r="C7" s="153" t="s">
        <v>19</v>
      </c>
      <c r="D7" s="4">
        <v>585999672.66999996</v>
      </c>
      <c r="E7" s="3">
        <f t="shared" si="0"/>
        <v>2.2311855737966454E-2</v>
      </c>
      <c r="F7" s="4">
        <v>213.96530000000001</v>
      </c>
      <c r="G7" s="4">
        <v>216.4777</v>
      </c>
      <c r="H7" s="60">
        <v>392</v>
      </c>
      <c r="I7" s="5">
        <v>-4.9189999999999998E-3</v>
      </c>
      <c r="J7" s="5">
        <v>0.106</v>
      </c>
      <c r="K7" s="4">
        <v>589659206.74000001</v>
      </c>
      <c r="L7" s="3">
        <f t="shared" ref="L7:L22" si="1">(K7/$K$23)</f>
        <v>2.1584174888603952E-2</v>
      </c>
      <c r="M7" s="4">
        <v>217.59119999999999</v>
      </c>
      <c r="N7" s="4">
        <v>220.17619999999999</v>
      </c>
      <c r="O7" s="60">
        <v>392</v>
      </c>
      <c r="P7" s="5">
        <v>1.3233999999999999E-2</v>
      </c>
      <c r="Q7" s="5">
        <v>0.12479999999999999</v>
      </c>
      <c r="R7" s="80">
        <f t="shared" ref="R7:R23" si="2">((K7-D7)/D7)</f>
        <v>6.2449421743293087E-3</v>
      </c>
      <c r="S7" s="80">
        <f t="shared" ref="S7:S23" si="3">((N7-G7)/G7)</f>
        <v>1.7084900661823346E-2</v>
      </c>
      <c r="T7" s="80">
        <f t="shared" ref="T7:T23" si="4">((O7-H7)/H7)</f>
        <v>0</v>
      </c>
      <c r="U7" s="81">
        <f t="shared" ref="U7:U23" si="5">P7-I7</f>
        <v>1.8152999999999999E-2</v>
      </c>
      <c r="V7" s="83">
        <f t="shared" ref="V7:V23" si="6">Q7-J7</f>
        <v>1.8799999999999997E-2</v>
      </c>
    </row>
    <row r="8" spans="1:25">
      <c r="A8" s="75">
        <v>3</v>
      </c>
      <c r="B8" s="152" t="s">
        <v>20</v>
      </c>
      <c r="C8" s="153" t="s">
        <v>21</v>
      </c>
      <c r="D8" s="4">
        <v>3841996895.77</v>
      </c>
      <c r="E8" s="3">
        <f t="shared" si="0"/>
        <v>0.14628349550701666</v>
      </c>
      <c r="F8" s="4">
        <v>35.834499999999998</v>
      </c>
      <c r="G8" s="4">
        <v>36.914999999999999</v>
      </c>
      <c r="H8" s="62">
        <v>6426</v>
      </c>
      <c r="I8" s="6">
        <v>-0.51249999999999996</v>
      </c>
      <c r="J8" s="6">
        <v>0.54120000000000001</v>
      </c>
      <c r="K8" s="4">
        <v>3903377380.0900002</v>
      </c>
      <c r="L8" s="3">
        <f t="shared" si="1"/>
        <v>0.14288114060641194</v>
      </c>
      <c r="M8" s="4">
        <v>36.383800000000001</v>
      </c>
      <c r="N8" s="4">
        <v>37.480800000000002</v>
      </c>
      <c r="O8" s="62">
        <v>6427</v>
      </c>
      <c r="P8" s="6">
        <v>0.8014</v>
      </c>
      <c r="Q8" s="6">
        <v>0.56369999999999998</v>
      </c>
      <c r="R8" s="80">
        <f t="shared" si="2"/>
        <v>1.5976193106136932E-2</v>
      </c>
      <c r="S8" s="80">
        <f t="shared" si="3"/>
        <v>1.5327102803738399E-2</v>
      </c>
      <c r="T8" s="80">
        <f t="shared" si="4"/>
        <v>1.5561780267662621E-4</v>
      </c>
      <c r="U8" s="81">
        <f t="shared" si="5"/>
        <v>1.3138999999999998</v>
      </c>
      <c r="V8" s="83">
        <f t="shared" si="6"/>
        <v>2.2499999999999964E-2</v>
      </c>
      <c r="X8" s="102"/>
      <c r="Y8" s="102"/>
    </row>
    <row r="9" spans="1:25">
      <c r="A9" s="75">
        <v>4</v>
      </c>
      <c r="B9" s="152" t="s">
        <v>22</v>
      </c>
      <c r="C9" s="153" t="s">
        <v>23</v>
      </c>
      <c r="D9" s="4">
        <v>666222343.58000004</v>
      </c>
      <c r="E9" s="3">
        <f t="shared" si="0"/>
        <v>2.5366322734684817E-2</v>
      </c>
      <c r="F9" s="4">
        <v>222.24709999999999</v>
      </c>
      <c r="G9" s="4">
        <v>222.24709999999999</v>
      </c>
      <c r="H9" s="60">
        <v>1778</v>
      </c>
      <c r="I9" s="5">
        <v>-6.0400000000000002E-2</v>
      </c>
      <c r="J9" s="5">
        <v>9.0800000000000006E-2</v>
      </c>
      <c r="K9" s="4">
        <v>664079804.62</v>
      </c>
      <c r="L9" s="3">
        <f t="shared" si="1"/>
        <v>2.430830296393249E-2</v>
      </c>
      <c r="M9" s="4">
        <v>223.95</v>
      </c>
      <c r="N9" s="4">
        <v>223.95</v>
      </c>
      <c r="O9" s="60">
        <v>1780</v>
      </c>
      <c r="P9" s="5">
        <v>-6.3E-2</v>
      </c>
      <c r="Q9" s="5">
        <v>9.9199999999999997E-2</v>
      </c>
      <c r="R9" s="80">
        <f t="shared" si="2"/>
        <v>-3.2159518224605475E-3</v>
      </c>
      <c r="S9" s="80">
        <f t="shared" si="3"/>
        <v>7.6621922175812403E-3</v>
      </c>
      <c r="T9" s="80">
        <f t="shared" si="4"/>
        <v>1.1248593925759281E-3</v>
      </c>
      <c r="U9" s="81">
        <f t="shared" si="5"/>
        <v>-2.5999999999999981E-3</v>
      </c>
      <c r="V9" s="83">
        <f t="shared" si="6"/>
        <v>8.3999999999999908E-3</v>
      </c>
    </row>
    <row r="10" spans="1:25">
      <c r="A10" s="75">
        <v>5</v>
      </c>
      <c r="B10" s="152" t="s">
        <v>266</v>
      </c>
      <c r="C10" s="153" t="s">
        <v>99</v>
      </c>
      <c r="D10" s="4">
        <v>579990342.79999995</v>
      </c>
      <c r="E10" s="3">
        <f t="shared" si="0"/>
        <v>2.2083051342000861E-2</v>
      </c>
      <c r="F10" s="4">
        <v>0.84460000000000002</v>
      </c>
      <c r="G10" s="4">
        <v>0.85170000000000001</v>
      </c>
      <c r="H10" s="60">
        <v>555</v>
      </c>
      <c r="I10" s="5">
        <v>8.9999999999999998E-4</v>
      </c>
      <c r="J10" s="5">
        <v>-0.15110000000000001</v>
      </c>
      <c r="K10" s="4">
        <v>600950766.66999996</v>
      </c>
      <c r="L10" s="3">
        <f t="shared" si="1"/>
        <v>2.1997496687888151E-2</v>
      </c>
      <c r="M10" s="4">
        <v>0.87690000000000001</v>
      </c>
      <c r="N10" s="4">
        <v>0.88439999999999996</v>
      </c>
      <c r="O10" s="60">
        <v>551</v>
      </c>
      <c r="P10" s="5">
        <v>3.61E-2</v>
      </c>
      <c r="Q10" s="5">
        <v>-0.1188</v>
      </c>
      <c r="R10" s="80">
        <f t="shared" ref="R10" si="7">((K10-D10)/D10)</f>
        <v>3.6139263576027952E-2</v>
      </c>
      <c r="S10" s="80">
        <f t="shared" ref="S10" si="8">((N10-G10)/G10)</f>
        <v>3.8393800634026011E-2</v>
      </c>
      <c r="T10" s="80">
        <f t="shared" ref="T10" si="9">((O10-H10)/H10)</f>
        <v>-7.2072072072072073E-3</v>
      </c>
      <c r="U10" s="81">
        <f t="shared" ref="U10" si="10">P10-I10</f>
        <v>3.5200000000000002E-2</v>
      </c>
      <c r="V10" s="83">
        <f t="shared" ref="V10" si="11">Q10-J10</f>
        <v>3.2300000000000009E-2</v>
      </c>
    </row>
    <row r="11" spans="1:25">
      <c r="A11" s="75">
        <v>6</v>
      </c>
      <c r="B11" s="152" t="s">
        <v>24</v>
      </c>
      <c r="C11" s="153" t="s">
        <v>25</v>
      </c>
      <c r="D11" s="7">
        <v>85838251.25</v>
      </c>
      <c r="E11" s="3">
        <f t="shared" si="0"/>
        <v>3.2682794342921945E-3</v>
      </c>
      <c r="F11" s="4">
        <v>151.55719999999999</v>
      </c>
      <c r="G11" s="4">
        <v>152.06110000000001</v>
      </c>
      <c r="H11" s="62">
        <v>89</v>
      </c>
      <c r="I11" s="6">
        <v>9.4039999999999998E-4</v>
      </c>
      <c r="J11" s="6">
        <v>0.31330000000000002</v>
      </c>
      <c r="K11" s="7">
        <v>86134695.569999993</v>
      </c>
      <c r="L11" s="3">
        <f t="shared" si="1"/>
        <v>3.1529166540755771E-3</v>
      </c>
      <c r="M11" s="4">
        <v>152.43369999999999</v>
      </c>
      <c r="N11" s="4">
        <v>152.9425</v>
      </c>
      <c r="O11" s="62">
        <v>89</v>
      </c>
      <c r="P11" s="6">
        <v>2.833E-3</v>
      </c>
      <c r="Q11" s="6">
        <v>0.32090000000000002</v>
      </c>
      <c r="R11" s="80">
        <f t="shared" si="2"/>
        <v>3.4535223595901581E-3</v>
      </c>
      <c r="S11" s="80">
        <f t="shared" si="3"/>
        <v>5.7963542286619324E-3</v>
      </c>
      <c r="T11" s="80">
        <f t="shared" si="4"/>
        <v>0</v>
      </c>
      <c r="U11" s="81">
        <f t="shared" si="5"/>
        <v>1.8925999999999999E-3</v>
      </c>
      <c r="V11" s="83">
        <f t="shared" si="6"/>
        <v>7.5999999999999956E-3</v>
      </c>
    </row>
    <row r="12" spans="1:25">
      <c r="A12" s="75">
        <v>7</v>
      </c>
      <c r="B12" s="152" t="s">
        <v>26</v>
      </c>
      <c r="C12" s="153" t="s">
        <v>27</v>
      </c>
      <c r="D12" s="4">
        <v>967419759.97000003</v>
      </c>
      <c r="E12" s="3">
        <f t="shared" si="0"/>
        <v>3.6834372319972469E-2</v>
      </c>
      <c r="F12" s="4">
        <v>257.70999999999998</v>
      </c>
      <c r="G12" s="4">
        <v>261.20999999999998</v>
      </c>
      <c r="H12" s="62">
        <v>1621</v>
      </c>
      <c r="I12" s="6">
        <v>-1.24E-2</v>
      </c>
      <c r="J12" s="6">
        <v>3.6299999999999999E-2</v>
      </c>
      <c r="K12" s="4">
        <v>1005861902.1900001</v>
      </c>
      <c r="L12" s="3">
        <f t="shared" si="1"/>
        <v>3.6819062540688452E-2</v>
      </c>
      <c r="M12" s="4">
        <v>269.8</v>
      </c>
      <c r="N12" s="4">
        <v>273.49</v>
      </c>
      <c r="O12" s="62">
        <v>1620</v>
      </c>
      <c r="P12" s="6">
        <v>4.7E-2</v>
      </c>
      <c r="Q12" s="6">
        <v>8.4900000000000003E-2</v>
      </c>
      <c r="R12" s="80">
        <f t="shared" si="2"/>
        <v>3.9736775917407485E-2</v>
      </c>
      <c r="S12" s="80">
        <f t="shared" si="3"/>
        <v>4.7011982695915278E-2</v>
      </c>
      <c r="T12" s="80">
        <f t="shared" si="4"/>
        <v>-6.1690314620604567E-4</v>
      </c>
      <c r="U12" s="81">
        <f t="shared" si="5"/>
        <v>5.9400000000000001E-2</v>
      </c>
      <c r="V12" s="83">
        <f t="shared" si="6"/>
        <v>4.8600000000000004E-2</v>
      </c>
    </row>
    <row r="13" spans="1:25">
      <c r="A13" s="75">
        <v>8</v>
      </c>
      <c r="B13" s="152" t="s">
        <v>28</v>
      </c>
      <c r="C13" s="153" t="s">
        <v>29</v>
      </c>
      <c r="D13" s="2">
        <v>313242018.07999998</v>
      </c>
      <c r="E13" s="3">
        <f t="shared" si="0"/>
        <v>1.1926646113343877E-2</v>
      </c>
      <c r="F13" s="4">
        <v>157.35</v>
      </c>
      <c r="G13" s="4">
        <v>159.61000000000001</v>
      </c>
      <c r="H13" s="60">
        <v>2466</v>
      </c>
      <c r="I13" s="5">
        <v>-2.7200000000000002E-3</v>
      </c>
      <c r="J13" s="5">
        <v>-6.2199999999999998E-2</v>
      </c>
      <c r="K13" s="2">
        <v>318315544.14999998</v>
      </c>
      <c r="L13" s="3">
        <f t="shared" si="1"/>
        <v>1.1651778342747379E-2</v>
      </c>
      <c r="M13" s="4">
        <v>159.9</v>
      </c>
      <c r="N13" s="4">
        <v>162.24</v>
      </c>
      <c r="O13" s="60">
        <v>2466</v>
      </c>
      <c r="P13" s="5">
        <v>-4.7E-2</v>
      </c>
      <c r="Q13" s="5">
        <v>-6.2199999999999998E-2</v>
      </c>
      <c r="R13" s="80">
        <f t="shared" si="2"/>
        <v>1.6196824746239017E-2</v>
      </c>
      <c r="S13" s="80">
        <f t="shared" si="3"/>
        <v>1.6477664306747668E-2</v>
      </c>
      <c r="T13" s="80">
        <f t="shared" si="4"/>
        <v>0</v>
      </c>
      <c r="U13" s="81">
        <f t="shared" si="5"/>
        <v>-4.428E-2</v>
      </c>
      <c r="V13" s="83">
        <f t="shared" si="6"/>
        <v>0</v>
      </c>
    </row>
    <row r="14" spans="1:25">
      <c r="A14" s="75">
        <v>9</v>
      </c>
      <c r="B14" s="152" t="s">
        <v>30</v>
      </c>
      <c r="C14" s="153" t="s">
        <v>31</v>
      </c>
      <c r="D14" s="7">
        <v>50036118.729999997</v>
      </c>
      <c r="E14" s="3">
        <f t="shared" si="0"/>
        <v>1.9051182361670194E-3</v>
      </c>
      <c r="F14" s="4">
        <v>174.65</v>
      </c>
      <c r="G14" s="4">
        <v>179.48</v>
      </c>
      <c r="H14" s="60">
        <v>7</v>
      </c>
      <c r="I14" s="5">
        <v>-2.6100000000000002E-2</v>
      </c>
      <c r="J14" s="5">
        <v>-3.2500000000000001E-2</v>
      </c>
      <c r="K14" s="7">
        <v>49111517.759999998</v>
      </c>
      <c r="L14" s="3">
        <f t="shared" si="1"/>
        <v>1.797702090054911E-3</v>
      </c>
      <c r="M14" s="4">
        <v>175.39</v>
      </c>
      <c r="N14" s="4">
        <v>180.2</v>
      </c>
      <c r="O14" s="60">
        <v>13</v>
      </c>
      <c r="P14" s="5">
        <v>4.1000000000000003E-3</v>
      </c>
      <c r="Q14" s="5">
        <v>-2.8500000000000001E-2</v>
      </c>
      <c r="R14" s="80">
        <f t="shared" si="2"/>
        <v>-1.8478670877516298E-2</v>
      </c>
      <c r="S14" s="80">
        <f t="shared" si="3"/>
        <v>4.0115890349899652E-3</v>
      </c>
      <c r="T14" s="80">
        <f t="shared" si="4"/>
        <v>0.8571428571428571</v>
      </c>
      <c r="U14" s="81">
        <f t="shared" si="5"/>
        <v>3.0200000000000001E-2</v>
      </c>
      <c r="V14" s="83">
        <f t="shared" si="6"/>
        <v>4.0000000000000001E-3</v>
      </c>
    </row>
    <row r="15" spans="1:25" ht="14.25" customHeight="1">
      <c r="A15" s="75">
        <v>10</v>
      </c>
      <c r="B15" s="152" t="s">
        <v>238</v>
      </c>
      <c r="C15" s="153" t="s">
        <v>32</v>
      </c>
      <c r="D15" s="2">
        <v>457927999.39840001</v>
      </c>
      <c r="E15" s="3">
        <f t="shared" si="0"/>
        <v>1.7435544655511129E-2</v>
      </c>
      <c r="F15" s="4">
        <v>1.4583999999999999</v>
      </c>
      <c r="G15" s="4">
        <v>1.5039</v>
      </c>
      <c r="H15" s="60">
        <v>445</v>
      </c>
      <c r="I15" s="5">
        <v>-4.8972937724160559E-2</v>
      </c>
      <c r="J15" s="5">
        <v>-0.13943470820794246</v>
      </c>
      <c r="K15" s="2">
        <v>476163003.54650003</v>
      </c>
      <c r="L15" s="3">
        <f t="shared" si="1"/>
        <v>1.7429704186001666E-2</v>
      </c>
      <c r="M15" s="4">
        <v>1.5159</v>
      </c>
      <c r="N15" s="4">
        <v>1.5637000000000001</v>
      </c>
      <c r="O15" s="60">
        <v>447</v>
      </c>
      <c r="P15" s="5">
        <v>3.9426769061985834E-2</v>
      </c>
      <c r="Q15" s="5">
        <v>-0.10550539918569657</v>
      </c>
      <c r="R15" s="80">
        <f t="shared" si="2"/>
        <v>3.9820679609144101E-2</v>
      </c>
      <c r="S15" s="80">
        <f t="shared" si="3"/>
        <v>3.9763282133120602E-2</v>
      </c>
      <c r="T15" s="80">
        <f t="shared" si="4"/>
        <v>4.4943820224719105E-3</v>
      </c>
      <c r="U15" s="81">
        <f t="shared" si="5"/>
        <v>8.8399706786146393E-2</v>
      </c>
      <c r="V15" s="83">
        <f t="shared" si="6"/>
        <v>3.392930902224589E-2</v>
      </c>
    </row>
    <row r="16" spans="1:25">
      <c r="A16" s="75">
        <v>11</v>
      </c>
      <c r="B16" s="152" t="s">
        <v>33</v>
      </c>
      <c r="C16" s="153" t="s">
        <v>34</v>
      </c>
      <c r="D16" s="2">
        <v>1516641895.1900001</v>
      </c>
      <c r="E16" s="3">
        <f t="shared" si="0"/>
        <v>5.7745928453259522E-2</v>
      </c>
      <c r="F16" s="4">
        <v>3.07</v>
      </c>
      <c r="G16" s="4">
        <v>3.13</v>
      </c>
      <c r="H16" s="60">
        <v>3669</v>
      </c>
      <c r="I16" s="5">
        <v>-2.86E-2</v>
      </c>
      <c r="J16" s="5">
        <v>0.1084</v>
      </c>
      <c r="K16" s="2">
        <v>1549348469.6900001</v>
      </c>
      <c r="L16" s="3">
        <f t="shared" si="1"/>
        <v>5.671311149038883E-2</v>
      </c>
      <c r="M16" s="4">
        <v>3.14</v>
      </c>
      <c r="N16" s="4">
        <v>3.2</v>
      </c>
      <c r="O16" s="60">
        <v>3669</v>
      </c>
      <c r="P16" s="5">
        <v>1.24E-2</v>
      </c>
      <c r="Q16" s="5">
        <v>0.1323</v>
      </c>
      <c r="R16" s="80">
        <f t="shared" si="2"/>
        <v>2.1565126615404901E-2</v>
      </c>
      <c r="S16" s="80">
        <f t="shared" si="3"/>
        <v>2.2364217252396259E-2</v>
      </c>
      <c r="T16" s="80">
        <f t="shared" si="4"/>
        <v>0</v>
      </c>
      <c r="U16" s="81">
        <f t="shared" si="5"/>
        <v>4.1000000000000002E-2</v>
      </c>
      <c r="V16" s="83">
        <f t="shared" si="6"/>
        <v>2.3900000000000005E-2</v>
      </c>
    </row>
    <row r="17" spans="1:22">
      <c r="A17" s="75">
        <v>12</v>
      </c>
      <c r="B17" s="152" t="s">
        <v>35</v>
      </c>
      <c r="C17" s="153" t="s">
        <v>36</v>
      </c>
      <c r="D17" s="4">
        <v>564048340.71000004</v>
      </c>
      <c r="E17" s="3">
        <f t="shared" si="0"/>
        <v>2.1476061837747768E-2</v>
      </c>
      <c r="F17" s="4">
        <v>18.632838</v>
      </c>
      <c r="G17" s="4">
        <v>18.796464</v>
      </c>
      <c r="H17" s="60">
        <v>324</v>
      </c>
      <c r="I17" s="5">
        <v>5.7579970039338679E-3</v>
      </c>
      <c r="J17" s="5">
        <v>6.5971237085084677E-2</v>
      </c>
      <c r="K17" s="4">
        <v>576049440.49000001</v>
      </c>
      <c r="L17" s="3">
        <f t="shared" si="1"/>
        <v>2.1085996327877186E-2</v>
      </c>
      <c r="M17" s="4">
        <v>19.185786</v>
      </c>
      <c r="N17" s="4">
        <v>19.355993000000002</v>
      </c>
      <c r="O17" s="60">
        <v>327</v>
      </c>
      <c r="P17" s="5">
        <v>5.7579970039338679E-3</v>
      </c>
      <c r="Q17" s="5">
        <v>4.4860678976820223E-2</v>
      </c>
      <c r="R17" s="80">
        <f t="shared" si="2"/>
        <v>2.127672207118542E-2</v>
      </c>
      <c r="S17" s="80">
        <f t="shared" si="3"/>
        <v>2.976777972708065E-2</v>
      </c>
      <c r="T17" s="80">
        <f t="shared" si="4"/>
        <v>9.2592592592592587E-3</v>
      </c>
      <c r="U17" s="81">
        <f t="shared" si="5"/>
        <v>0</v>
      </c>
      <c r="V17" s="83">
        <f t="shared" si="6"/>
        <v>-2.1110558108264454E-2</v>
      </c>
    </row>
    <row r="18" spans="1:22">
      <c r="A18" s="75">
        <v>13</v>
      </c>
      <c r="B18" s="152" t="s">
        <v>37</v>
      </c>
      <c r="C18" s="153" t="s">
        <v>38</v>
      </c>
      <c r="D18" s="4">
        <v>325714840.74000001</v>
      </c>
      <c r="E18" s="3">
        <f t="shared" si="0"/>
        <v>1.2401547095058037E-2</v>
      </c>
      <c r="F18" s="4">
        <v>2.3421639999999999</v>
      </c>
      <c r="G18" s="4">
        <v>2.3764470000000002</v>
      </c>
      <c r="H18" s="60">
        <v>20</v>
      </c>
      <c r="I18" s="5">
        <v>-5.6510401094507057E-2</v>
      </c>
      <c r="J18" s="5">
        <v>8.6872428571231204</v>
      </c>
      <c r="K18" s="4">
        <v>331382012.37</v>
      </c>
      <c r="L18" s="3">
        <f t="shared" si="1"/>
        <v>1.2130069755843591E-2</v>
      </c>
      <c r="M18" s="4">
        <v>2.3829150000000001</v>
      </c>
      <c r="N18" s="4">
        <v>2.4168259999999999</v>
      </c>
      <c r="O18" s="60">
        <v>22</v>
      </c>
      <c r="P18" s="5">
        <v>-1.7193619054420899E-2</v>
      </c>
      <c r="Q18" s="5">
        <v>0.105559699068838</v>
      </c>
      <c r="R18" s="80">
        <f t="shared" si="2"/>
        <v>1.7399181496073685E-2</v>
      </c>
      <c r="S18" s="80">
        <f t="shared" si="3"/>
        <v>1.6991332017924118E-2</v>
      </c>
      <c r="T18" s="80">
        <f t="shared" si="4"/>
        <v>0.1</v>
      </c>
      <c r="U18" s="81">
        <f t="shared" si="5"/>
        <v>3.9316782040086158E-2</v>
      </c>
      <c r="V18" s="83">
        <f t="shared" si="6"/>
        <v>-8.5816831580542825</v>
      </c>
    </row>
    <row r="19" spans="1:22">
      <c r="A19" s="75">
        <v>14</v>
      </c>
      <c r="B19" s="152" t="s">
        <v>39</v>
      </c>
      <c r="C19" s="153" t="s">
        <v>40</v>
      </c>
      <c r="D19" s="2">
        <v>1224354978.9300001</v>
      </c>
      <c r="E19" s="3">
        <f t="shared" si="0"/>
        <v>4.6617144916616324E-2</v>
      </c>
      <c r="F19" s="4">
        <v>26.23</v>
      </c>
      <c r="G19" s="4">
        <v>26.81</v>
      </c>
      <c r="H19" s="60">
        <v>8834</v>
      </c>
      <c r="I19" s="5">
        <v>7.4800000000000005E-2</v>
      </c>
      <c r="J19" s="5">
        <v>4.3099999999999999E-2</v>
      </c>
      <c r="K19" s="2">
        <v>1315073028.24</v>
      </c>
      <c r="L19" s="3">
        <f t="shared" si="1"/>
        <v>4.8137578296702371E-2</v>
      </c>
      <c r="M19" s="4">
        <v>24.01</v>
      </c>
      <c r="N19" s="4">
        <v>24.53</v>
      </c>
      <c r="O19" s="60">
        <v>8834</v>
      </c>
      <c r="P19" s="5">
        <v>-1.7999999999999999E-2</v>
      </c>
      <c r="Q19" s="5">
        <v>-4.5499999999999999E-2</v>
      </c>
      <c r="R19" s="80">
        <f t="shared" si="2"/>
        <v>7.4094564788131229E-2</v>
      </c>
      <c r="S19" s="80">
        <f t="shared" si="3"/>
        <v>-8.5042894442372161E-2</v>
      </c>
      <c r="T19" s="80">
        <f t="shared" si="4"/>
        <v>0</v>
      </c>
      <c r="U19" s="81">
        <f t="shared" si="5"/>
        <v>-9.2800000000000007E-2</v>
      </c>
      <c r="V19" s="83">
        <f t="shared" si="6"/>
        <v>-8.8599999999999998E-2</v>
      </c>
    </row>
    <row r="20" spans="1:22" ht="12.75" customHeight="1">
      <c r="A20" s="75">
        <v>15</v>
      </c>
      <c r="B20" s="152" t="s">
        <v>41</v>
      </c>
      <c r="C20" s="153" t="s">
        <v>42</v>
      </c>
      <c r="D20" s="2">
        <v>571943039.52999997</v>
      </c>
      <c r="E20" s="3">
        <f t="shared" si="0"/>
        <v>2.177665139330837E-2</v>
      </c>
      <c r="F20" s="4">
        <v>5491.03</v>
      </c>
      <c r="G20" s="4">
        <v>5555.37</v>
      </c>
      <c r="H20" s="60">
        <v>22</v>
      </c>
      <c r="I20" s="5">
        <v>-9.1000000000000004E-3</v>
      </c>
      <c r="J20" s="5">
        <v>1.9800000000000002E-2</v>
      </c>
      <c r="K20" s="2">
        <v>603177694.38999999</v>
      </c>
      <c r="L20" s="3">
        <f t="shared" si="1"/>
        <v>2.2079012242675299E-2</v>
      </c>
      <c r="M20" s="4">
        <v>5790.35</v>
      </c>
      <c r="N20" s="4">
        <v>5859.14</v>
      </c>
      <c r="O20" s="60">
        <v>22</v>
      </c>
      <c r="P20" s="5">
        <v>5.4699999999999999E-2</v>
      </c>
      <c r="Q20" s="5">
        <v>7.5499999999999998E-2</v>
      </c>
      <c r="R20" s="80">
        <f t="shared" si="2"/>
        <v>5.4611478243825486E-2</v>
      </c>
      <c r="S20" s="80">
        <f t="shared" si="3"/>
        <v>5.4680426326239373E-2</v>
      </c>
      <c r="T20" s="80">
        <f t="shared" si="4"/>
        <v>0</v>
      </c>
      <c r="U20" s="81">
        <f t="shared" si="5"/>
        <v>6.3799999999999996E-2</v>
      </c>
      <c r="V20" s="83">
        <f t="shared" si="6"/>
        <v>5.57E-2</v>
      </c>
    </row>
    <row r="21" spans="1:22">
      <c r="A21" s="75">
        <v>16</v>
      </c>
      <c r="B21" s="152" t="s">
        <v>43</v>
      </c>
      <c r="C21" s="153" t="s">
        <v>42</v>
      </c>
      <c r="D21" s="4">
        <v>10445451806.129999</v>
      </c>
      <c r="E21" s="3">
        <f t="shared" si="0"/>
        <v>0.39770911945116</v>
      </c>
      <c r="F21" s="4">
        <v>17629.02</v>
      </c>
      <c r="G21" s="4">
        <v>17854.47</v>
      </c>
      <c r="H21" s="60">
        <v>17385</v>
      </c>
      <c r="I21" s="5">
        <v>-1.0500000000000001E-2</v>
      </c>
      <c r="J21" s="5">
        <v>-2.7699999999999999E-2</v>
      </c>
      <c r="K21" s="4">
        <v>11050200324.219999</v>
      </c>
      <c r="L21" s="3">
        <f t="shared" si="1"/>
        <v>0.40448695386391065</v>
      </c>
      <c r="M21" s="4">
        <v>18606.310000000001</v>
      </c>
      <c r="N21" s="4">
        <v>18847.650000000001</v>
      </c>
      <c r="O21" s="60">
        <v>17380</v>
      </c>
      <c r="P21" s="5">
        <v>5.5599999999999997E-2</v>
      </c>
      <c r="Q21" s="5">
        <v>2.64E-2</v>
      </c>
      <c r="R21" s="80">
        <f t="shared" si="2"/>
        <v>5.7895869830647109E-2</v>
      </c>
      <c r="S21" s="80">
        <f t="shared" si="3"/>
        <v>5.5626406160474109E-2</v>
      </c>
      <c r="T21" s="80">
        <f t="shared" si="4"/>
        <v>-2.8760425654299681E-4</v>
      </c>
      <c r="U21" s="81">
        <f t="shared" si="5"/>
        <v>6.6099999999999992E-2</v>
      </c>
      <c r="V21" s="83">
        <f t="shared" si="6"/>
        <v>5.4099999999999995E-2</v>
      </c>
    </row>
    <row r="22" spans="1:22">
      <c r="A22" s="75">
        <v>17</v>
      </c>
      <c r="B22" s="153" t="s">
        <v>44</v>
      </c>
      <c r="C22" s="153" t="s">
        <v>45</v>
      </c>
      <c r="D22" s="4">
        <v>2994491567.6500001</v>
      </c>
      <c r="E22" s="3">
        <f t="shared" si="0"/>
        <v>0.11401484844103098</v>
      </c>
      <c r="F22" s="4">
        <v>1.4721</v>
      </c>
      <c r="G22" s="8">
        <v>1.4875</v>
      </c>
      <c r="H22" s="60">
        <v>3770</v>
      </c>
      <c r="I22" s="5">
        <v>-1.18E-2</v>
      </c>
      <c r="J22" s="5">
        <v>8.3199999999999996E-2</v>
      </c>
      <c r="K22" s="4">
        <v>3092718633.3000002</v>
      </c>
      <c r="L22" s="3">
        <f t="shared" si="1"/>
        <v>0.11320739013208576</v>
      </c>
      <c r="M22" s="4">
        <v>1.5222</v>
      </c>
      <c r="N22" s="8">
        <v>1.5375000000000001</v>
      </c>
      <c r="O22" s="60">
        <v>3748</v>
      </c>
      <c r="P22" s="5">
        <v>3.4000000000000002E-2</v>
      </c>
      <c r="Q22" s="5">
        <v>0.12</v>
      </c>
      <c r="R22" s="80">
        <f t="shared" si="2"/>
        <v>3.2802585491027506E-2</v>
      </c>
      <c r="S22" s="80">
        <f t="shared" si="3"/>
        <v>3.3613445378151287E-2</v>
      </c>
      <c r="T22" s="80">
        <f t="shared" si="4"/>
        <v>-5.8355437665782491E-3</v>
      </c>
      <c r="U22" s="81">
        <f t="shared" si="5"/>
        <v>4.58E-2</v>
      </c>
      <c r="V22" s="83">
        <f t="shared" si="6"/>
        <v>3.6799999999999999E-2</v>
      </c>
    </row>
    <row r="23" spans="1:22">
      <c r="A23" s="75"/>
      <c r="B23" s="19"/>
      <c r="C23" s="71" t="s">
        <v>46</v>
      </c>
      <c r="D23" s="58">
        <f>SUM(D6:D22)</f>
        <v>26264049012.868401</v>
      </c>
      <c r="E23" s="100">
        <f>(D23/$D$188)</f>
        <v>9.8655654923941495E-3</v>
      </c>
      <c r="F23" s="30"/>
      <c r="G23" s="31"/>
      <c r="H23" s="65">
        <f>SUM(H6:H22)</f>
        <v>49542</v>
      </c>
      <c r="I23" s="28"/>
      <c r="J23" s="60">
        <v>0</v>
      </c>
      <c r="K23" s="58">
        <f>SUM(K6:K22)</f>
        <v>27319052490.226498</v>
      </c>
      <c r="L23" s="100">
        <f>(K23/$K$188)</f>
        <v>9.9993029164509809E-3</v>
      </c>
      <c r="M23" s="30"/>
      <c r="N23" s="31"/>
      <c r="O23" s="65">
        <f>SUM(O6:O22)</f>
        <v>49526</v>
      </c>
      <c r="P23" s="28"/>
      <c r="Q23" s="65"/>
      <c r="R23" s="80">
        <f t="shared" si="2"/>
        <v>4.0169110133825327E-2</v>
      </c>
      <c r="S23" s="80" t="e">
        <f t="shared" si="3"/>
        <v>#DIV/0!</v>
      </c>
      <c r="T23" s="80">
        <f t="shared" si="4"/>
        <v>-3.2295829800976951E-4</v>
      </c>
      <c r="U23" s="81">
        <f t="shared" si="5"/>
        <v>0</v>
      </c>
      <c r="V23" s="83">
        <f t="shared" si="6"/>
        <v>0</v>
      </c>
    </row>
    <row r="24" spans="1:22" ht="9" customHeight="1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</row>
    <row r="25" spans="1:22" ht="15" customHeight="1">
      <c r="A25" s="165" t="s">
        <v>47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</row>
    <row r="26" spans="1:22">
      <c r="A26" s="75">
        <v>18</v>
      </c>
      <c r="B26" s="152" t="s">
        <v>48</v>
      </c>
      <c r="C26" s="153" t="s">
        <v>17</v>
      </c>
      <c r="D26" s="9">
        <v>906589716.78999996</v>
      </c>
      <c r="E26" s="3">
        <f>(D26/$K$57)</f>
        <v>9.6121247846550552E-4</v>
      </c>
      <c r="F26" s="8">
        <v>100</v>
      </c>
      <c r="G26" s="8">
        <v>100</v>
      </c>
      <c r="H26" s="60">
        <v>773</v>
      </c>
      <c r="I26" s="5">
        <v>0.1472</v>
      </c>
      <c r="J26" s="5">
        <v>0.1472</v>
      </c>
      <c r="K26" s="9">
        <v>931755280.58000004</v>
      </c>
      <c r="L26" s="3">
        <f t="shared" ref="L26:L56" si="12">(K26/$K$57)</f>
        <v>9.8789428777194279E-4</v>
      </c>
      <c r="M26" s="8">
        <v>100</v>
      </c>
      <c r="N26" s="8">
        <v>100</v>
      </c>
      <c r="O26" s="60">
        <v>773</v>
      </c>
      <c r="P26" s="5">
        <v>0.15590000000000001</v>
      </c>
      <c r="Q26" s="5">
        <v>0.15590000000000001</v>
      </c>
      <c r="R26" s="80">
        <f>((K26-D26)/D26)</f>
        <v>2.7758492429304012E-2</v>
      </c>
      <c r="S26" s="80">
        <f>((N26-G26)/G26)</f>
        <v>0</v>
      </c>
      <c r="T26" s="80">
        <f>((O26-H26)/H26)</f>
        <v>0</v>
      </c>
      <c r="U26" s="81">
        <f>P26-I26</f>
        <v>8.7000000000000133E-3</v>
      </c>
      <c r="V26" s="83">
        <f>Q26-J26</f>
        <v>8.7000000000000133E-3</v>
      </c>
    </row>
    <row r="27" spans="1:22">
      <c r="A27" s="75">
        <v>19</v>
      </c>
      <c r="B27" s="152" t="s">
        <v>49</v>
      </c>
      <c r="C27" s="153" t="s">
        <v>50</v>
      </c>
      <c r="D27" s="9">
        <v>5210910709.1999998</v>
      </c>
      <c r="E27" s="3">
        <f t="shared" ref="E27:E56" si="13">(D27/$K$57)</f>
        <v>5.5248722824558574E-3</v>
      </c>
      <c r="F27" s="8">
        <v>100</v>
      </c>
      <c r="G27" s="8">
        <v>100</v>
      </c>
      <c r="H27" s="60">
        <v>1400</v>
      </c>
      <c r="I27" s="5">
        <v>-6.87E-4</v>
      </c>
      <c r="J27" s="5">
        <v>2.6995999999999999E-2</v>
      </c>
      <c r="K27" s="9">
        <v>5289230023.6300001</v>
      </c>
      <c r="L27" s="3">
        <f t="shared" si="12"/>
        <v>5.6079103987512115E-3</v>
      </c>
      <c r="M27" s="8">
        <v>100</v>
      </c>
      <c r="N27" s="8">
        <v>100</v>
      </c>
      <c r="O27" s="60">
        <v>1406</v>
      </c>
      <c r="P27" s="5">
        <v>1.9300000000000001E-3</v>
      </c>
      <c r="Q27" s="5">
        <v>2.8926E-2</v>
      </c>
      <c r="R27" s="80">
        <f t="shared" ref="R27:R57" si="14">((K27-D27)/D27)</f>
        <v>1.5029870746341037E-2</v>
      </c>
      <c r="S27" s="80">
        <f t="shared" ref="S27:S57" si="15">((N27-G27)/G27)</f>
        <v>0</v>
      </c>
      <c r="T27" s="80">
        <f t="shared" ref="T27:T57" si="16">((O27-H27)/H27)</f>
        <v>4.2857142857142859E-3</v>
      </c>
      <c r="U27" s="81">
        <f t="shared" ref="U27:U57" si="17">P27-I27</f>
        <v>2.617E-3</v>
      </c>
      <c r="V27" s="83">
        <f t="shared" ref="V27:V57" si="18">Q27-J27</f>
        <v>1.9300000000000012E-3</v>
      </c>
    </row>
    <row r="28" spans="1:22">
      <c r="A28" s="75">
        <v>20</v>
      </c>
      <c r="B28" s="152" t="s">
        <v>51</v>
      </c>
      <c r="C28" s="153" t="s">
        <v>19</v>
      </c>
      <c r="D28" s="9">
        <v>343336691.33999997</v>
      </c>
      <c r="E28" s="3">
        <f t="shared" si="13"/>
        <v>3.6402300392241539E-4</v>
      </c>
      <c r="F28" s="8">
        <v>100</v>
      </c>
      <c r="G28" s="8">
        <v>100</v>
      </c>
      <c r="H28" s="60">
        <v>1406</v>
      </c>
      <c r="I28" s="5">
        <v>0.14649999999999999</v>
      </c>
      <c r="J28" s="5">
        <v>0.14649999999999999</v>
      </c>
      <c r="K28" s="9">
        <v>341125855.31</v>
      </c>
      <c r="L28" s="3">
        <f t="shared" si="12"/>
        <v>3.6167896323838748E-4</v>
      </c>
      <c r="M28" s="8">
        <v>100</v>
      </c>
      <c r="N28" s="8">
        <v>100</v>
      </c>
      <c r="O28" s="60">
        <v>1414</v>
      </c>
      <c r="P28" s="5">
        <v>0.14799999999999999</v>
      </c>
      <c r="Q28" s="5">
        <v>0.14799999999999999</v>
      </c>
      <c r="R28" s="80">
        <f t="shared" si="14"/>
        <v>-6.4392652628280306E-3</v>
      </c>
      <c r="S28" s="80">
        <f t="shared" si="15"/>
        <v>0</v>
      </c>
      <c r="T28" s="80">
        <f t="shared" si="16"/>
        <v>5.6899004267425323E-3</v>
      </c>
      <c r="U28" s="81">
        <f t="shared" si="17"/>
        <v>1.5000000000000013E-3</v>
      </c>
      <c r="V28" s="83">
        <f t="shared" si="18"/>
        <v>1.5000000000000013E-3</v>
      </c>
    </row>
    <row r="29" spans="1:22">
      <c r="A29" s="75">
        <v>21</v>
      </c>
      <c r="B29" s="152" t="s">
        <v>52</v>
      </c>
      <c r="C29" s="153" t="s">
        <v>21</v>
      </c>
      <c r="D29" s="9">
        <v>85427644504.669998</v>
      </c>
      <c r="E29" s="3">
        <f t="shared" si="13"/>
        <v>9.0574728990473058E-2</v>
      </c>
      <c r="F29" s="8">
        <v>1</v>
      </c>
      <c r="G29" s="8">
        <v>1</v>
      </c>
      <c r="H29" s="60">
        <v>57328</v>
      </c>
      <c r="I29" s="5">
        <v>0.1381</v>
      </c>
      <c r="J29" s="5">
        <v>0.1381</v>
      </c>
      <c r="K29" s="9">
        <v>85931940489.960007</v>
      </c>
      <c r="L29" s="3">
        <f t="shared" si="12"/>
        <v>9.1109409215632833E-2</v>
      </c>
      <c r="M29" s="8">
        <v>1</v>
      </c>
      <c r="N29" s="8">
        <v>1</v>
      </c>
      <c r="O29" s="60">
        <v>57503</v>
      </c>
      <c r="P29" s="5">
        <v>0.1399</v>
      </c>
      <c r="Q29" s="5">
        <v>0.1399</v>
      </c>
      <c r="R29" s="80">
        <f t="shared" si="14"/>
        <v>5.90319431390199E-3</v>
      </c>
      <c r="S29" s="80">
        <f t="shared" si="15"/>
        <v>0</v>
      </c>
      <c r="T29" s="80">
        <f t="shared" si="16"/>
        <v>3.0526095450739603E-3</v>
      </c>
      <c r="U29" s="81">
        <f t="shared" si="17"/>
        <v>1.799999999999996E-3</v>
      </c>
      <c r="V29" s="83">
        <f t="shared" si="18"/>
        <v>1.799999999999996E-3</v>
      </c>
    </row>
    <row r="30" spans="1:22">
      <c r="A30" s="75">
        <v>22</v>
      </c>
      <c r="B30" s="152" t="s">
        <v>53</v>
      </c>
      <c r="C30" s="153" t="s">
        <v>23</v>
      </c>
      <c r="D30" s="9">
        <v>48143116735.089996</v>
      </c>
      <c r="E30" s="3">
        <f t="shared" si="13"/>
        <v>5.1043778349748485E-2</v>
      </c>
      <c r="F30" s="8">
        <v>1</v>
      </c>
      <c r="G30" s="8">
        <v>1</v>
      </c>
      <c r="H30" s="60">
        <v>27286</v>
      </c>
      <c r="I30" s="5">
        <v>0.16669999999999999</v>
      </c>
      <c r="J30" s="5">
        <v>0.16669999999999999</v>
      </c>
      <c r="K30" s="9">
        <v>49978165335.230003</v>
      </c>
      <c r="L30" s="3">
        <f t="shared" si="12"/>
        <v>5.2989390108164017E-2</v>
      </c>
      <c r="M30" s="8">
        <v>1</v>
      </c>
      <c r="N30" s="8">
        <v>1</v>
      </c>
      <c r="O30" s="60">
        <v>27344</v>
      </c>
      <c r="P30" s="5">
        <v>0.17269999999999999</v>
      </c>
      <c r="Q30" s="5">
        <v>0.17269999999999999</v>
      </c>
      <c r="R30" s="80">
        <f t="shared" si="14"/>
        <v>3.8116530972380901E-2</v>
      </c>
      <c r="S30" s="80">
        <f t="shared" si="15"/>
        <v>0</v>
      </c>
      <c r="T30" s="80">
        <f t="shared" si="16"/>
        <v>2.1256321923330645E-3</v>
      </c>
      <c r="U30" s="81">
        <f t="shared" si="17"/>
        <v>6.0000000000000053E-3</v>
      </c>
      <c r="V30" s="83">
        <f t="shared" si="18"/>
        <v>6.0000000000000053E-3</v>
      </c>
    </row>
    <row r="31" spans="1:22" ht="15" customHeight="1">
      <c r="A31" s="75">
        <v>23</v>
      </c>
      <c r="B31" s="152" t="s">
        <v>54</v>
      </c>
      <c r="C31" s="153" t="s">
        <v>40</v>
      </c>
      <c r="D31" s="9">
        <v>8386292588</v>
      </c>
      <c r="E31" s="3">
        <f t="shared" si="13"/>
        <v>8.8915734806592883E-3</v>
      </c>
      <c r="F31" s="8">
        <v>100</v>
      </c>
      <c r="G31" s="8">
        <v>100</v>
      </c>
      <c r="H31" s="60">
        <v>2891</v>
      </c>
      <c r="I31" s="5">
        <v>0.185</v>
      </c>
      <c r="J31" s="5">
        <v>0.185</v>
      </c>
      <c r="K31" s="9">
        <v>8984985202.6900005</v>
      </c>
      <c r="L31" s="3">
        <f t="shared" si="12"/>
        <v>9.5263378082790211E-3</v>
      </c>
      <c r="M31" s="8">
        <v>100</v>
      </c>
      <c r="N31" s="8">
        <v>100</v>
      </c>
      <c r="O31" s="60">
        <v>2891</v>
      </c>
      <c r="P31" s="5">
        <v>0.17510000000000001</v>
      </c>
      <c r="Q31" s="5">
        <v>0.1447</v>
      </c>
      <c r="R31" s="80">
        <f t="shared" si="14"/>
        <v>7.1389426067327247E-2</v>
      </c>
      <c r="S31" s="80">
        <f t="shared" si="15"/>
        <v>0</v>
      </c>
      <c r="T31" s="80">
        <f t="shared" si="16"/>
        <v>0</v>
      </c>
      <c r="U31" s="81">
        <f t="shared" si="17"/>
        <v>-9.8999999999999921E-3</v>
      </c>
      <c r="V31" s="83">
        <f t="shared" si="18"/>
        <v>-4.0300000000000002E-2</v>
      </c>
    </row>
    <row r="32" spans="1:22">
      <c r="A32" s="75">
        <v>24</v>
      </c>
      <c r="B32" s="152" t="s">
        <v>55</v>
      </c>
      <c r="C32" s="153" t="s">
        <v>56</v>
      </c>
      <c r="D32" s="9">
        <v>15868311260.609999</v>
      </c>
      <c r="E32" s="3">
        <f t="shared" si="13"/>
        <v>1.6824389813155302E-2</v>
      </c>
      <c r="F32" s="8">
        <v>100</v>
      </c>
      <c r="G32" s="8">
        <v>100</v>
      </c>
      <c r="H32" s="60">
        <v>2164</v>
      </c>
      <c r="I32" s="5">
        <v>0.183684361594844</v>
      </c>
      <c r="J32" s="5">
        <v>0.183684361594844</v>
      </c>
      <c r="K32" s="9">
        <v>15733204072.299999</v>
      </c>
      <c r="L32" s="3">
        <f t="shared" si="12"/>
        <v>1.6681142307774604E-2</v>
      </c>
      <c r="M32" s="8">
        <v>100</v>
      </c>
      <c r="N32" s="8">
        <v>100</v>
      </c>
      <c r="O32" s="60">
        <v>2183</v>
      </c>
      <c r="P32" s="5">
        <v>0.18636639097523899</v>
      </c>
      <c r="Q32" s="5">
        <v>0.18636639097523899</v>
      </c>
      <c r="R32" s="80">
        <f t="shared" si="14"/>
        <v>-8.5142764148682173E-3</v>
      </c>
      <c r="S32" s="80">
        <f t="shared" si="15"/>
        <v>0</v>
      </c>
      <c r="T32" s="80">
        <f t="shared" si="16"/>
        <v>8.7800369685767099E-3</v>
      </c>
      <c r="U32" s="81">
        <f t="shared" si="17"/>
        <v>2.6820293803949957E-3</v>
      </c>
      <c r="V32" s="83">
        <f t="shared" si="18"/>
        <v>2.6820293803949957E-3</v>
      </c>
    </row>
    <row r="33" spans="1:22">
      <c r="A33" s="75">
        <v>25</v>
      </c>
      <c r="B33" s="152" t="s">
        <v>57</v>
      </c>
      <c r="C33" s="153" t="s">
        <v>58</v>
      </c>
      <c r="D33" s="9">
        <v>6074831364.4399996</v>
      </c>
      <c r="E33" s="3">
        <f t="shared" si="13"/>
        <v>6.4408448539968804E-3</v>
      </c>
      <c r="F33" s="8">
        <v>100</v>
      </c>
      <c r="G33" s="8">
        <v>100</v>
      </c>
      <c r="H33" s="60">
        <v>5915</v>
      </c>
      <c r="I33" s="5">
        <v>0.16470000000000001</v>
      </c>
      <c r="J33" s="5">
        <v>0.16470000000000001</v>
      </c>
      <c r="K33" s="9">
        <v>6074831364.4399996</v>
      </c>
      <c r="L33" s="3">
        <f t="shared" si="12"/>
        <v>6.4408448539968804E-3</v>
      </c>
      <c r="M33" s="8">
        <v>100</v>
      </c>
      <c r="N33" s="8">
        <v>100</v>
      </c>
      <c r="O33" s="60">
        <v>5927</v>
      </c>
      <c r="P33" s="5">
        <v>0.15329999999999999</v>
      </c>
      <c r="Q33" s="5">
        <v>0.15329999999999999</v>
      </c>
      <c r="R33" s="80">
        <f t="shared" si="14"/>
        <v>0</v>
      </c>
      <c r="S33" s="80">
        <f t="shared" si="15"/>
        <v>0</v>
      </c>
      <c r="T33" s="80">
        <f t="shared" si="16"/>
        <v>2.0287404902789518E-3</v>
      </c>
      <c r="U33" s="81">
        <f t="shared" si="17"/>
        <v>-1.1400000000000021E-2</v>
      </c>
      <c r="V33" s="83">
        <f t="shared" si="18"/>
        <v>-1.1400000000000021E-2</v>
      </c>
    </row>
    <row r="34" spans="1:22">
      <c r="A34" s="75">
        <v>26</v>
      </c>
      <c r="B34" s="152" t="s">
        <v>59</v>
      </c>
      <c r="C34" s="153" t="s">
        <v>60</v>
      </c>
      <c r="D34" s="9">
        <v>44514190.369999997</v>
      </c>
      <c r="E34" s="3">
        <f t="shared" si="13"/>
        <v>4.7196206244135282E-5</v>
      </c>
      <c r="F34" s="8">
        <v>100</v>
      </c>
      <c r="G34" s="8">
        <v>100</v>
      </c>
      <c r="H34" s="60">
        <v>0</v>
      </c>
      <c r="I34" s="5">
        <v>0</v>
      </c>
      <c r="J34" s="5">
        <v>0</v>
      </c>
      <c r="K34" s="9">
        <v>44514190.369999997</v>
      </c>
      <c r="L34" s="3">
        <f t="shared" si="12"/>
        <v>4.7196206244135282E-5</v>
      </c>
      <c r="M34" s="8">
        <v>100</v>
      </c>
      <c r="N34" s="8">
        <v>100</v>
      </c>
      <c r="O34" s="60">
        <v>0</v>
      </c>
      <c r="P34" s="5">
        <v>0</v>
      </c>
      <c r="Q34" s="5">
        <v>0</v>
      </c>
      <c r="R34" s="80">
        <f t="shared" si="14"/>
        <v>0</v>
      </c>
      <c r="S34" s="80">
        <f t="shared" si="15"/>
        <v>0</v>
      </c>
      <c r="T34" s="80" t="e">
        <f t="shared" si="16"/>
        <v>#DIV/0!</v>
      </c>
      <c r="U34" s="81">
        <f t="shared" si="17"/>
        <v>0</v>
      </c>
      <c r="V34" s="83">
        <f t="shared" si="18"/>
        <v>0</v>
      </c>
    </row>
    <row r="35" spans="1:22">
      <c r="A35" s="75">
        <v>27</v>
      </c>
      <c r="B35" s="152" t="s">
        <v>61</v>
      </c>
      <c r="C35" s="153" t="s">
        <v>62</v>
      </c>
      <c r="D35" s="9">
        <v>5139620090.2299995</v>
      </c>
      <c r="E35" s="3">
        <f t="shared" si="13"/>
        <v>5.4492863461911879E-3</v>
      </c>
      <c r="F35" s="8">
        <v>1</v>
      </c>
      <c r="G35" s="8">
        <v>1</v>
      </c>
      <c r="H35" s="60">
        <v>2207</v>
      </c>
      <c r="I35" s="5">
        <v>0.16370000000000001</v>
      </c>
      <c r="J35" s="5">
        <v>0.16370000000000001</v>
      </c>
      <c r="K35" s="9">
        <v>5154773942.5699997</v>
      </c>
      <c r="L35" s="3">
        <f t="shared" si="12"/>
        <v>5.465353230357497E-3</v>
      </c>
      <c r="M35" s="8">
        <v>1</v>
      </c>
      <c r="N35" s="8">
        <v>1</v>
      </c>
      <c r="O35" s="60">
        <v>2228</v>
      </c>
      <c r="P35" s="5">
        <v>0.1673</v>
      </c>
      <c r="Q35" s="5">
        <v>0.1673</v>
      </c>
      <c r="R35" s="80">
        <f t="shared" si="14"/>
        <v>2.9484382257759468E-3</v>
      </c>
      <c r="S35" s="80">
        <f t="shared" si="15"/>
        <v>0</v>
      </c>
      <c r="T35" s="80">
        <f t="shared" si="16"/>
        <v>9.5151789759854999E-3</v>
      </c>
      <c r="U35" s="81">
        <f t="shared" si="17"/>
        <v>3.5999999999999921E-3</v>
      </c>
      <c r="V35" s="83">
        <f t="shared" si="18"/>
        <v>3.5999999999999921E-3</v>
      </c>
    </row>
    <row r="36" spans="1:22">
      <c r="A36" s="75">
        <v>28</v>
      </c>
      <c r="B36" s="152" t="s">
        <v>63</v>
      </c>
      <c r="C36" s="153" t="s">
        <v>64</v>
      </c>
      <c r="D36" s="9">
        <v>12784169109.209999</v>
      </c>
      <c r="E36" s="3">
        <f t="shared" si="13"/>
        <v>1.355442560952004E-2</v>
      </c>
      <c r="F36" s="11">
        <v>100</v>
      </c>
      <c r="G36" s="11">
        <v>100</v>
      </c>
      <c r="H36" s="60">
        <v>2669</v>
      </c>
      <c r="I36" s="5">
        <v>0.15260000000000001</v>
      </c>
      <c r="J36" s="5">
        <v>0.15260000000000001</v>
      </c>
      <c r="K36" s="9">
        <v>12784169109.209999</v>
      </c>
      <c r="L36" s="3">
        <f t="shared" si="12"/>
        <v>1.355442560952004E-2</v>
      </c>
      <c r="M36" s="11">
        <v>100</v>
      </c>
      <c r="N36" s="11">
        <v>100</v>
      </c>
      <c r="O36" s="60">
        <v>2669</v>
      </c>
      <c r="P36" s="5">
        <v>2.5000000000000001E-3</v>
      </c>
      <c r="Q36" s="5">
        <v>3.78E-2</v>
      </c>
      <c r="R36" s="80">
        <f t="shared" si="14"/>
        <v>0</v>
      </c>
      <c r="S36" s="80">
        <f t="shared" si="15"/>
        <v>0</v>
      </c>
      <c r="T36" s="80">
        <f t="shared" si="16"/>
        <v>0</v>
      </c>
      <c r="U36" s="81">
        <f t="shared" si="17"/>
        <v>-0.15010000000000001</v>
      </c>
      <c r="V36" s="83">
        <f t="shared" si="18"/>
        <v>-0.11480000000000001</v>
      </c>
    </row>
    <row r="37" spans="1:22">
      <c r="A37" s="75">
        <v>29</v>
      </c>
      <c r="B37" s="152" t="s">
        <v>65</v>
      </c>
      <c r="C37" s="153" t="s">
        <v>64</v>
      </c>
      <c r="D37" s="9">
        <v>588244331.45000005</v>
      </c>
      <c r="E37" s="3">
        <f t="shared" si="13"/>
        <v>6.2368652688712663E-4</v>
      </c>
      <c r="F37" s="11">
        <v>1000000</v>
      </c>
      <c r="G37" s="11">
        <v>1000000</v>
      </c>
      <c r="H37" s="60">
        <v>6</v>
      </c>
      <c r="I37" s="5">
        <v>0.14779999999999999</v>
      </c>
      <c r="J37" s="5">
        <v>0.14779999999999999</v>
      </c>
      <c r="K37" s="9">
        <v>588244331.45000005</v>
      </c>
      <c r="L37" s="3">
        <f t="shared" si="12"/>
        <v>6.2368652688712663E-4</v>
      </c>
      <c r="M37" s="11">
        <v>1000000</v>
      </c>
      <c r="N37" s="11">
        <v>1000000</v>
      </c>
      <c r="O37" s="60">
        <v>6</v>
      </c>
      <c r="P37" s="5">
        <v>2.3999999999999998E-3</v>
      </c>
      <c r="Q37" s="5">
        <v>3.4700000000000002E-2</v>
      </c>
      <c r="R37" s="80">
        <f t="shared" si="14"/>
        <v>0</v>
      </c>
      <c r="S37" s="80">
        <f t="shared" si="15"/>
        <v>0</v>
      </c>
      <c r="T37" s="80">
        <f t="shared" si="16"/>
        <v>0</v>
      </c>
      <c r="U37" s="81">
        <f t="shared" si="17"/>
        <v>-0.14539999999999997</v>
      </c>
      <c r="V37" s="83">
        <f t="shared" si="18"/>
        <v>-0.11309999999999998</v>
      </c>
    </row>
    <row r="38" spans="1:22">
      <c r="A38" s="75">
        <v>30</v>
      </c>
      <c r="B38" s="152" t="s">
        <v>66</v>
      </c>
      <c r="C38" s="153" t="s">
        <v>67</v>
      </c>
      <c r="D38" s="9">
        <v>3474160455.1500001</v>
      </c>
      <c r="E38" s="3">
        <f t="shared" si="13"/>
        <v>3.6834814247679267E-3</v>
      </c>
      <c r="F38" s="8">
        <v>1</v>
      </c>
      <c r="G38" s="8">
        <v>1</v>
      </c>
      <c r="H38" s="60">
        <v>494</v>
      </c>
      <c r="I38" s="5">
        <v>0.1794</v>
      </c>
      <c r="J38" s="5">
        <v>0.1794</v>
      </c>
      <c r="K38" s="9">
        <v>3446946090.1599998</v>
      </c>
      <c r="L38" s="3">
        <f t="shared" si="12"/>
        <v>3.6546273723366629E-3</v>
      </c>
      <c r="M38" s="8">
        <v>1</v>
      </c>
      <c r="N38" s="8">
        <v>1</v>
      </c>
      <c r="O38" s="60">
        <v>501</v>
      </c>
      <c r="P38" s="5">
        <v>0.17929999999999999</v>
      </c>
      <c r="Q38" s="5">
        <v>0.17929999999999999</v>
      </c>
      <c r="R38" s="80">
        <f t="shared" si="14"/>
        <v>-7.8333644462674195E-3</v>
      </c>
      <c r="S38" s="80">
        <f t="shared" si="15"/>
        <v>0</v>
      </c>
      <c r="T38" s="80">
        <f t="shared" si="16"/>
        <v>1.417004048582996E-2</v>
      </c>
      <c r="U38" s="81">
        <f t="shared" si="17"/>
        <v>-1.0000000000001674E-4</v>
      </c>
      <c r="V38" s="83">
        <f t="shared" si="18"/>
        <v>-1.0000000000001674E-4</v>
      </c>
    </row>
    <row r="39" spans="1:22">
      <c r="A39" s="75">
        <v>31</v>
      </c>
      <c r="B39" s="152" t="s">
        <v>68</v>
      </c>
      <c r="C39" s="153" t="s">
        <v>27</v>
      </c>
      <c r="D39" s="9">
        <v>209055317734.85999</v>
      </c>
      <c r="E39" s="3">
        <f t="shared" si="13"/>
        <v>0.22165106924863262</v>
      </c>
      <c r="F39" s="8">
        <v>100</v>
      </c>
      <c r="G39" s="8">
        <v>100</v>
      </c>
      <c r="H39" s="60">
        <v>14865</v>
      </c>
      <c r="I39" s="5">
        <v>0.1757</v>
      </c>
      <c r="J39" s="5">
        <v>0.1757</v>
      </c>
      <c r="K39" s="9">
        <v>209218610982.87</v>
      </c>
      <c r="L39" s="3">
        <f t="shared" si="12"/>
        <v>0.2218242010465446</v>
      </c>
      <c r="M39" s="8">
        <v>100</v>
      </c>
      <c r="N39" s="8">
        <v>100</v>
      </c>
      <c r="O39" s="60">
        <v>14889</v>
      </c>
      <c r="P39" s="5">
        <v>0.17899999999999999</v>
      </c>
      <c r="Q39" s="5">
        <v>0.17899999999999999</v>
      </c>
      <c r="R39" s="80">
        <f t="shared" si="14"/>
        <v>7.8110066646145217E-4</v>
      </c>
      <c r="S39" s="80">
        <f t="shared" si="15"/>
        <v>0</v>
      </c>
      <c r="T39" s="80">
        <f t="shared" si="16"/>
        <v>1.6145307769929364E-3</v>
      </c>
      <c r="U39" s="81">
        <f t="shared" si="17"/>
        <v>3.2999999999999974E-3</v>
      </c>
      <c r="V39" s="83">
        <f t="shared" si="18"/>
        <v>3.2999999999999974E-3</v>
      </c>
    </row>
    <row r="40" spans="1:22">
      <c r="A40" s="75">
        <v>32</v>
      </c>
      <c r="B40" s="152" t="s">
        <v>69</v>
      </c>
      <c r="C40" s="153" t="s">
        <v>70</v>
      </c>
      <c r="D40" s="9">
        <v>293586426.75</v>
      </c>
      <c r="E40" s="3">
        <f t="shared" si="13"/>
        <v>3.1127524576320218E-4</v>
      </c>
      <c r="F40" s="8">
        <v>1</v>
      </c>
      <c r="G40" s="8">
        <v>1</v>
      </c>
      <c r="H40" s="61">
        <v>499</v>
      </c>
      <c r="I40" s="12">
        <v>0.14230000000000001</v>
      </c>
      <c r="J40" s="12">
        <v>0.14230000000000001</v>
      </c>
      <c r="K40" s="9">
        <v>334587879.13999999</v>
      </c>
      <c r="L40" s="3">
        <f t="shared" si="12"/>
        <v>3.5474706873073138E-4</v>
      </c>
      <c r="M40" s="8">
        <v>1</v>
      </c>
      <c r="N40" s="8">
        <v>1</v>
      </c>
      <c r="O40" s="61">
        <v>510</v>
      </c>
      <c r="P40" s="12">
        <v>0.14169999999999999</v>
      </c>
      <c r="Q40" s="12">
        <v>0.41389999999999999</v>
      </c>
      <c r="R40" s="80">
        <f t="shared" si="14"/>
        <v>0.13965717980863701</v>
      </c>
      <c r="S40" s="80">
        <f t="shared" si="15"/>
        <v>0</v>
      </c>
      <c r="T40" s="80">
        <f t="shared" si="16"/>
        <v>2.2044088176352707E-2</v>
      </c>
      <c r="U40" s="81">
        <f t="shared" si="17"/>
        <v>-6.0000000000001719E-4</v>
      </c>
      <c r="V40" s="83">
        <f t="shared" si="18"/>
        <v>0.27159999999999995</v>
      </c>
    </row>
    <row r="41" spans="1:22">
      <c r="A41" s="75">
        <v>33</v>
      </c>
      <c r="B41" s="152" t="s">
        <v>71</v>
      </c>
      <c r="C41" s="153" t="s">
        <v>72</v>
      </c>
      <c r="D41" s="9">
        <v>677251277.59000003</v>
      </c>
      <c r="E41" s="3">
        <f t="shared" si="13"/>
        <v>7.1805621332345841E-4</v>
      </c>
      <c r="F41" s="8">
        <v>10</v>
      </c>
      <c r="G41" s="8">
        <v>10</v>
      </c>
      <c r="H41" s="60">
        <v>360</v>
      </c>
      <c r="I41" s="5">
        <v>7.2700000000000001E-2</v>
      </c>
      <c r="J41" s="5">
        <v>7.2700000000000001E-2</v>
      </c>
      <c r="K41" s="9">
        <v>700434035.12</v>
      </c>
      <c r="L41" s="3">
        <f t="shared" si="12"/>
        <v>7.4263575069343488E-4</v>
      </c>
      <c r="M41" s="8">
        <v>10</v>
      </c>
      <c r="N41" s="8">
        <v>10</v>
      </c>
      <c r="O41" s="60">
        <v>359</v>
      </c>
      <c r="P41" s="5">
        <v>0.1031</v>
      </c>
      <c r="Q41" s="5">
        <v>0.1031</v>
      </c>
      <c r="R41" s="80">
        <f t="shared" si="14"/>
        <v>3.4230658984499604E-2</v>
      </c>
      <c r="S41" s="80">
        <f t="shared" si="15"/>
        <v>0</v>
      </c>
      <c r="T41" s="80">
        <f t="shared" si="16"/>
        <v>-2.7777777777777779E-3</v>
      </c>
      <c r="U41" s="81">
        <f t="shared" si="17"/>
        <v>3.0399999999999996E-2</v>
      </c>
      <c r="V41" s="83">
        <f t="shared" si="18"/>
        <v>3.0399999999999996E-2</v>
      </c>
    </row>
    <row r="42" spans="1:22">
      <c r="A42" s="75">
        <v>34</v>
      </c>
      <c r="B42" s="152" t="s">
        <v>73</v>
      </c>
      <c r="C42" s="153" t="s">
        <v>74</v>
      </c>
      <c r="D42" s="9">
        <v>3139768192.7399998</v>
      </c>
      <c r="E42" s="3">
        <f t="shared" si="13"/>
        <v>3.3289417588329585E-3</v>
      </c>
      <c r="F42" s="8">
        <v>100</v>
      </c>
      <c r="G42" s="8">
        <v>100</v>
      </c>
      <c r="H42" s="60">
        <v>1417</v>
      </c>
      <c r="I42" s="5">
        <v>0.13780000000000001</v>
      </c>
      <c r="J42" s="5">
        <v>0.13780000000000001</v>
      </c>
      <c r="K42" s="9">
        <v>3114089249.46</v>
      </c>
      <c r="L42" s="3">
        <f t="shared" si="12"/>
        <v>3.3017156385081662E-3</v>
      </c>
      <c r="M42" s="8">
        <v>100</v>
      </c>
      <c r="N42" s="8">
        <v>100</v>
      </c>
      <c r="O42" s="60">
        <v>686</v>
      </c>
      <c r="P42" s="5">
        <v>0.14050000000000001</v>
      </c>
      <c r="Q42" s="5">
        <v>0.14050000000000001</v>
      </c>
      <c r="R42" s="80">
        <f t="shared" si="14"/>
        <v>-8.1786111915447945E-3</v>
      </c>
      <c r="S42" s="80">
        <f t="shared" si="15"/>
        <v>0</v>
      </c>
      <c r="T42" s="80">
        <f t="shared" si="16"/>
        <v>-0.51587861679604796</v>
      </c>
      <c r="U42" s="81">
        <f t="shared" si="17"/>
        <v>2.7000000000000079E-3</v>
      </c>
      <c r="V42" s="83">
        <f t="shared" si="18"/>
        <v>2.7000000000000079E-3</v>
      </c>
    </row>
    <row r="43" spans="1:22" ht="15.75" customHeight="1">
      <c r="A43" s="75">
        <v>35</v>
      </c>
      <c r="B43" s="152" t="s">
        <v>239</v>
      </c>
      <c r="C43" s="153" t="s">
        <v>32</v>
      </c>
      <c r="D43" s="9">
        <v>20945265775.502899</v>
      </c>
      <c r="E43" s="3">
        <f t="shared" si="13"/>
        <v>2.2207234932550408E-2</v>
      </c>
      <c r="F43" s="8">
        <v>1</v>
      </c>
      <c r="G43" s="8">
        <v>1</v>
      </c>
      <c r="H43" s="60">
        <v>11853</v>
      </c>
      <c r="I43" s="5">
        <v>0.1702814333786794</v>
      </c>
      <c r="J43" s="5">
        <v>0.1702814333786794</v>
      </c>
      <c r="K43" s="9">
        <v>21455066119.5891</v>
      </c>
      <c r="L43" s="3">
        <f t="shared" si="12"/>
        <v>2.2747751158563562E-2</v>
      </c>
      <c r="M43" s="8">
        <v>1</v>
      </c>
      <c r="N43" s="8">
        <v>1</v>
      </c>
      <c r="O43" s="60">
        <v>11894</v>
      </c>
      <c r="P43" s="5">
        <v>0.1681</v>
      </c>
      <c r="Q43" s="5">
        <v>0.1681</v>
      </c>
      <c r="R43" s="80">
        <f t="shared" si="14"/>
        <v>2.4339645509891379E-2</v>
      </c>
      <c r="S43" s="80">
        <f t="shared" si="15"/>
        <v>0</v>
      </c>
      <c r="T43" s="80">
        <f t="shared" si="16"/>
        <v>3.4590399055091539E-3</v>
      </c>
      <c r="U43" s="81">
        <f t="shared" si="17"/>
        <v>-2.1814333786794038E-3</v>
      </c>
      <c r="V43" s="83">
        <f t="shared" si="18"/>
        <v>-2.1814333786794038E-3</v>
      </c>
    </row>
    <row r="44" spans="1:22">
      <c r="A44" s="75">
        <v>36</v>
      </c>
      <c r="B44" s="152" t="s">
        <v>75</v>
      </c>
      <c r="C44" s="153" t="s">
        <v>34</v>
      </c>
      <c r="D44" s="9">
        <v>3259713433.3099999</v>
      </c>
      <c r="E44" s="3">
        <f t="shared" si="13"/>
        <v>3.4561137968929681E-3</v>
      </c>
      <c r="F44" s="8">
        <v>1</v>
      </c>
      <c r="G44" s="8">
        <v>1</v>
      </c>
      <c r="H44" s="60">
        <v>876</v>
      </c>
      <c r="I44" s="5">
        <v>0.1187</v>
      </c>
      <c r="J44" s="5">
        <v>0.1187</v>
      </c>
      <c r="K44" s="9">
        <v>3342535752.3899999</v>
      </c>
      <c r="L44" s="3">
        <f t="shared" si="12"/>
        <v>3.543926227500526E-3</v>
      </c>
      <c r="M44" s="8">
        <v>1</v>
      </c>
      <c r="N44" s="8">
        <v>1</v>
      </c>
      <c r="O44" s="60">
        <v>889</v>
      </c>
      <c r="P44" s="5">
        <v>0.12470000000000001</v>
      </c>
      <c r="Q44" s="5">
        <v>0.12470000000000001</v>
      </c>
      <c r="R44" s="80">
        <f t="shared" si="14"/>
        <v>2.5407852798857822E-2</v>
      </c>
      <c r="S44" s="80">
        <f t="shared" si="15"/>
        <v>0</v>
      </c>
      <c r="T44" s="80">
        <f t="shared" si="16"/>
        <v>1.4840182648401826E-2</v>
      </c>
      <c r="U44" s="81">
        <f t="shared" si="17"/>
        <v>6.0000000000000053E-3</v>
      </c>
      <c r="V44" s="83">
        <f t="shared" si="18"/>
        <v>6.0000000000000053E-3</v>
      </c>
    </row>
    <row r="45" spans="1:22">
      <c r="A45" s="75">
        <v>37</v>
      </c>
      <c r="B45" s="152" t="s">
        <v>76</v>
      </c>
      <c r="C45" s="153" t="s">
        <v>36</v>
      </c>
      <c r="D45" s="13">
        <v>4588751610.8900003</v>
      </c>
      <c r="E45" s="3">
        <f t="shared" si="13"/>
        <v>4.8652275966503773E-3</v>
      </c>
      <c r="F45" s="8">
        <v>10</v>
      </c>
      <c r="G45" s="8">
        <v>10</v>
      </c>
      <c r="H45" s="60">
        <v>1985</v>
      </c>
      <c r="I45" s="5">
        <v>0.1865</v>
      </c>
      <c r="J45" s="5">
        <v>0.1865</v>
      </c>
      <c r="K45" s="13">
        <v>4610380920.04</v>
      </c>
      <c r="L45" s="3">
        <f t="shared" si="12"/>
        <v>4.8881600891224749E-3</v>
      </c>
      <c r="M45" s="8">
        <v>10</v>
      </c>
      <c r="N45" s="8">
        <v>10</v>
      </c>
      <c r="O45" s="60">
        <v>2012</v>
      </c>
      <c r="P45" s="5">
        <v>0.18679999999999999</v>
      </c>
      <c r="Q45" s="5">
        <v>0.18679999999999999</v>
      </c>
      <c r="R45" s="80">
        <f t="shared" si="14"/>
        <v>4.7135497808748371E-3</v>
      </c>
      <c r="S45" s="80">
        <f t="shared" si="15"/>
        <v>0</v>
      </c>
      <c r="T45" s="80">
        <f t="shared" si="16"/>
        <v>1.3602015113350126E-2</v>
      </c>
      <c r="U45" s="81">
        <f t="shared" si="17"/>
        <v>2.9999999999999472E-4</v>
      </c>
      <c r="V45" s="83">
        <f t="shared" si="18"/>
        <v>2.9999999999999472E-4</v>
      </c>
    </row>
    <row r="46" spans="1:22">
      <c r="A46" s="75">
        <v>38</v>
      </c>
      <c r="B46" s="152" t="s">
        <v>77</v>
      </c>
      <c r="C46" s="153" t="s">
        <v>78</v>
      </c>
      <c r="D46" s="9">
        <v>4212426090.25</v>
      </c>
      <c r="E46" s="3">
        <f t="shared" si="13"/>
        <v>4.4662281598544422E-3</v>
      </c>
      <c r="F46" s="8">
        <v>100</v>
      </c>
      <c r="G46" s="8">
        <v>100</v>
      </c>
      <c r="H46" s="60">
        <v>2155</v>
      </c>
      <c r="I46" s="5">
        <v>0.18149999999999999</v>
      </c>
      <c r="J46" s="5">
        <v>0.18149999999999999</v>
      </c>
      <c r="K46" s="9">
        <v>4304665809.9099998</v>
      </c>
      <c r="L46" s="3">
        <f t="shared" si="12"/>
        <v>4.5640253970228506E-3</v>
      </c>
      <c r="M46" s="8">
        <v>100</v>
      </c>
      <c r="N46" s="8">
        <v>100</v>
      </c>
      <c r="O46" s="60">
        <v>2182</v>
      </c>
      <c r="P46" s="5">
        <v>0.18090000000000001</v>
      </c>
      <c r="Q46" s="5">
        <v>0.18090000000000001</v>
      </c>
      <c r="R46" s="80">
        <f t="shared" si="14"/>
        <v>2.1897053546766344E-2</v>
      </c>
      <c r="S46" s="80">
        <f t="shared" si="15"/>
        <v>0</v>
      </c>
      <c r="T46" s="80">
        <f t="shared" si="16"/>
        <v>1.2529002320185615E-2</v>
      </c>
      <c r="U46" s="81">
        <f t="shared" si="17"/>
        <v>-5.9999999999998943E-4</v>
      </c>
      <c r="V46" s="83">
        <f t="shared" si="18"/>
        <v>-5.9999999999998943E-4</v>
      </c>
    </row>
    <row r="47" spans="1:22">
      <c r="A47" s="75">
        <v>39</v>
      </c>
      <c r="B47" s="152" t="s">
        <v>79</v>
      </c>
      <c r="C47" s="153" t="s">
        <v>80</v>
      </c>
      <c r="D47" s="9">
        <v>155702983.37</v>
      </c>
      <c r="E47" s="3">
        <f t="shared" si="13"/>
        <v>1.6508421370525956E-4</v>
      </c>
      <c r="F47" s="8">
        <v>1</v>
      </c>
      <c r="G47" s="8">
        <v>1</v>
      </c>
      <c r="H47" s="60">
        <v>73</v>
      </c>
      <c r="I47" s="5">
        <v>0.12609999999999999</v>
      </c>
      <c r="J47" s="5">
        <v>0.12609999999999999</v>
      </c>
      <c r="K47" s="9">
        <v>155702983.37</v>
      </c>
      <c r="L47" s="3">
        <f t="shared" si="12"/>
        <v>1.6508421370525956E-4</v>
      </c>
      <c r="M47" s="8">
        <v>1</v>
      </c>
      <c r="N47" s="8">
        <v>1</v>
      </c>
      <c r="O47" s="60">
        <v>73</v>
      </c>
      <c r="P47" s="5">
        <v>0.12609999999999999</v>
      </c>
      <c r="Q47" s="5">
        <v>0.12609999999999999</v>
      </c>
      <c r="R47" s="80">
        <f t="shared" si="14"/>
        <v>0</v>
      </c>
      <c r="S47" s="80">
        <f t="shared" si="15"/>
        <v>0</v>
      </c>
      <c r="T47" s="80">
        <f t="shared" si="16"/>
        <v>0</v>
      </c>
      <c r="U47" s="81">
        <f t="shared" si="17"/>
        <v>0</v>
      </c>
      <c r="V47" s="83">
        <f t="shared" si="18"/>
        <v>0</v>
      </c>
    </row>
    <row r="48" spans="1:22">
      <c r="A48" s="75">
        <v>40</v>
      </c>
      <c r="B48" s="152" t="s">
        <v>81</v>
      </c>
      <c r="C48" s="153" t="s">
        <v>38</v>
      </c>
      <c r="D48" s="13">
        <v>689392863.24000001</v>
      </c>
      <c r="E48" s="3">
        <f t="shared" si="13"/>
        <v>7.3092933930205483E-4</v>
      </c>
      <c r="F48" s="8">
        <v>10</v>
      </c>
      <c r="G48" s="8">
        <v>10</v>
      </c>
      <c r="H48" s="60">
        <v>652</v>
      </c>
      <c r="I48" s="5">
        <v>0</v>
      </c>
      <c r="J48" s="5">
        <v>0</v>
      </c>
      <c r="K48" s="13">
        <v>718290427.78999996</v>
      </c>
      <c r="L48" s="3">
        <f t="shared" si="12"/>
        <v>7.6156800542444649E-4</v>
      </c>
      <c r="M48" s="8">
        <v>10</v>
      </c>
      <c r="N48" s="8">
        <v>10</v>
      </c>
      <c r="O48" s="60">
        <v>670</v>
      </c>
      <c r="P48" s="5">
        <v>0</v>
      </c>
      <c r="Q48" s="5">
        <v>0</v>
      </c>
      <c r="R48" s="80">
        <f t="shared" si="14"/>
        <v>4.1917411813907582E-2</v>
      </c>
      <c r="S48" s="80">
        <f t="shared" si="15"/>
        <v>0</v>
      </c>
      <c r="T48" s="80">
        <f t="shared" si="16"/>
        <v>2.7607361963190184E-2</v>
      </c>
      <c r="U48" s="81">
        <f t="shared" si="17"/>
        <v>0</v>
      </c>
      <c r="V48" s="83">
        <f t="shared" si="18"/>
        <v>0</v>
      </c>
    </row>
    <row r="49" spans="1:22">
      <c r="A49" s="75">
        <v>41</v>
      </c>
      <c r="B49" s="152" t="s">
        <v>247</v>
      </c>
      <c r="C49" s="153" t="s">
        <v>248</v>
      </c>
      <c r="D49" s="13">
        <v>584715791.54999995</v>
      </c>
      <c r="E49" s="3">
        <f t="shared" si="13"/>
        <v>6.1994538961209497E-4</v>
      </c>
      <c r="F49" s="8">
        <v>1</v>
      </c>
      <c r="G49" s="8">
        <v>1</v>
      </c>
      <c r="H49" s="60">
        <v>40</v>
      </c>
      <c r="I49" s="5">
        <v>0.18559999999999999</v>
      </c>
      <c r="J49" s="5">
        <v>0.18559999999999999</v>
      </c>
      <c r="K49" s="13">
        <v>584910714.44000006</v>
      </c>
      <c r="L49" s="3">
        <f t="shared" si="12"/>
        <v>6.2015205676343879E-4</v>
      </c>
      <c r="M49" s="8">
        <v>1</v>
      </c>
      <c r="N49" s="8">
        <v>1</v>
      </c>
      <c r="O49" s="60">
        <v>40</v>
      </c>
      <c r="P49" s="5">
        <v>0.188</v>
      </c>
      <c r="Q49" s="5">
        <v>0.188</v>
      </c>
      <c r="R49" s="80">
        <f t="shared" si="14"/>
        <v>3.3336347814960074E-4</v>
      </c>
      <c r="S49" s="80">
        <f t="shared" si="15"/>
        <v>0</v>
      </c>
      <c r="T49" s="80">
        <f t="shared" si="16"/>
        <v>0</v>
      </c>
      <c r="U49" s="81">
        <f t="shared" si="17"/>
        <v>2.4000000000000132E-3</v>
      </c>
      <c r="V49" s="83">
        <f t="shared" si="18"/>
        <v>2.4000000000000132E-3</v>
      </c>
    </row>
    <row r="50" spans="1:22">
      <c r="A50" s="75">
        <v>42</v>
      </c>
      <c r="B50" s="152" t="s">
        <v>82</v>
      </c>
      <c r="C50" s="153" t="s">
        <v>42</v>
      </c>
      <c r="D50" s="9">
        <v>422023524443.09003</v>
      </c>
      <c r="E50" s="3">
        <f t="shared" si="13"/>
        <v>0.44745078218734646</v>
      </c>
      <c r="F50" s="8">
        <v>100</v>
      </c>
      <c r="G50" s="8">
        <v>100</v>
      </c>
      <c r="H50" s="60">
        <v>118833</v>
      </c>
      <c r="I50" s="5">
        <v>0.17249999999999999</v>
      </c>
      <c r="J50" s="5">
        <v>0.17249999999999999</v>
      </c>
      <c r="K50" s="9">
        <v>431257210093.28003</v>
      </c>
      <c r="L50" s="3">
        <f t="shared" si="12"/>
        <v>0.45724080484568469</v>
      </c>
      <c r="M50" s="8">
        <v>100</v>
      </c>
      <c r="N50" s="8">
        <v>100</v>
      </c>
      <c r="O50" s="60">
        <v>119471</v>
      </c>
      <c r="P50" s="5">
        <v>0.17560000000000001</v>
      </c>
      <c r="Q50" s="5">
        <v>0.17560000000000001</v>
      </c>
      <c r="R50" s="80">
        <f t="shared" si="14"/>
        <v>2.1879552004535632E-2</v>
      </c>
      <c r="S50" s="80">
        <f t="shared" si="15"/>
        <v>0</v>
      </c>
      <c r="T50" s="80">
        <f t="shared" si="16"/>
        <v>5.368879015088401E-3</v>
      </c>
      <c r="U50" s="81">
        <f t="shared" si="17"/>
        <v>3.1000000000000194E-3</v>
      </c>
      <c r="V50" s="83">
        <f t="shared" si="18"/>
        <v>3.1000000000000194E-3</v>
      </c>
    </row>
    <row r="51" spans="1:22">
      <c r="A51" s="75">
        <v>43</v>
      </c>
      <c r="B51" s="152" t="s">
        <v>83</v>
      </c>
      <c r="C51" s="153" t="s">
        <v>84</v>
      </c>
      <c r="D51" s="9">
        <v>2954349068.1100001</v>
      </c>
      <c r="E51" s="3">
        <f t="shared" si="13"/>
        <v>3.1323509823882809E-3</v>
      </c>
      <c r="F51" s="8">
        <v>1</v>
      </c>
      <c r="G51" s="8">
        <v>1</v>
      </c>
      <c r="H51" s="60">
        <v>333</v>
      </c>
      <c r="I51" s="5">
        <v>0.1609000491</v>
      </c>
      <c r="J51" s="5">
        <v>0.1609000491</v>
      </c>
      <c r="K51" s="9">
        <v>2995329210.79</v>
      </c>
      <c r="L51" s="3">
        <f t="shared" si="12"/>
        <v>3.1758002117185944E-3</v>
      </c>
      <c r="M51" s="8">
        <v>1</v>
      </c>
      <c r="N51" s="8">
        <v>1</v>
      </c>
      <c r="O51" s="60">
        <v>332</v>
      </c>
      <c r="P51" s="5">
        <v>0.1670516142</v>
      </c>
      <c r="Q51" s="5">
        <v>0.1670516142</v>
      </c>
      <c r="R51" s="80">
        <f t="shared" si="14"/>
        <v>1.3871124141134835E-2</v>
      </c>
      <c r="S51" s="80">
        <f t="shared" si="15"/>
        <v>0</v>
      </c>
      <c r="T51" s="80">
        <f t="shared" si="16"/>
        <v>-3.003003003003003E-3</v>
      </c>
      <c r="U51" s="81">
        <f t="shared" si="17"/>
        <v>6.151565100000006E-3</v>
      </c>
      <c r="V51" s="83">
        <f t="shared" si="18"/>
        <v>6.151565100000006E-3</v>
      </c>
    </row>
    <row r="52" spans="1:22">
      <c r="A52" s="75">
        <v>44</v>
      </c>
      <c r="B52" s="152" t="s">
        <v>85</v>
      </c>
      <c r="C52" s="153" t="s">
        <v>45</v>
      </c>
      <c r="D52" s="9">
        <v>34634867883.889999</v>
      </c>
      <c r="E52" s="3">
        <f t="shared" si="13"/>
        <v>3.672164660975389E-2</v>
      </c>
      <c r="F52" s="8">
        <v>1</v>
      </c>
      <c r="G52" s="8">
        <v>1</v>
      </c>
      <c r="H52" s="60">
        <v>21494</v>
      </c>
      <c r="I52" s="5">
        <v>0.15579999999999999</v>
      </c>
      <c r="J52" s="5">
        <v>0.15579999999999999</v>
      </c>
      <c r="K52" s="9">
        <v>34609476161.410004</v>
      </c>
      <c r="L52" s="3">
        <f t="shared" si="12"/>
        <v>3.669472501551397E-2</v>
      </c>
      <c r="M52" s="8">
        <v>1</v>
      </c>
      <c r="N52" s="8">
        <v>1</v>
      </c>
      <c r="O52" s="60">
        <v>21621</v>
      </c>
      <c r="P52" s="5">
        <v>0.159</v>
      </c>
      <c r="Q52" s="5">
        <v>0.159</v>
      </c>
      <c r="R52" s="80">
        <f t="shared" si="14"/>
        <v>-7.3312600946303557E-4</v>
      </c>
      <c r="S52" s="80">
        <f t="shared" si="15"/>
        <v>0</v>
      </c>
      <c r="T52" s="80">
        <f t="shared" si="16"/>
        <v>5.9086256629757141E-3</v>
      </c>
      <c r="U52" s="81">
        <f t="shared" si="17"/>
        <v>3.2000000000000084E-3</v>
      </c>
      <c r="V52" s="83">
        <f t="shared" si="18"/>
        <v>3.2000000000000084E-3</v>
      </c>
    </row>
    <row r="53" spans="1:22">
      <c r="A53" s="75">
        <v>45</v>
      </c>
      <c r="B53" s="152" t="s">
        <v>86</v>
      </c>
      <c r="C53" s="153" t="s">
        <v>87</v>
      </c>
      <c r="D53" s="9">
        <v>1301034528.8099999</v>
      </c>
      <c r="E53" s="3">
        <f t="shared" si="13"/>
        <v>1.3794229085617789E-3</v>
      </c>
      <c r="F53" s="8">
        <v>1</v>
      </c>
      <c r="G53" s="8">
        <v>1</v>
      </c>
      <c r="H53" s="60">
        <v>81</v>
      </c>
      <c r="I53" s="5">
        <v>0.13220000000000001</v>
      </c>
      <c r="J53" s="5">
        <v>0.13220000000000001</v>
      </c>
      <c r="K53" s="9">
        <v>1305098986.96</v>
      </c>
      <c r="L53" s="3">
        <f t="shared" si="12"/>
        <v>1.3837322535936352E-3</v>
      </c>
      <c r="M53" s="8">
        <v>1</v>
      </c>
      <c r="N53" s="8">
        <v>1</v>
      </c>
      <c r="O53" s="60">
        <v>83</v>
      </c>
      <c r="P53" s="5">
        <v>0.1363</v>
      </c>
      <c r="Q53" s="5">
        <v>0.1363</v>
      </c>
      <c r="R53" s="80">
        <f t="shared" si="14"/>
        <v>3.1240202008456144E-3</v>
      </c>
      <c r="S53" s="80">
        <f t="shared" si="15"/>
        <v>0</v>
      </c>
      <c r="T53" s="80">
        <f t="shared" si="16"/>
        <v>2.4691358024691357E-2</v>
      </c>
      <c r="U53" s="81">
        <f t="shared" si="17"/>
        <v>4.0999999999999925E-3</v>
      </c>
      <c r="V53" s="83">
        <f t="shared" si="18"/>
        <v>4.0999999999999925E-3</v>
      </c>
    </row>
    <row r="54" spans="1:22">
      <c r="A54" s="75">
        <v>46</v>
      </c>
      <c r="B54" s="152" t="s">
        <v>88</v>
      </c>
      <c r="C54" s="153" t="s">
        <v>89</v>
      </c>
      <c r="D54" s="9">
        <v>895856202.71000004</v>
      </c>
      <c r="E54" s="3">
        <f t="shared" si="13"/>
        <v>9.4983226150472679E-4</v>
      </c>
      <c r="F54" s="8">
        <v>1</v>
      </c>
      <c r="G54" s="8">
        <v>1</v>
      </c>
      <c r="H54" s="60">
        <v>209</v>
      </c>
      <c r="I54" s="5">
        <v>0.14799999999999999</v>
      </c>
      <c r="J54" s="5">
        <v>0.14799999999999999</v>
      </c>
      <c r="K54" s="9">
        <v>966598729.57000005</v>
      </c>
      <c r="L54" s="3">
        <f t="shared" si="12"/>
        <v>1.0248370826676876E-3</v>
      </c>
      <c r="M54" s="8">
        <v>1</v>
      </c>
      <c r="N54" s="8">
        <v>1</v>
      </c>
      <c r="O54" s="60">
        <v>212</v>
      </c>
      <c r="P54" s="5">
        <v>0.1704</v>
      </c>
      <c r="Q54" s="5">
        <v>0.1704</v>
      </c>
      <c r="R54" s="80">
        <f t="shared" si="14"/>
        <v>7.8966386174478792E-2</v>
      </c>
      <c r="S54" s="80">
        <f t="shared" si="15"/>
        <v>0</v>
      </c>
      <c r="T54" s="80">
        <f t="shared" si="16"/>
        <v>1.4354066985645933E-2</v>
      </c>
      <c r="U54" s="81">
        <f t="shared" si="17"/>
        <v>2.2400000000000003E-2</v>
      </c>
      <c r="V54" s="83">
        <f t="shared" si="18"/>
        <v>2.2400000000000003E-2</v>
      </c>
    </row>
    <row r="55" spans="1:22">
      <c r="A55" s="75">
        <v>47</v>
      </c>
      <c r="B55" s="152" t="s">
        <v>260</v>
      </c>
      <c r="C55" s="153" t="s">
        <v>261</v>
      </c>
      <c r="D55" s="9">
        <v>585313764</v>
      </c>
      <c r="E55" s="3">
        <f t="shared" si="13"/>
        <v>6.2057939038452127E-4</v>
      </c>
      <c r="F55" s="8">
        <v>1</v>
      </c>
      <c r="G55" s="8">
        <v>1</v>
      </c>
      <c r="H55" s="60">
        <v>558</v>
      </c>
      <c r="I55" s="5">
        <v>0.1537</v>
      </c>
      <c r="J55" s="5">
        <v>0.1537</v>
      </c>
      <c r="K55" s="9">
        <v>612461945.66999996</v>
      </c>
      <c r="L55" s="3">
        <f t="shared" si="12"/>
        <v>6.4936327189737226E-4</v>
      </c>
      <c r="M55" s="8">
        <v>1</v>
      </c>
      <c r="N55" s="8">
        <v>1</v>
      </c>
      <c r="O55" s="60">
        <v>598</v>
      </c>
      <c r="P55" s="5">
        <v>0.1484</v>
      </c>
      <c r="Q55" s="5">
        <v>0.1484</v>
      </c>
      <c r="R55" s="80">
        <f t="shared" si="14"/>
        <v>4.6382271082215584E-2</v>
      </c>
      <c r="S55" s="80">
        <f t="shared" si="15"/>
        <v>0</v>
      </c>
      <c r="T55" s="80">
        <f t="shared" si="16"/>
        <v>7.1684587813620068E-2</v>
      </c>
      <c r="U55" s="81">
        <f t="shared" si="17"/>
        <v>-5.2999999999999992E-3</v>
      </c>
      <c r="V55" s="83">
        <f t="shared" si="18"/>
        <v>-5.2999999999999992E-3</v>
      </c>
    </row>
    <row r="56" spans="1:22">
      <c r="A56" s="75">
        <v>48</v>
      </c>
      <c r="B56" s="152" t="s">
        <v>90</v>
      </c>
      <c r="C56" s="153" t="s">
        <v>91</v>
      </c>
      <c r="D56" s="9">
        <v>27609580113.459999</v>
      </c>
      <c r="E56" s="3">
        <f t="shared" si="13"/>
        <v>2.9273079584685127E-2</v>
      </c>
      <c r="F56" s="8">
        <v>1</v>
      </c>
      <c r="G56" s="8">
        <v>1</v>
      </c>
      <c r="H56" s="60">
        <v>3392</v>
      </c>
      <c r="I56" s="5">
        <v>0.16220000000000001</v>
      </c>
      <c r="J56" s="5">
        <v>0.16220000000000001</v>
      </c>
      <c r="K56" s="9">
        <v>27603726963.189999</v>
      </c>
      <c r="L56" s="3">
        <f t="shared" si="12"/>
        <v>2.9266873777390311E-2</v>
      </c>
      <c r="M56" s="8">
        <v>1</v>
      </c>
      <c r="N56" s="8">
        <v>1</v>
      </c>
      <c r="O56" s="60">
        <v>3412</v>
      </c>
      <c r="P56" s="5">
        <v>0.1699</v>
      </c>
      <c r="Q56" s="5">
        <v>0.1699</v>
      </c>
      <c r="R56" s="80">
        <f t="shared" si="14"/>
        <v>-2.1199707659251861E-4</v>
      </c>
      <c r="S56" s="80">
        <f t="shared" si="15"/>
        <v>0</v>
      </c>
      <c r="T56" s="80">
        <f t="shared" si="16"/>
        <v>5.89622641509434E-3</v>
      </c>
      <c r="U56" s="81">
        <f t="shared" si="17"/>
        <v>7.6999999999999846E-3</v>
      </c>
      <c r="V56" s="83">
        <f t="shared" si="18"/>
        <v>7.6999999999999846E-3</v>
      </c>
    </row>
    <row r="57" spans="1:22">
      <c r="A57" s="75"/>
      <c r="B57" s="19"/>
      <c r="C57" s="71" t="s">
        <v>46</v>
      </c>
      <c r="D57" s="59">
        <f>SUM(D26:D56)</f>
        <v>929998159930.67285</v>
      </c>
      <c r="E57" s="100">
        <f>(D57/$D$188)</f>
        <v>0.34933523578587278</v>
      </c>
      <c r="F57" s="30"/>
      <c r="G57" s="11"/>
      <c r="H57" s="65">
        <f>SUM(H26:H56)</f>
        <v>284214</v>
      </c>
      <c r="I57" s="32"/>
      <c r="J57" s="32"/>
      <c r="K57" s="59">
        <f>SUM(K26:K56)</f>
        <v>943173062252.88904</v>
      </c>
      <c r="L57" s="100">
        <f>(K57/$K$188)</f>
        <v>0.34521962851666693</v>
      </c>
      <c r="M57" s="30"/>
      <c r="N57" s="11"/>
      <c r="O57" s="65">
        <f>SUM(O26:O56)</f>
        <v>284778</v>
      </c>
      <c r="P57" s="32"/>
      <c r="Q57" s="32"/>
      <c r="R57" s="80">
        <f t="shared" si="14"/>
        <v>1.4166589666369142E-2</v>
      </c>
      <c r="S57" s="80" t="e">
        <f t="shared" si="15"/>
        <v>#DIV/0!</v>
      </c>
      <c r="T57" s="80">
        <f t="shared" si="16"/>
        <v>1.9844201904198949E-3</v>
      </c>
      <c r="U57" s="81">
        <f t="shared" si="17"/>
        <v>0</v>
      </c>
      <c r="V57" s="83">
        <f t="shared" si="18"/>
        <v>0</v>
      </c>
    </row>
    <row r="58" spans="1:22" ht="9" customHeight="1">
      <c r="A58" s="158"/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</row>
    <row r="59" spans="1:22" ht="15" customHeight="1">
      <c r="A59" s="165" t="s">
        <v>92</v>
      </c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</row>
    <row r="60" spans="1:22">
      <c r="A60" s="75">
        <v>49</v>
      </c>
      <c r="B60" s="152" t="s">
        <v>93</v>
      </c>
      <c r="C60" s="153" t="s">
        <v>19</v>
      </c>
      <c r="D60" s="2">
        <v>430022236.35000002</v>
      </c>
      <c r="E60" s="3">
        <f>(D60/$D$94)</f>
        <v>1.6574019458782019E-3</v>
      </c>
      <c r="F60" s="14">
        <v>1.2068000000000001</v>
      </c>
      <c r="G60" s="14">
        <v>1.2068000000000001</v>
      </c>
      <c r="H60" s="60">
        <v>401</v>
      </c>
      <c r="I60" s="5">
        <v>-3.3100000000000002E-4</v>
      </c>
      <c r="J60" s="5">
        <v>-5.7299999999999997E-2</v>
      </c>
      <c r="K60" s="2">
        <v>451431407.42000002</v>
      </c>
      <c r="L60" s="3">
        <f t="shared" ref="L60:L80" si="19">(K60/$K$94)</f>
        <v>1.7545521636339332E-3</v>
      </c>
      <c r="M60" s="14">
        <v>1.2136</v>
      </c>
      <c r="N60" s="14">
        <v>1.2136</v>
      </c>
      <c r="O60" s="60">
        <v>402</v>
      </c>
      <c r="P60" s="5">
        <v>2.147E-3</v>
      </c>
      <c r="Q60" s="5">
        <v>-5.1900000000000002E-2</v>
      </c>
      <c r="R60" s="80">
        <f>((K60-D60)/D60)</f>
        <v>4.9786195364499297E-2</v>
      </c>
      <c r="S60" s="80">
        <f>((N60-G60)/G60)</f>
        <v>5.6347364932051013E-3</v>
      </c>
      <c r="T60" s="80">
        <f>((O60-H60)/H60)</f>
        <v>2.4937655860349127E-3</v>
      </c>
      <c r="U60" s="81">
        <f>P60-I60</f>
        <v>2.4780000000000002E-3</v>
      </c>
      <c r="V60" s="83">
        <f>Q60-J60</f>
        <v>5.3999999999999951E-3</v>
      </c>
    </row>
    <row r="61" spans="1:22">
      <c r="A61" s="75">
        <v>50</v>
      </c>
      <c r="B61" s="152" t="s">
        <v>94</v>
      </c>
      <c r="C61" s="153" t="s">
        <v>21</v>
      </c>
      <c r="D61" s="2">
        <v>1355163891.6700001</v>
      </c>
      <c r="E61" s="3">
        <f>(D61/$D$94)</f>
        <v>5.2231049494139365E-3</v>
      </c>
      <c r="F61" s="14">
        <v>1.1224000000000001</v>
      </c>
      <c r="G61" s="14">
        <v>1.1224000000000001</v>
      </c>
      <c r="H61" s="60">
        <v>610</v>
      </c>
      <c r="I61" s="5">
        <v>0.26219999999999999</v>
      </c>
      <c r="J61" s="5">
        <v>-0.1019</v>
      </c>
      <c r="K61" s="2">
        <v>1375558112.77</v>
      </c>
      <c r="L61" s="3">
        <f t="shared" si="19"/>
        <v>5.3463016159160728E-3</v>
      </c>
      <c r="M61" s="14">
        <v>1.1266</v>
      </c>
      <c r="N61" s="14">
        <v>1.1266</v>
      </c>
      <c r="O61" s="60">
        <v>619</v>
      </c>
      <c r="P61" s="5">
        <v>0.19570000000000001</v>
      </c>
      <c r="Q61" s="5">
        <v>-8.5500000000000007E-2</v>
      </c>
      <c r="R61" s="80">
        <f t="shared" ref="R61:R94" si="20">((K61-D61)/D61)</f>
        <v>1.5049265424913019E-2</v>
      </c>
      <c r="S61" s="80">
        <f t="shared" ref="S61:S94" si="21">((N61-G61)/G61)</f>
        <v>3.7419814682822356E-3</v>
      </c>
      <c r="T61" s="80">
        <f t="shared" ref="T61:T94" si="22">((O61-H61)/H61)</f>
        <v>1.4754098360655738E-2</v>
      </c>
      <c r="U61" s="81">
        <f t="shared" ref="U61:U94" si="23">P61-I61</f>
        <v>-6.6499999999999976E-2</v>
      </c>
      <c r="V61" s="83">
        <f t="shared" ref="V61:V94" si="24">Q61-J61</f>
        <v>1.6399999999999998E-2</v>
      </c>
    </row>
    <row r="62" spans="1:22">
      <c r="A62" s="75">
        <v>51</v>
      </c>
      <c r="B62" s="152" t="s">
        <v>95</v>
      </c>
      <c r="C62" s="153" t="s">
        <v>21</v>
      </c>
      <c r="D62" s="2">
        <v>850826847.75</v>
      </c>
      <c r="E62" s="3">
        <f>(D62/$D$94)</f>
        <v>3.2792771021229691E-3</v>
      </c>
      <c r="F62" s="14">
        <v>1.0341</v>
      </c>
      <c r="G62" s="14">
        <v>1.0341</v>
      </c>
      <c r="H62" s="60">
        <v>153</v>
      </c>
      <c r="I62" s="5">
        <v>0.1115</v>
      </c>
      <c r="J62" s="5">
        <v>-0.1055</v>
      </c>
      <c r="K62" s="2">
        <v>853315210.37</v>
      </c>
      <c r="L62" s="3">
        <f t="shared" si="19"/>
        <v>3.3165305382119445E-3</v>
      </c>
      <c r="M62" s="14">
        <v>1.0364</v>
      </c>
      <c r="N62" s="14">
        <v>1.0364</v>
      </c>
      <c r="O62" s="60">
        <v>161</v>
      </c>
      <c r="P62" s="5">
        <v>0.1163</v>
      </c>
      <c r="Q62" s="5">
        <v>-9.3200000000000005E-2</v>
      </c>
      <c r="R62" s="80">
        <f t="shared" si="20"/>
        <v>2.9246404560228038E-3</v>
      </c>
      <c r="S62" s="80">
        <f t="shared" si="21"/>
        <v>2.2241562711536301E-3</v>
      </c>
      <c r="T62" s="80">
        <f t="shared" si="22"/>
        <v>5.2287581699346407E-2</v>
      </c>
      <c r="U62" s="81">
        <f t="shared" si="23"/>
        <v>4.7999999999999987E-3</v>
      </c>
      <c r="V62" s="83">
        <f t="shared" si="24"/>
        <v>1.2299999999999991E-2</v>
      </c>
    </row>
    <row r="63" spans="1:22">
      <c r="A63" s="75">
        <v>52</v>
      </c>
      <c r="B63" s="152" t="s">
        <v>96</v>
      </c>
      <c r="C63" s="153" t="s">
        <v>97</v>
      </c>
      <c r="D63" s="2">
        <v>260783960.78999999</v>
      </c>
      <c r="E63" s="3">
        <f>(D63/$D$94)</f>
        <v>1.0051197531919691E-3</v>
      </c>
      <c r="F63" s="7">
        <v>1046.99</v>
      </c>
      <c r="G63" s="7">
        <v>1046.99</v>
      </c>
      <c r="H63" s="60">
        <v>113</v>
      </c>
      <c r="I63" s="5">
        <v>8.6999999999999994E-2</v>
      </c>
      <c r="J63" s="5">
        <v>1.5431E-2</v>
      </c>
      <c r="K63" s="2">
        <v>256157235.09</v>
      </c>
      <c r="L63" s="3">
        <f t="shared" si="19"/>
        <v>9.9559140917170855E-4</v>
      </c>
      <c r="M63" s="7">
        <v>1028.4100000000001</v>
      </c>
      <c r="N63" s="7">
        <v>1028.4100000000001</v>
      </c>
      <c r="O63" s="60">
        <v>113</v>
      </c>
      <c r="P63" s="5">
        <v>-1.8262E-2</v>
      </c>
      <c r="Q63" s="5">
        <v>-2E-3</v>
      </c>
      <c r="R63" s="80">
        <f t="shared" si="20"/>
        <v>-1.7741603762685871E-2</v>
      </c>
      <c r="S63" s="80">
        <f t="shared" si="21"/>
        <v>-1.7746110278035059E-2</v>
      </c>
      <c r="T63" s="80">
        <f t="shared" si="22"/>
        <v>0</v>
      </c>
      <c r="U63" s="81">
        <f t="shared" si="23"/>
        <v>-0.10526199999999999</v>
      </c>
      <c r="V63" s="83">
        <f t="shared" si="24"/>
        <v>-1.7431000000000002E-2</v>
      </c>
    </row>
    <row r="64" spans="1:22" ht="15" customHeight="1">
      <c r="A64" s="75">
        <v>53</v>
      </c>
      <c r="B64" s="152" t="s">
        <v>98</v>
      </c>
      <c r="C64" s="153" t="s">
        <v>99</v>
      </c>
      <c r="D64" s="2">
        <v>1748211112.6099999</v>
      </c>
      <c r="E64" s="3">
        <f>(D64/$K$94)</f>
        <v>6.7946703302036735E-3</v>
      </c>
      <c r="F64" s="7">
        <v>1.0482</v>
      </c>
      <c r="G64" s="7">
        <v>1.0482</v>
      </c>
      <c r="H64" s="60">
        <v>842</v>
      </c>
      <c r="I64" s="5">
        <v>3.5000000000000001E-3</v>
      </c>
      <c r="J64" s="5">
        <v>3.0300000000000001E-2</v>
      </c>
      <c r="K64" s="2">
        <v>1762506664.8399999</v>
      </c>
      <c r="L64" s="3">
        <f t="shared" si="19"/>
        <v>6.8502320206027482E-3</v>
      </c>
      <c r="M64" s="7">
        <v>1.0505</v>
      </c>
      <c r="N64" s="7">
        <v>1.0505</v>
      </c>
      <c r="O64" s="60">
        <v>844</v>
      </c>
      <c r="P64" s="5">
        <v>2.2000000000000001E-3</v>
      </c>
      <c r="Q64" s="5">
        <v>3.2500000000000001E-2</v>
      </c>
      <c r="R64" s="80">
        <f t="shared" si="20"/>
        <v>8.1772459440881875E-3</v>
      </c>
      <c r="S64" s="80">
        <f t="shared" si="21"/>
        <v>2.1942377408891134E-3</v>
      </c>
      <c r="T64" s="80">
        <f t="shared" si="22"/>
        <v>2.3752969121140144E-3</v>
      </c>
      <c r="U64" s="81">
        <f t="shared" si="23"/>
        <v>-1.2999999999999999E-3</v>
      </c>
      <c r="V64" s="83">
        <v>7.87</v>
      </c>
    </row>
    <row r="65" spans="1:22">
      <c r="A65" s="75">
        <v>54</v>
      </c>
      <c r="B65" s="152" t="s">
        <v>100</v>
      </c>
      <c r="C65" s="153" t="s">
        <v>101</v>
      </c>
      <c r="D65" s="2">
        <v>406227370.75800693</v>
      </c>
      <c r="E65" s="3">
        <f t="shared" ref="E65:E80" si="25">(D65/$D$94)</f>
        <v>1.5656912081525815E-3</v>
      </c>
      <c r="F65" s="7">
        <v>2.3109999999999999</v>
      </c>
      <c r="G65" s="7">
        <v>2.3109999999999999</v>
      </c>
      <c r="H65" s="60">
        <v>1395</v>
      </c>
      <c r="I65" s="5">
        <v>0.1293</v>
      </c>
      <c r="J65" s="5">
        <v>0.1033</v>
      </c>
      <c r="K65" s="2">
        <v>407256088.07574922</v>
      </c>
      <c r="L65" s="3">
        <f t="shared" si="19"/>
        <v>1.5828585223393568E-3</v>
      </c>
      <c r="M65" s="7">
        <v>2.3169</v>
      </c>
      <c r="N65" s="7">
        <v>2.3169</v>
      </c>
      <c r="O65" s="60">
        <v>1395</v>
      </c>
      <c r="P65" s="5">
        <v>0.13350000000000001</v>
      </c>
      <c r="Q65" s="5">
        <v>0.1053</v>
      </c>
      <c r="R65" s="80">
        <f t="shared" si="20"/>
        <v>2.5323683035506331E-3</v>
      </c>
      <c r="S65" s="80">
        <f t="shared" si="21"/>
        <v>2.5530073561228976E-3</v>
      </c>
      <c r="T65" s="80">
        <f t="shared" si="22"/>
        <v>0</v>
      </c>
      <c r="U65" s="81">
        <f t="shared" si="23"/>
        <v>4.2000000000000093E-3</v>
      </c>
      <c r="V65" s="83">
        <f t="shared" si="24"/>
        <v>2.0000000000000018E-3</v>
      </c>
    </row>
    <row r="66" spans="1:22">
      <c r="A66" s="75">
        <v>55</v>
      </c>
      <c r="B66" s="152" t="s">
        <v>102</v>
      </c>
      <c r="C66" s="153" t="s">
        <v>56</v>
      </c>
      <c r="D66" s="2">
        <v>2642370514.1127501</v>
      </c>
      <c r="E66" s="3">
        <f t="shared" si="25"/>
        <v>1.0184287373123551E-2</v>
      </c>
      <c r="F66" s="2">
        <v>4110.0970488685998</v>
      </c>
      <c r="G66" s="2">
        <v>4110.0970488685998</v>
      </c>
      <c r="H66" s="60">
        <v>1038</v>
      </c>
      <c r="I66" s="5">
        <v>9.8142079080958303E-2</v>
      </c>
      <c r="J66" s="5">
        <v>8.7159475785960353E-2</v>
      </c>
      <c r="K66" s="2">
        <v>2650988002.9126201</v>
      </c>
      <c r="L66" s="3">
        <f t="shared" si="19"/>
        <v>1.0303440699575631E-2</v>
      </c>
      <c r="M66" s="2">
        <v>4117.8488550276697</v>
      </c>
      <c r="N66" s="2">
        <v>4117.8488550276697</v>
      </c>
      <c r="O66" s="60">
        <v>1041</v>
      </c>
      <c r="P66" s="5">
        <v>9.8612932301182829E-2</v>
      </c>
      <c r="Q66" s="5">
        <v>8.7961148242294909E-2</v>
      </c>
      <c r="R66" s="80">
        <f t="shared" si="20"/>
        <v>3.2612719351220801E-3</v>
      </c>
      <c r="S66" s="80">
        <f t="shared" si="21"/>
        <v>1.8860396888204366E-3</v>
      </c>
      <c r="T66" s="80">
        <f t="shared" si="22"/>
        <v>2.8901734104046241E-3</v>
      </c>
      <c r="U66" s="81">
        <f t="shared" si="23"/>
        <v>4.7085322022452636E-4</v>
      </c>
      <c r="V66" s="83">
        <f t="shared" si="24"/>
        <v>8.0167245633455675E-4</v>
      </c>
    </row>
    <row r="67" spans="1:22">
      <c r="A67" s="75">
        <v>56</v>
      </c>
      <c r="B67" s="152" t="s">
        <v>103</v>
      </c>
      <c r="C67" s="153" t="s">
        <v>58</v>
      </c>
      <c r="D67" s="2">
        <v>355663554.82999998</v>
      </c>
      <c r="E67" s="3">
        <f t="shared" si="25"/>
        <v>1.3708069444423288E-3</v>
      </c>
      <c r="F67" s="14">
        <v>111.08</v>
      </c>
      <c r="G67" s="14">
        <v>111.08</v>
      </c>
      <c r="H67" s="60">
        <v>127</v>
      </c>
      <c r="I67" s="5">
        <v>1.9E-3</v>
      </c>
      <c r="J67" s="5">
        <v>0.1067</v>
      </c>
      <c r="K67" s="2">
        <v>350625827.75</v>
      </c>
      <c r="L67" s="3">
        <f t="shared" si="19"/>
        <v>1.3627569872034697E-3</v>
      </c>
      <c r="M67" s="14">
        <v>106.81</v>
      </c>
      <c r="N67" s="14">
        <v>106.81</v>
      </c>
      <c r="O67" s="60">
        <v>127</v>
      </c>
      <c r="P67" s="5">
        <v>2.5000000000000001E-3</v>
      </c>
      <c r="Q67" s="5">
        <v>0.10680000000000001</v>
      </c>
      <c r="R67" s="80">
        <f t="shared" si="20"/>
        <v>-1.4164305033749987E-2</v>
      </c>
      <c r="S67" s="80">
        <f t="shared" si="21"/>
        <v>-3.8440763413755817E-2</v>
      </c>
      <c r="T67" s="80">
        <f t="shared" si="22"/>
        <v>0</v>
      </c>
      <c r="U67" s="81">
        <f t="shared" si="23"/>
        <v>6.0000000000000006E-4</v>
      </c>
      <c r="V67" s="83">
        <f t="shared" si="24"/>
        <v>1.0000000000000286E-4</v>
      </c>
    </row>
    <row r="68" spans="1:22" ht="13.5" customHeight="1">
      <c r="A68" s="75">
        <v>57</v>
      </c>
      <c r="B68" s="152" t="s">
        <v>104</v>
      </c>
      <c r="C68" s="153" t="s">
        <v>105</v>
      </c>
      <c r="D68" s="2">
        <v>316006749.48000002</v>
      </c>
      <c r="E68" s="3">
        <f t="shared" si="25"/>
        <v>1.2179607406918166E-3</v>
      </c>
      <c r="F68" s="14">
        <v>1.3304</v>
      </c>
      <c r="G68" s="14">
        <v>1.3304</v>
      </c>
      <c r="H68" s="60">
        <v>323</v>
      </c>
      <c r="I68" s="5">
        <v>9.5613901957807279E-3</v>
      </c>
      <c r="J68" s="5">
        <v>-2.6563013288813941E-3</v>
      </c>
      <c r="K68" s="2">
        <v>317750000.89999998</v>
      </c>
      <c r="L68" s="3">
        <f t="shared" si="19"/>
        <v>1.2349804253984644E-3</v>
      </c>
      <c r="M68" s="14">
        <v>1.3373999999999999</v>
      </c>
      <c r="N68" s="14">
        <v>1.3373999999999999</v>
      </c>
      <c r="O68" s="60">
        <v>325</v>
      </c>
      <c r="P68" s="5">
        <v>5.2615754660252367E-3</v>
      </c>
      <c r="Q68" s="5">
        <v>2.3612601362464902E-3</v>
      </c>
      <c r="R68" s="80">
        <f t="shared" si="20"/>
        <v>5.5165005901568155E-3</v>
      </c>
      <c r="S68" s="80">
        <f t="shared" si="21"/>
        <v>5.2615754660251769E-3</v>
      </c>
      <c r="T68" s="80">
        <f t="shared" si="22"/>
        <v>6.1919504643962852E-3</v>
      </c>
      <c r="U68" s="81">
        <f t="shared" si="23"/>
        <v>-4.2998147297554912E-3</v>
      </c>
      <c r="V68" s="83">
        <f t="shared" si="24"/>
        <v>5.0175614651278844E-3</v>
      </c>
    </row>
    <row r="69" spans="1:22">
      <c r="A69" s="75">
        <v>58</v>
      </c>
      <c r="B69" s="152" t="s">
        <v>106</v>
      </c>
      <c r="C69" s="153" t="s">
        <v>25</v>
      </c>
      <c r="D69" s="2">
        <v>98213012.920000002</v>
      </c>
      <c r="E69" s="3">
        <f t="shared" si="25"/>
        <v>3.7853493369510721E-4</v>
      </c>
      <c r="F69" s="14">
        <v>116.6134</v>
      </c>
      <c r="G69" s="14">
        <v>116.6134</v>
      </c>
      <c r="H69" s="60">
        <v>108</v>
      </c>
      <c r="I69" s="5">
        <v>3.77E-4</v>
      </c>
      <c r="J69" s="5">
        <v>0.14940000000000001</v>
      </c>
      <c r="K69" s="2">
        <v>98840190.109999999</v>
      </c>
      <c r="L69" s="3">
        <f t="shared" si="19"/>
        <v>3.8415641127544342E-4</v>
      </c>
      <c r="M69" s="14">
        <v>116.93600000000001</v>
      </c>
      <c r="N69" s="14">
        <v>116.93600000000001</v>
      </c>
      <c r="O69" s="60">
        <v>109</v>
      </c>
      <c r="P69" s="5">
        <v>3.77E-4</v>
      </c>
      <c r="Q69" s="5">
        <v>0.14979999999999999</v>
      </c>
      <c r="R69" s="80">
        <f t="shared" si="20"/>
        <v>6.3858868733705229E-3</v>
      </c>
      <c r="S69" s="80">
        <f t="shared" si="21"/>
        <v>2.7664059190453966E-3</v>
      </c>
      <c r="T69" s="80">
        <f t="shared" si="22"/>
        <v>9.2592592592592587E-3</v>
      </c>
      <c r="U69" s="81">
        <f t="shared" si="23"/>
        <v>0</v>
      </c>
      <c r="V69" s="83">
        <f t="shared" si="24"/>
        <v>3.999999999999837E-4</v>
      </c>
    </row>
    <row r="70" spans="1:22">
      <c r="A70" s="75">
        <v>59</v>
      </c>
      <c r="B70" s="152" t="s">
        <v>107</v>
      </c>
      <c r="C70" s="153" t="s">
        <v>108</v>
      </c>
      <c r="D70" s="2">
        <v>1240806699.54</v>
      </c>
      <c r="E70" s="3">
        <f t="shared" si="25"/>
        <v>4.7823467356755099E-3</v>
      </c>
      <c r="F70" s="7">
        <v>1000</v>
      </c>
      <c r="G70" s="7">
        <v>1000</v>
      </c>
      <c r="H70" s="60">
        <v>303</v>
      </c>
      <c r="I70" s="5">
        <v>2.0000000000000001E-4</v>
      </c>
      <c r="J70" s="5">
        <v>0.14419999999999999</v>
      </c>
      <c r="K70" s="2">
        <v>1251783008.45</v>
      </c>
      <c r="L70" s="3">
        <f t="shared" si="19"/>
        <v>4.8652321255812491E-3</v>
      </c>
      <c r="M70" s="7">
        <v>1000</v>
      </c>
      <c r="N70" s="7">
        <v>1000</v>
      </c>
      <c r="O70" s="60">
        <v>308</v>
      </c>
      <c r="P70" s="5">
        <v>1E-4</v>
      </c>
      <c r="Q70" s="5">
        <v>0.14940000000000001</v>
      </c>
      <c r="R70" s="80">
        <f t="shared" si="20"/>
        <v>8.8461070641134478E-3</v>
      </c>
      <c r="S70" s="80">
        <f t="shared" si="21"/>
        <v>0</v>
      </c>
      <c r="T70" s="80">
        <f t="shared" si="22"/>
        <v>1.65016501650165E-2</v>
      </c>
      <c r="U70" s="81">
        <f t="shared" si="23"/>
        <v>-1E-4</v>
      </c>
      <c r="V70" s="83">
        <f t="shared" si="24"/>
        <v>5.2000000000000102E-3</v>
      </c>
    </row>
    <row r="71" spans="1:22">
      <c r="A71" s="75">
        <v>60</v>
      </c>
      <c r="B71" s="152" t="s">
        <v>109</v>
      </c>
      <c r="C71" s="153" t="s">
        <v>64</v>
      </c>
      <c r="D71" s="2">
        <v>215317707.13999999</v>
      </c>
      <c r="E71" s="3">
        <f t="shared" si="25"/>
        <v>8.2988263543053121E-4</v>
      </c>
      <c r="F71" s="7">
        <v>1058.6300000000001</v>
      </c>
      <c r="G71" s="7">
        <v>1068.99</v>
      </c>
      <c r="H71" s="60">
        <v>78</v>
      </c>
      <c r="I71" s="5">
        <v>3.2000000000000002E-3</v>
      </c>
      <c r="J71" s="5">
        <v>5.0000000000000001E-3</v>
      </c>
      <c r="K71" s="2">
        <v>215317707.13999999</v>
      </c>
      <c r="L71" s="3">
        <f t="shared" si="19"/>
        <v>8.3686279404060634E-4</v>
      </c>
      <c r="M71" s="7">
        <v>1058.6300000000001</v>
      </c>
      <c r="N71" s="7">
        <v>1068.99</v>
      </c>
      <c r="O71" s="60">
        <v>78</v>
      </c>
      <c r="P71" s="5">
        <v>3.2000000000000002E-3</v>
      </c>
      <c r="Q71" s="5">
        <v>5.0000000000000001E-3</v>
      </c>
      <c r="R71" s="80">
        <f t="shared" si="20"/>
        <v>0</v>
      </c>
      <c r="S71" s="80">
        <f t="shared" si="21"/>
        <v>0</v>
      </c>
      <c r="T71" s="80">
        <f t="shared" si="22"/>
        <v>0</v>
      </c>
      <c r="U71" s="81">
        <f t="shared" si="23"/>
        <v>0</v>
      </c>
      <c r="V71" s="83">
        <f t="shared" si="24"/>
        <v>0</v>
      </c>
    </row>
    <row r="72" spans="1:22">
      <c r="A72" s="75">
        <v>61</v>
      </c>
      <c r="B72" s="152" t="s">
        <v>110</v>
      </c>
      <c r="C72" s="153" t="s">
        <v>67</v>
      </c>
      <c r="D72" s="2">
        <v>880548278.03999996</v>
      </c>
      <c r="E72" s="3">
        <f t="shared" si="25"/>
        <v>3.3938301466702649E-3</v>
      </c>
      <c r="F72" s="15">
        <v>1.1437999999999999</v>
      </c>
      <c r="G72" s="15">
        <v>1.1437999999999999</v>
      </c>
      <c r="H72" s="60">
        <v>52</v>
      </c>
      <c r="I72" s="5">
        <v>1.6638935108153191E-3</v>
      </c>
      <c r="J72" s="5">
        <v>0.13555445343882111</v>
      </c>
      <c r="K72" s="2">
        <v>883490389.34000003</v>
      </c>
      <c r="L72" s="3">
        <f t="shared" si="19"/>
        <v>3.433810649164874E-3</v>
      </c>
      <c r="M72" s="15">
        <v>1.1472</v>
      </c>
      <c r="N72" s="15">
        <v>1.1472</v>
      </c>
      <c r="O72" s="60">
        <v>53</v>
      </c>
      <c r="P72" s="5">
        <v>2.9725476481903042E-3</v>
      </c>
      <c r="Q72" s="5">
        <v>0.14840545336886479</v>
      </c>
      <c r="R72" s="80">
        <f t="shared" si="20"/>
        <v>3.3412265668713538E-3</v>
      </c>
      <c r="S72" s="80">
        <f t="shared" si="21"/>
        <v>2.9725476481903042E-3</v>
      </c>
      <c r="T72" s="80">
        <f t="shared" si="22"/>
        <v>1.9230769230769232E-2</v>
      </c>
      <c r="U72" s="81">
        <f t="shared" si="23"/>
        <v>1.3086541373749851E-3</v>
      </c>
      <c r="V72" s="83">
        <f t="shared" si="24"/>
        <v>1.2850999930043683E-2</v>
      </c>
    </row>
    <row r="73" spans="1:22">
      <c r="A73" s="75">
        <v>62</v>
      </c>
      <c r="B73" s="152" t="s">
        <v>111</v>
      </c>
      <c r="C73" s="153" t="s">
        <v>27</v>
      </c>
      <c r="D73" s="2">
        <v>51507759757.239998</v>
      </c>
      <c r="E73" s="3">
        <f t="shared" si="25"/>
        <v>0.19852243450032583</v>
      </c>
      <c r="F73" s="15">
        <v>1606.1</v>
      </c>
      <c r="G73" s="15">
        <v>1606.1</v>
      </c>
      <c r="H73" s="60">
        <v>2425</v>
      </c>
      <c r="I73" s="5">
        <v>2.2000000000000001E-3</v>
      </c>
      <c r="J73" s="5">
        <v>3.7900000000000003E-2</v>
      </c>
      <c r="K73" s="2">
        <v>50959864045.809998</v>
      </c>
      <c r="L73" s="3">
        <f t="shared" si="19"/>
        <v>0.19806273611104921</v>
      </c>
      <c r="M73" s="15">
        <v>1610.01</v>
      </c>
      <c r="N73" s="15">
        <v>1610.01</v>
      </c>
      <c r="O73" s="60">
        <v>2421</v>
      </c>
      <c r="P73" s="5">
        <v>2.3999999999999998E-3</v>
      </c>
      <c r="Q73" s="5">
        <v>4.0500000000000001E-2</v>
      </c>
      <c r="R73" s="80">
        <f t="shared" si="20"/>
        <v>-1.0637148926924304E-2</v>
      </c>
      <c r="S73" s="80">
        <f t="shared" si="21"/>
        <v>2.4344685885063708E-3</v>
      </c>
      <c r="T73" s="80">
        <f t="shared" si="22"/>
        <v>-1.6494845360824743E-3</v>
      </c>
      <c r="U73" s="81">
        <f t="shared" si="23"/>
        <v>1.9999999999999966E-4</v>
      </c>
      <c r="V73" s="83">
        <f t="shared" si="24"/>
        <v>2.5999999999999981E-3</v>
      </c>
    </row>
    <row r="74" spans="1:22">
      <c r="A74" s="75">
        <v>63</v>
      </c>
      <c r="B74" s="152" t="s">
        <v>112</v>
      </c>
      <c r="C74" s="153" t="s">
        <v>72</v>
      </c>
      <c r="D74" s="2">
        <v>23895299.116999999</v>
      </c>
      <c r="E74" s="3">
        <f t="shared" si="25"/>
        <v>9.2097831009890454E-5</v>
      </c>
      <c r="F74" s="2">
        <v>0.7288</v>
      </c>
      <c r="G74" s="2">
        <v>0.7288</v>
      </c>
      <c r="H74" s="60">
        <v>746</v>
      </c>
      <c r="I74" s="5">
        <v>2.0999999999999999E-3</v>
      </c>
      <c r="J74" s="5">
        <v>-4.6600000000000003E-2</v>
      </c>
      <c r="K74" s="2">
        <v>23930013.859999999</v>
      </c>
      <c r="L74" s="3">
        <f t="shared" si="19"/>
        <v>9.3007391386018253E-5</v>
      </c>
      <c r="M74" s="2">
        <v>0.7298</v>
      </c>
      <c r="N74" s="2">
        <v>0.7298</v>
      </c>
      <c r="O74" s="60">
        <v>746</v>
      </c>
      <c r="P74" s="5">
        <v>1.4E-3</v>
      </c>
      <c r="Q74" s="5">
        <v>-4.53E-2</v>
      </c>
      <c r="R74" s="80">
        <f t="shared" si="20"/>
        <v>1.4527854549978563E-3</v>
      </c>
      <c r="S74" s="80">
        <f t="shared" si="21"/>
        <v>1.3721185510428113E-3</v>
      </c>
      <c r="T74" s="80">
        <f t="shared" si="22"/>
        <v>0</v>
      </c>
      <c r="U74" s="81">
        <f t="shared" si="23"/>
        <v>-6.9999999999999988E-4</v>
      </c>
      <c r="V74" s="83">
        <f t="shared" si="24"/>
        <v>1.3000000000000025E-3</v>
      </c>
    </row>
    <row r="75" spans="1:22">
      <c r="A75" s="75">
        <v>64</v>
      </c>
      <c r="B75" s="152" t="s">
        <v>251</v>
      </c>
      <c r="C75" s="153" t="s">
        <v>32</v>
      </c>
      <c r="D75" s="2">
        <v>8328421746.6047001</v>
      </c>
      <c r="E75" s="3">
        <f t="shared" si="25"/>
        <v>3.2099601467311334E-2</v>
      </c>
      <c r="F75" s="14">
        <v>1</v>
      </c>
      <c r="G75" s="14">
        <v>1</v>
      </c>
      <c r="H75" s="60">
        <v>5543</v>
      </c>
      <c r="I75" s="5">
        <v>0.06</v>
      </c>
      <c r="J75" s="5">
        <v>0.06</v>
      </c>
      <c r="K75" s="2">
        <v>8329289682.4576998</v>
      </c>
      <c r="L75" s="3">
        <f t="shared" si="19"/>
        <v>3.2372965180717493E-2</v>
      </c>
      <c r="M75" s="14">
        <v>1</v>
      </c>
      <c r="N75" s="14">
        <v>1</v>
      </c>
      <c r="O75" s="60">
        <v>5544</v>
      </c>
      <c r="P75" s="5">
        <v>0.06</v>
      </c>
      <c r="Q75" s="5">
        <v>0.06</v>
      </c>
      <c r="R75" s="80">
        <f>((K75-D75)/D75)</f>
        <v>1.0421372492975923E-4</v>
      </c>
      <c r="S75" s="80">
        <f>((N75-G75)/G75)</f>
        <v>0</v>
      </c>
      <c r="T75" s="80">
        <f>((O75-H75)/H75)</f>
        <v>1.8040772145047808E-4</v>
      </c>
      <c r="U75" s="81">
        <f>P75-I75</f>
        <v>0</v>
      </c>
      <c r="V75" s="83">
        <f>Q75-J75</f>
        <v>0</v>
      </c>
    </row>
    <row r="76" spans="1:22">
      <c r="A76" s="75">
        <v>65</v>
      </c>
      <c r="B76" s="152" t="s">
        <v>113</v>
      </c>
      <c r="C76" s="153" t="s">
        <v>114</v>
      </c>
      <c r="D76" s="2">
        <v>1167799634.0799999</v>
      </c>
      <c r="E76" s="3">
        <f t="shared" si="25"/>
        <v>4.5009611650517244E-3</v>
      </c>
      <c r="F76" s="2">
        <v>221.02219600000001</v>
      </c>
      <c r="G76" s="2">
        <v>222.884184</v>
      </c>
      <c r="H76" s="60">
        <v>488</v>
      </c>
      <c r="I76" s="5">
        <v>1.8E-3</v>
      </c>
      <c r="J76" s="5">
        <v>8.0399999999999999E-2</v>
      </c>
      <c r="K76" s="157">
        <v>1224686988.1099999</v>
      </c>
      <c r="L76" s="3">
        <f t="shared" si="19"/>
        <v>4.7599196011711229E-3</v>
      </c>
      <c r="M76" s="2">
        <v>221.4579</v>
      </c>
      <c r="N76" s="2">
        <v>223.33330000000001</v>
      </c>
      <c r="O76" s="60">
        <v>488</v>
      </c>
      <c r="P76" s="5">
        <v>1.8E-3</v>
      </c>
      <c r="Q76" s="5">
        <v>8.0399999999999999E-2</v>
      </c>
      <c r="R76" s="80">
        <f t="shared" si="20"/>
        <v>4.8713282972396368E-2</v>
      </c>
      <c r="S76" s="80">
        <f t="shared" si="21"/>
        <v>2.0150196031854983E-3</v>
      </c>
      <c r="T76" s="80">
        <f t="shared" si="22"/>
        <v>0</v>
      </c>
      <c r="U76" s="81">
        <f t="shared" si="23"/>
        <v>0</v>
      </c>
      <c r="V76" s="83">
        <f t="shared" si="24"/>
        <v>0</v>
      </c>
    </row>
    <row r="77" spans="1:22">
      <c r="A77" s="75">
        <v>66</v>
      </c>
      <c r="B77" s="152" t="s">
        <v>115</v>
      </c>
      <c r="C77" s="153" t="s">
        <v>34</v>
      </c>
      <c r="D77" s="2">
        <v>1106093887.99</v>
      </c>
      <c r="E77" s="3">
        <f t="shared" si="25"/>
        <v>4.263133408725671E-3</v>
      </c>
      <c r="F77" s="14">
        <v>3.41</v>
      </c>
      <c r="G77" s="14">
        <v>3.41</v>
      </c>
      <c r="H77" s="61">
        <v>773</v>
      </c>
      <c r="I77" s="12">
        <v>1.1999999999999999E-3</v>
      </c>
      <c r="J77" s="12">
        <v>-0.14779999999999999</v>
      </c>
      <c r="K77" s="2">
        <v>1107977608.6199999</v>
      </c>
      <c r="L77" s="3">
        <f t="shared" si="19"/>
        <v>4.3063120520844059E-3</v>
      </c>
      <c r="M77" s="14">
        <v>3.42</v>
      </c>
      <c r="N77" s="14">
        <v>3.42</v>
      </c>
      <c r="O77" s="61">
        <v>773</v>
      </c>
      <c r="P77" s="12">
        <v>1.6999999999999999E-3</v>
      </c>
      <c r="Q77" s="12">
        <v>-0.13469999999999999</v>
      </c>
      <c r="R77" s="80">
        <f t="shared" si="20"/>
        <v>1.703038639353648E-3</v>
      </c>
      <c r="S77" s="80">
        <f t="shared" si="21"/>
        <v>2.9325513196480314E-3</v>
      </c>
      <c r="T77" s="80">
        <f t="shared" si="22"/>
        <v>0</v>
      </c>
      <c r="U77" s="81">
        <f t="shared" si="23"/>
        <v>5.0000000000000001E-4</v>
      </c>
      <c r="V77" s="83">
        <f t="shared" si="24"/>
        <v>1.3100000000000001E-2</v>
      </c>
    </row>
    <row r="78" spans="1:22">
      <c r="A78" s="75">
        <v>67</v>
      </c>
      <c r="B78" s="152" t="s">
        <v>258</v>
      </c>
      <c r="C78" s="153" t="s">
        <v>36</v>
      </c>
      <c r="D78" s="2">
        <v>552451552.81789994</v>
      </c>
      <c r="E78" s="3">
        <f t="shared" si="25"/>
        <v>2.1292719335066581E-3</v>
      </c>
      <c r="F78" s="14">
        <v>105.82</v>
      </c>
      <c r="G78" s="14">
        <v>105.82</v>
      </c>
      <c r="H78" s="61">
        <v>116</v>
      </c>
      <c r="I78" s="12">
        <v>0.14019999999999999</v>
      </c>
      <c r="J78" s="12">
        <v>0.16300000000000001</v>
      </c>
      <c r="K78" s="2">
        <v>562135677.48000002</v>
      </c>
      <c r="L78" s="3">
        <f t="shared" si="19"/>
        <v>2.1848200035863618E-3</v>
      </c>
      <c r="M78" s="14">
        <v>106.68040000000001</v>
      </c>
      <c r="N78" s="14">
        <v>106.68040000000001</v>
      </c>
      <c r="O78" s="61">
        <v>64</v>
      </c>
      <c r="P78" s="12">
        <v>0.14019999999999999</v>
      </c>
      <c r="Q78" s="12">
        <v>0.1598</v>
      </c>
      <c r="R78" s="80">
        <f t="shared" ref="R78" si="26">((K78-D78)/D78)</f>
        <v>1.7529364543739774E-2</v>
      </c>
      <c r="S78" s="80">
        <f t="shared" ref="S78" si="27">((N78-G78)/G78)</f>
        <v>8.1307881307882517E-3</v>
      </c>
      <c r="T78" s="80">
        <f t="shared" ref="T78" si="28">((O78-H78)/H78)</f>
        <v>-0.44827586206896552</v>
      </c>
      <c r="U78" s="81">
        <f t="shared" ref="U78" si="29">P78-I78</f>
        <v>0</v>
      </c>
      <c r="V78" s="83">
        <f t="shared" ref="V78" si="30">Q78-J78</f>
        <v>-3.2000000000000084E-3</v>
      </c>
    </row>
    <row r="79" spans="1:22">
      <c r="A79" s="75">
        <v>68</v>
      </c>
      <c r="B79" s="153" t="s">
        <v>116</v>
      </c>
      <c r="C79" s="155" t="s">
        <v>40</v>
      </c>
      <c r="D79" s="2">
        <v>2569431562.1100001</v>
      </c>
      <c r="E79" s="3">
        <f t="shared" si="25"/>
        <v>9.9031643270090682E-3</v>
      </c>
      <c r="F79" s="14">
        <v>101.85</v>
      </c>
      <c r="G79" s="14">
        <v>101.85</v>
      </c>
      <c r="H79" s="60">
        <v>139</v>
      </c>
      <c r="I79" s="5">
        <v>-2.0000000000000001E-4</v>
      </c>
      <c r="J79" s="5">
        <v>0.1008</v>
      </c>
      <c r="K79" s="2">
        <v>2645707483.3800001</v>
      </c>
      <c r="L79" s="3">
        <f t="shared" si="19"/>
        <v>1.0282917211801442E-2</v>
      </c>
      <c r="M79" s="14">
        <v>102.12</v>
      </c>
      <c r="N79" s="14">
        <v>102.12</v>
      </c>
      <c r="O79" s="60">
        <v>139</v>
      </c>
      <c r="P79" s="5">
        <v>2.2000000000000001E-3</v>
      </c>
      <c r="Q79" s="5">
        <v>0.1028</v>
      </c>
      <c r="R79" s="80">
        <f t="shared" si="20"/>
        <v>2.9685912788960489E-2</v>
      </c>
      <c r="S79" s="80">
        <f t="shared" si="21"/>
        <v>2.6509572901326486E-3</v>
      </c>
      <c r="T79" s="80">
        <f t="shared" si="22"/>
        <v>0</v>
      </c>
      <c r="U79" s="81">
        <f t="shared" si="23"/>
        <v>2.4000000000000002E-3</v>
      </c>
      <c r="V79" s="83">
        <f t="shared" si="24"/>
        <v>2.0000000000000018E-3</v>
      </c>
    </row>
    <row r="80" spans="1:22">
      <c r="A80" s="75">
        <v>69</v>
      </c>
      <c r="B80" s="152" t="s">
        <v>117</v>
      </c>
      <c r="C80" s="153" t="s">
        <v>17</v>
      </c>
      <c r="D80" s="2">
        <v>1235518920.46</v>
      </c>
      <c r="E80" s="3">
        <f t="shared" si="25"/>
        <v>4.7619664515977517E-3</v>
      </c>
      <c r="F80" s="14">
        <v>336.70679999999999</v>
      </c>
      <c r="G80" s="14">
        <v>336.70679999999999</v>
      </c>
      <c r="H80" s="60">
        <v>104</v>
      </c>
      <c r="I80" s="5">
        <v>2.2000000000000001E-3</v>
      </c>
      <c r="J80" s="5">
        <v>2.9700000000000001E-2</v>
      </c>
      <c r="K80" s="2">
        <v>1238465462.9100001</v>
      </c>
      <c r="L80" s="3">
        <f t="shared" si="19"/>
        <v>4.813471596833277E-3</v>
      </c>
      <c r="M80" s="14">
        <v>337.46289999999999</v>
      </c>
      <c r="N80" s="14">
        <v>337.46289999999999</v>
      </c>
      <c r="O80" s="60">
        <v>104</v>
      </c>
      <c r="P80" s="5">
        <v>2.2000000000000001E-3</v>
      </c>
      <c r="Q80" s="5">
        <v>3.1899999999999998E-2</v>
      </c>
      <c r="R80" s="80">
        <f t="shared" si="20"/>
        <v>2.3848622641108653E-3</v>
      </c>
      <c r="S80" s="80">
        <f t="shared" si="21"/>
        <v>2.2455738939635419E-3</v>
      </c>
      <c r="T80" s="80">
        <f t="shared" si="22"/>
        <v>0</v>
      </c>
      <c r="U80" s="81">
        <f t="shared" si="23"/>
        <v>0</v>
      </c>
      <c r="V80" s="83">
        <f t="shared" si="24"/>
        <v>2.1999999999999971E-3</v>
      </c>
    </row>
    <row r="81" spans="1:22">
      <c r="A81" s="75">
        <v>70</v>
      </c>
      <c r="B81" s="152" t="s">
        <v>252</v>
      </c>
      <c r="C81" s="153" t="s">
        <v>78</v>
      </c>
      <c r="D81" s="9">
        <v>1588338053.71</v>
      </c>
      <c r="E81" s="3">
        <f>(D81/$K$57)</f>
        <v>1.6840367025708434E-3</v>
      </c>
      <c r="F81" s="14">
        <v>102.03</v>
      </c>
      <c r="G81" s="14">
        <v>102.03</v>
      </c>
      <c r="H81" s="60">
        <v>359</v>
      </c>
      <c r="I81" s="5">
        <v>2.5999999999999999E-3</v>
      </c>
      <c r="J81" s="5">
        <v>4.2799999999999998E-2</v>
      </c>
      <c r="K81" s="9">
        <v>1584379804.46</v>
      </c>
      <c r="L81" s="3">
        <f>(K81/$K$57)</f>
        <v>1.6798399656108784E-3</v>
      </c>
      <c r="M81" s="14">
        <v>102.31</v>
      </c>
      <c r="N81" s="14">
        <v>102.31</v>
      </c>
      <c r="O81" s="60">
        <v>362</v>
      </c>
      <c r="P81" s="5">
        <v>2.7000000000000001E-3</v>
      </c>
      <c r="Q81" s="5">
        <v>4.5499999999999999E-2</v>
      </c>
      <c r="R81" s="80">
        <f t="shared" si="20"/>
        <v>-2.4920697711387201E-3</v>
      </c>
      <c r="S81" s="80">
        <f t="shared" si="21"/>
        <v>2.7442908948348637E-3</v>
      </c>
      <c r="T81" s="80">
        <f t="shared" si="22"/>
        <v>8.356545961002786E-3</v>
      </c>
      <c r="U81" s="81">
        <f t="shared" si="23"/>
        <v>1.0000000000000026E-4</v>
      </c>
      <c r="V81" s="83">
        <f t="shared" si="24"/>
        <v>2.700000000000001E-3</v>
      </c>
    </row>
    <row r="82" spans="1:22">
      <c r="A82" s="75">
        <v>71</v>
      </c>
      <c r="B82" s="152" t="s">
        <v>118</v>
      </c>
      <c r="C82" s="153" t="s">
        <v>38</v>
      </c>
      <c r="D82" s="2">
        <v>58158219.75</v>
      </c>
      <c r="E82" s="3">
        <f t="shared" ref="E82:E93" si="31">(D82/$D$94)</f>
        <v>2.2415479580922853E-4</v>
      </c>
      <c r="F82" s="2">
        <v>12.674345000000001</v>
      </c>
      <c r="G82" s="2">
        <v>13.001504000000001</v>
      </c>
      <c r="H82" s="60">
        <v>57</v>
      </c>
      <c r="I82" s="5">
        <v>-0.18794129036397086</v>
      </c>
      <c r="J82" s="5">
        <v>17.850000000000001</v>
      </c>
      <c r="K82" s="2">
        <v>56622516.960000001</v>
      </c>
      <c r="L82" s="3">
        <f t="shared" ref="L82:L93" si="32">(K82/$K$94)</f>
        <v>2.2007143944713858E-4</v>
      </c>
      <c r="M82" s="2">
        <v>12.364179999999999</v>
      </c>
      <c r="N82" s="2">
        <v>12.581576999999999</v>
      </c>
      <c r="O82" s="60">
        <v>58</v>
      </c>
      <c r="P82" s="5">
        <v>2.8400000000000002E-2</v>
      </c>
      <c r="Q82" s="5">
        <v>9.2100000000000001E-2</v>
      </c>
      <c r="R82" s="80">
        <f t="shared" si="20"/>
        <v>-2.6405601763626871E-2</v>
      </c>
      <c r="S82" s="80">
        <f t="shared" si="21"/>
        <v>-3.2298340253558454E-2</v>
      </c>
      <c r="T82" s="80">
        <f t="shared" si="22"/>
        <v>1.7543859649122806E-2</v>
      </c>
      <c r="U82" s="81">
        <f t="shared" si="23"/>
        <v>0.21634129036397087</v>
      </c>
      <c r="V82" s="83">
        <f t="shared" si="24"/>
        <v>-17.757900000000003</v>
      </c>
    </row>
    <row r="83" spans="1:22">
      <c r="A83" s="75">
        <v>72</v>
      </c>
      <c r="B83" s="152" t="s">
        <v>236</v>
      </c>
      <c r="C83" s="153" t="s">
        <v>237</v>
      </c>
      <c r="D83" s="2">
        <v>283177486.58999997</v>
      </c>
      <c r="E83" s="3">
        <f t="shared" si="31"/>
        <v>1.0914294137133039E-3</v>
      </c>
      <c r="F83" s="2">
        <v>118.25</v>
      </c>
      <c r="G83" s="2">
        <v>118.25</v>
      </c>
      <c r="H83" s="60">
        <v>83</v>
      </c>
      <c r="I83" s="5">
        <v>0.1469</v>
      </c>
      <c r="J83" s="5">
        <v>0.1905</v>
      </c>
      <c r="K83" s="2">
        <v>283177486.58999997</v>
      </c>
      <c r="L83" s="3">
        <f t="shared" si="32"/>
        <v>1.1006094472435488E-3</v>
      </c>
      <c r="M83" s="2">
        <v>118.25</v>
      </c>
      <c r="N83" s="2">
        <v>118.25</v>
      </c>
      <c r="O83" s="60">
        <v>83</v>
      </c>
      <c r="P83" s="5">
        <v>0.1469</v>
      </c>
      <c r="Q83" s="5">
        <v>0.1905</v>
      </c>
      <c r="R83" s="80">
        <f>((K83-D83)/D83)</f>
        <v>0</v>
      </c>
      <c r="S83" s="80">
        <f>((N83-G83)/G83)</f>
        <v>0</v>
      </c>
      <c r="T83" s="80">
        <f>((O83-H83)/H83)</f>
        <v>0</v>
      </c>
      <c r="U83" s="81">
        <f t="shared" si="23"/>
        <v>0</v>
      </c>
      <c r="V83" s="83">
        <f t="shared" si="24"/>
        <v>0</v>
      </c>
    </row>
    <row r="84" spans="1:22">
      <c r="A84" s="75">
        <v>73</v>
      </c>
      <c r="B84" s="152" t="s">
        <v>119</v>
      </c>
      <c r="C84" s="153" t="s">
        <v>120</v>
      </c>
      <c r="D84" s="2">
        <v>7256463696.2282038</v>
      </c>
      <c r="E84" s="3">
        <f t="shared" si="31"/>
        <v>2.7968035216984318E-2</v>
      </c>
      <c r="F84" s="14">
        <v>1.04</v>
      </c>
      <c r="G84" s="14">
        <v>1.04</v>
      </c>
      <c r="H84" s="60">
        <v>4206</v>
      </c>
      <c r="I84" s="5">
        <v>0.14510000000000001</v>
      </c>
      <c r="J84" s="5">
        <v>0.14510000000000001</v>
      </c>
      <c r="K84" s="2">
        <v>7114598297.6526814</v>
      </c>
      <c r="L84" s="3">
        <f t="shared" si="32"/>
        <v>2.7651894908851594E-2</v>
      </c>
      <c r="M84" s="14">
        <v>1.0423358456496967</v>
      </c>
      <c r="N84" s="14">
        <v>1.0423358456496967</v>
      </c>
      <c r="O84" s="60">
        <v>4238</v>
      </c>
      <c r="P84" s="5">
        <v>0.14510000000000001</v>
      </c>
      <c r="Q84" s="5">
        <v>0.14510000000000001</v>
      </c>
      <c r="R84" s="80">
        <f t="shared" si="20"/>
        <v>-1.9550211303236014E-2</v>
      </c>
      <c r="S84" s="80">
        <f t="shared" si="21"/>
        <v>2.2460054324006619E-3</v>
      </c>
      <c r="T84" s="80">
        <f t="shared" si="22"/>
        <v>7.608178792201617E-3</v>
      </c>
      <c r="U84" s="81">
        <f t="shared" si="23"/>
        <v>0</v>
      </c>
      <c r="V84" s="83">
        <f t="shared" si="24"/>
        <v>0</v>
      </c>
    </row>
    <row r="85" spans="1:22" ht="14.25" customHeight="1">
      <c r="A85" s="75">
        <v>74</v>
      </c>
      <c r="B85" s="152" t="s">
        <v>121</v>
      </c>
      <c r="C85" s="153" t="s">
        <v>42</v>
      </c>
      <c r="D85" s="2">
        <v>16832628914.889999</v>
      </c>
      <c r="E85" s="3">
        <f t="shared" si="31"/>
        <v>6.4876719293830931E-2</v>
      </c>
      <c r="F85" s="2">
        <v>5138.59</v>
      </c>
      <c r="G85" s="2">
        <v>5138.59</v>
      </c>
      <c r="H85" s="60">
        <v>392</v>
      </c>
      <c r="I85" s="5">
        <v>8.9999999999999998E-4</v>
      </c>
      <c r="J85" s="5">
        <v>2.53E-2</v>
      </c>
      <c r="K85" s="2">
        <v>16735749584.18</v>
      </c>
      <c r="L85" s="3">
        <f t="shared" si="32"/>
        <v>6.5045863358903278E-2</v>
      </c>
      <c r="M85" s="2">
        <v>5143.3599999999997</v>
      </c>
      <c r="N85" s="2">
        <v>5143.3599999999997</v>
      </c>
      <c r="O85" s="60">
        <v>392</v>
      </c>
      <c r="P85" s="5">
        <v>8.9999999999999998E-4</v>
      </c>
      <c r="Q85" s="5">
        <v>2.63E-2</v>
      </c>
      <c r="R85" s="80">
        <f t="shared" si="20"/>
        <v>-5.755448611137649E-3</v>
      </c>
      <c r="S85" s="80">
        <f t="shared" si="21"/>
        <v>9.282702064184002E-4</v>
      </c>
      <c r="T85" s="80">
        <f t="shared" si="22"/>
        <v>0</v>
      </c>
      <c r="U85" s="81">
        <f t="shared" si="23"/>
        <v>0</v>
      </c>
      <c r="V85" s="83">
        <f t="shared" si="24"/>
        <v>1.0000000000000009E-3</v>
      </c>
    </row>
    <row r="86" spans="1:22">
      <c r="A86" s="75">
        <v>75</v>
      </c>
      <c r="B86" s="152" t="s">
        <v>122</v>
      </c>
      <c r="C86" s="153" t="s">
        <v>42</v>
      </c>
      <c r="D86" s="2">
        <v>38289115463.220001</v>
      </c>
      <c r="E86" s="3">
        <f t="shared" si="31"/>
        <v>0.14757482081239351</v>
      </c>
      <c r="F86" s="14">
        <v>258.07</v>
      </c>
      <c r="G86" s="14">
        <v>258.07</v>
      </c>
      <c r="H86" s="60">
        <v>6618</v>
      </c>
      <c r="I86" s="5">
        <v>1E-4</v>
      </c>
      <c r="J86" s="5">
        <v>8.8000000000000005E-3</v>
      </c>
      <c r="K86" s="2">
        <v>38377434466.239998</v>
      </c>
      <c r="L86" s="3">
        <f t="shared" si="32"/>
        <v>0.14915933975948187</v>
      </c>
      <c r="M86" s="14">
        <v>258.14</v>
      </c>
      <c r="N86" s="14">
        <v>258.14</v>
      </c>
      <c r="O86" s="60">
        <v>6612</v>
      </c>
      <c r="P86" s="5">
        <v>2.9999999999999997E-4</v>
      </c>
      <c r="Q86" s="5">
        <v>9.1000000000000004E-3</v>
      </c>
      <c r="R86" s="80">
        <f t="shared" si="20"/>
        <v>2.3066347172431985E-3</v>
      </c>
      <c r="S86" s="80">
        <f t="shared" si="21"/>
        <v>2.712442360599573E-4</v>
      </c>
      <c r="T86" s="80">
        <f t="shared" si="22"/>
        <v>-9.0661831368993653E-4</v>
      </c>
      <c r="U86" s="81">
        <f t="shared" si="23"/>
        <v>1.9999999999999998E-4</v>
      </c>
      <c r="V86" s="83">
        <f t="shared" si="24"/>
        <v>2.9999999999999992E-4</v>
      </c>
    </row>
    <row r="87" spans="1:22" ht="12.75" customHeight="1">
      <c r="A87" s="75">
        <v>76</v>
      </c>
      <c r="B87" s="152" t="s">
        <v>123</v>
      </c>
      <c r="C87" s="153" t="s">
        <v>42</v>
      </c>
      <c r="D87" s="2">
        <v>340285469.56999999</v>
      </c>
      <c r="E87" s="3">
        <f t="shared" si="31"/>
        <v>1.3115363619484036E-3</v>
      </c>
      <c r="F87" s="2">
        <v>5497.42</v>
      </c>
      <c r="G87" s="7">
        <v>5518.55</v>
      </c>
      <c r="H87" s="60">
        <v>16</v>
      </c>
      <c r="I87" s="5">
        <v>-6.7999999999999996E-3</v>
      </c>
      <c r="J87" s="5">
        <v>3.95E-2</v>
      </c>
      <c r="K87" s="2">
        <v>347952742.99000001</v>
      </c>
      <c r="L87" s="3">
        <f t="shared" si="32"/>
        <v>1.3523676643248527E-3</v>
      </c>
      <c r="M87" s="2">
        <v>5620.54</v>
      </c>
      <c r="N87" s="7">
        <v>5643.41</v>
      </c>
      <c r="O87" s="60">
        <v>16</v>
      </c>
      <c r="P87" s="5">
        <v>2.2599999999999999E-2</v>
      </c>
      <c r="Q87" s="5">
        <v>6.3E-2</v>
      </c>
      <c r="R87" s="80">
        <f t="shared" si="20"/>
        <v>2.2531886035829646E-2</v>
      </c>
      <c r="S87" s="80">
        <f t="shared" si="21"/>
        <v>2.2625508512199702E-2</v>
      </c>
      <c r="T87" s="80">
        <f t="shared" si="22"/>
        <v>0</v>
      </c>
      <c r="U87" s="81">
        <f t="shared" si="23"/>
        <v>2.9399999999999999E-2</v>
      </c>
      <c r="V87" s="83">
        <f t="shared" si="24"/>
        <v>2.35E-2</v>
      </c>
    </row>
    <row r="88" spans="1:22" ht="12.75" customHeight="1">
      <c r="A88" s="75">
        <v>77</v>
      </c>
      <c r="B88" s="152" t="s">
        <v>124</v>
      </c>
      <c r="C88" s="153" t="s">
        <v>42</v>
      </c>
      <c r="D88" s="2">
        <v>16124039639.049999</v>
      </c>
      <c r="E88" s="3">
        <f t="shared" si="31"/>
        <v>6.214565762926675E-2</v>
      </c>
      <c r="F88" s="14">
        <v>129.85</v>
      </c>
      <c r="G88" s="14">
        <v>129.85</v>
      </c>
      <c r="H88" s="60">
        <v>4387</v>
      </c>
      <c r="I88" s="5">
        <v>2.2000000000000001E-3</v>
      </c>
      <c r="J88" s="5">
        <v>3.1199999999999999E-2</v>
      </c>
      <c r="K88" s="2">
        <v>15018157090.860001</v>
      </c>
      <c r="L88" s="3">
        <f t="shared" si="32"/>
        <v>5.8370196633322026E-2</v>
      </c>
      <c r="M88" s="14">
        <v>138.08000000000001</v>
      </c>
      <c r="N88" s="14">
        <v>138.08000000000001</v>
      </c>
      <c r="O88" s="60">
        <v>4392</v>
      </c>
      <c r="P88" s="5">
        <v>1.8E-3</v>
      </c>
      <c r="Q88" s="5">
        <v>3.3000000000000002E-2</v>
      </c>
      <c r="R88" s="80">
        <f t="shared" si="20"/>
        <v>-6.8585948245358894E-2</v>
      </c>
      <c r="S88" s="80">
        <f t="shared" si="21"/>
        <v>6.3380824027724436E-2</v>
      </c>
      <c r="T88" s="80">
        <f t="shared" si="22"/>
        <v>1.1397310234784591E-3</v>
      </c>
      <c r="U88" s="81">
        <f t="shared" si="23"/>
        <v>-4.0000000000000018E-4</v>
      </c>
      <c r="V88" s="83">
        <f t="shared" si="24"/>
        <v>1.800000000000003E-3</v>
      </c>
    </row>
    <row r="89" spans="1:22" ht="12.75" customHeight="1">
      <c r="A89" s="75">
        <v>78</v>
      </c>
      <c r="B89" s="152" t="s">
        <v>125</v>
      </c>
      <c r="C89" s="153" t="s">
        <v>42</v>
      </c>
      <c r="D89" s="2">
        <v>11496407942.360001</v>
      </c>
      <c r="E89" s="3">
        <f t="shared" si="31"/>
        <v>4.4309729320063981E-2</v>
      </c>
      <c r="F89" s="14">
        <v>354.97</v>
      </c>
      <c r="G89" s="14">
        <v>355.33</v>
      </c>
      <c r="H89" s="60">
        <v>10244</v>
      </c>
      <c r="I89" s="5">
        <v>1.8E-3</v>
      </c>
      <c r="J89" s="5">
        <v>5.5999999999999999E-3</v>
      </c>
      <c r="K89" s="2">
        <v>11459077016.639999</v>
      </c>
      <c r="L89" s="3">
        <f t="shared" si="32"/>
        <v>4.4537327359874868E-2</v>
      </c>
      <c r="M89" s="14">
        <v>356.23</v>
      </c>
      <c r="N89" s="14">
        <v>356.6</v>
      </c>
      <c r="O89" s="60">
        <v>10244</v>
      </c>
      <c r="P89" s="5">
        <v>3.5999999999999999E-3</v>
      </c>
      <c r="Q89" s="5">
        <v>9.1999999999999998E-3</v>
      </c>
      <c r="R89" s="80">
        <f t="shared" si="20"/>
        <v>-3.2471817203398464E-3</v>
      </c>
      <c r="S89" s="80">
        <f t="shared" si="21"/>
        <v>3.5741423465512024E-3</v>
      </c>
      <c r="T89" s="80">
        <f t="shared" si="22"/>
        <v>0</v>
      </c>
      <c r="U89" s="81">
        <f t="shared" si="23"/>
        <v>1.8E-3</v>
      </c>
      <c r="V89" s="83">
        <f t="shared" si="24"/>
        <v>3.5999999999999999E-3</v>
      </c>
    </row>
    <row r="90" spans="1:22">
      <c r="A90" s="75">
        <v>79</v>
      </c>
      <c r="B90" s="152" t="s">
        <v>126</v>
      </c>
      <c r="C90" s="153" t="s">
        <v>45</v>
      </c>
      <c r="D90" s="2">
        <v>87015486536.449997</v>
      </c>
      <c r="E90" s="3">
        <f t="shared" si="31"/>
        <v>0.33537716079795626</v>
      </c>
      <c r="F90" s="2">
        <v>1.9874000000000001</v>
      </c>
      <c r="G90" s="2">
        <v>1.9874000000000001</v>
      </c>
      <c r="H90" s="60">
        <v>6174</v>
      </c>
      <c r="I90" s="5">
        <v>3.4700000000000002E-2</v>
      </c>
      <c r="J90" s="5">
        <v>6.0299999999999999E-2</v>
      </c>
      <c r="K90" s="2">
        <v>86466305865.929993</v>
      </c>
      <c r="L90" s="3">
        <f t="shared" si="32"/>
        <v>0.33606355593542964</v>
      </c>
      <c r="M90" s="2">
        <v>1.9885999999999999</v>
      </c>
      <c r="N90" s="2">
        <v>1.9885999999999999</v>
      </c>
      <c r="O90" s="60">
        <v>6157</v>
      </c>
      <c r="P90" s="5">
        <v>3.2000000000000001E-2</v>
      </c>
      <c r="Q90" s="5">
        <v>5.8700000000000002E-2</v>
      </c>
      <c r="R90" s="80">
        <f t="shared" si="20"/>
        <v>-6.3112980502609438E-3</v>
      </c>
      <c r="S90" s="80">
        <f t="shared" si="21"/>
        <v>6.0380396497930347E-4</v>
      </c>
      <c r="T90" s="80">
        <f t="shared" si="22"/>
        <v>-2.75348234531908E-3</v>
      </c>
      <c r="U90" s="81">
        <f t="shared" si="23"/>
        <v>-2.700000000000001E-3</v>
      </c>
      <c r="V90" s="83">
        <f t="shared" si="24"/>
        <v>-1.5999999999999973E-3</v>
      </c>
    </row>
    <row r="91" spans="1:22">
      <c r="A91" s="75">
        <v>80</v>
      </c>
      <c r="B91" s="152" t="s">
        <v>241</v>
      </c>
      <c r="C91" s="152" t="s">
        <v>242</v>
      </c>
      <c r="D91" s="2">
        <v>84724856.760000005</v>
      </c>
      <c r="E91" s="3">
        <f t="shared" si="31"/>
        <v>3.2654856095391295E-4</v>
      </c>
      <c r="F91" s="2">
        <v>104.18477054269222</v>
      </c>
      <c r="G91" s="2">
        <v>104.18477054269222</v>
      </c>
      <c r="H91" s="60">
        <v>61</v>
      </c>
      <c r="I91" s="5">
        <v>1.5683820017262139E-3</v>
      </c>
      <c r="J91" s="5">
        <v>2.5450747966931031E-2</v>
      </c>
      <c r="K91" s="2">
        <v>84853546.269999996</v>
      </c>
      <c r="L91" s="3">
        <f t="shared" si="32"/>
        <v>3.2979533712754395E-4</v>
      </c>
      <c r="M91" s="2">
        <v>104.34314623726978</v>
      </c>
      <c r="N91" s="2">
        <v>104.34314623726978</v>
      </c>
      <c r="O91" s="60">
        <v>61</v>
      </c>
      <c r="P91" s="5">
        <v>1.5201424714244524E-3</v>
      </c>
      <c r="Q91" s="5">
        <v>2.7009579201269451E-2</v>
      </c>
      <c r="R91" s="80">
        <f>((K91-D91)/D91)</f>
        <v>1.5189109184867561E-3</v>
      </c>
      <c r="S91" s="80">
        <f>((N91-G91)/G91)</f>
        <v>1.5201424714244524E-3</v>
      </c>
      <c r="T91" s="80">
        <f>((O91-H91)/H91)</f>
        <v>0</v>
      </c>
      <c r="U91" s="81">
        <f>P91-I91</f>
        <v>-4.8239530301761539E-5</v>
      </c>
      <c r="V91" s="83">
        <f>Q91-J91</f>
        <v>1.5588312343384203E-3</v>
      </c>
    </row>
    <row r="92" spans="1:22">
      <c r="A92" s="75">
        <v>81</v>
      </c>
      <c r="B92" s="152" t="s">
        <v>262</v>
      </c>
      <c r="C92" s="153" t="s">
        <v>261</v>
      </c>
      <c r="D92" s="2">
        <v>238159527.18000001</v>
      </c>
      <c r="E92" s="3">
        <f t="shared" si="31"/>
        <v>9.1792012228942611E-4</v>
      </c>
      <c r="F92" s="2">
        <v>0.99</v>
      </c>
      <c r="G92" s="2">
        <v>0.99</v>
      </c>
      <c r="H92" s="60">
        <v>191</v>
      </c>
      <c r="I92" s="5">
        <v>1.6832E-2</v>
      </c>
      <c r="J92" s="5">
        <v>-4.7577000000000001E-2</v>
      </c>
      <c r="K92" s="2">
        <v>238934352.62</v>
      </c>
      <c r="L92" s="3">
        <f t="shared" si="32"/>
        <v>9.2865223479202932E-4</v>
      </c>
      <c r="M92" s="2">
        <v>1</v>
      </c>
      <c r="N92" s="2">
        <v>1</v>
      </c>
      <c r="O92" s="60">
        <v>200</v>
      </c>
      <c r="P92" s="5">
        <v>4.4000000000000003E-3</v>
      </c>
      <c r="Q92" s="5">
        <v>-4.3400000000000001E-2</v>
      </c>
      <c r="R92" s="80">
        <f>((K92-D92)/D92)</f>
        <v>3.253388387080512E-3</v>
      </c>
      <c r="S92" s="80">
        <f>((N92-G92)/G92)</f>
        <v>1.0101010101010111E-2</v>
      </c>
      <c r="T92" s="80">
        <f>((O92-H92)/H92)</f>
        <v>4.712041884816754E-2</v>
      </c>
      <c r="U92" s="81">
        <f>P92-I92</f>
        <v>-1.2431999999999999E-2</v>
      </c>
      <c r="V92" s="83">
        <f>Q92-J92</f>
        <v>4.1770000000000002E-3</v>
      </c>
    </row>
    <row r="93" spans="1:22">
      <c r="A93" s="75">
        <v>82</v>
      </c>
      <c r="B93" s="152" t="s">
        <v>127</v>
      </c>
      <c r="C93" s="153" t="s">
        <v>91</v>
      </c>
      <c r="D93" s="2">
        <v>2557091989.6500001</v>
      </c>
      <c r="E93" s="3">
        <f t="shared" si="31"/>
        <v>9.8556048529220962E-3</v>
      </c>
      <c r="F93" s="14">
        <v>26.0654</v>
      </c>
      <c r="G93" s="14">
        <v>26.0654</v>
      </c>
      <c r="H93" s="60">
        <v>1317</v>
      </c>
      <c r="I93" s="5">
        <v>0</v>
      </c>
      <c r="J93" s="5">
        <v>0.1002</v>
      </c>
      <c r="K93" s="2">
        <v>2557208582.0599999</v>
      </c>
      <c r="L93" s="3">
        <f t="shared" si="32"/>
        <v>9.9389536854760183E-3</v>
      </c>
      <c r="M93" s="14">
        <v>26.1494</v>
      </c>
      <c r="N93" s="14">
        <v>26.1494</v>
      </c>
      <c r="O93" s="60">
        <v>1316</v>
      </c>
      <c r="P93" s="5">
        <v>0</v>
      </c>
      <c r="Q93" s="5">
        <v>0.1084</v>
      </c>
      <c r="R93" s="80">
        <f t="shared" si="20"/>
        <v>4.5595704210784337E-5</v>
      </c>
      <c r="S93" s="80">
        <f t="shared" si="21"/>
        <v>3.222662993853907E-3</v>
      </c>
      <c r="T93" s="80">
        <f t="shared" si="22"/>
        <v>-7.5930144267274111E-4</v>
      </c>
      <c r="U93" s="81">
        <f t="shared" si="23"/>
        <v>0</v>
      </c>
      <c r="V93" s="83">
        <f t="shared" si="24"/>
        <v>8.199999999999999E-3</v>
      </c>
    </row>
    <row r="94" spans="1:22">
      <c r="A94" s="75"/>
      <c r="B94" s="19"/>
      <c r="C94" s="71" t="s">
        <v>46</v>
      </c>
      <c r="D94" s="59">
        <f>SUM(D60:D93)</f>
        <v>259455612091.81857</v>
      </c>
      <c r="E94" s="100">
        <f>(D94/$D$188)</f>
        <v>9.745931909458827E-2</v>
      </c>
      <c r="F94" s="30"/>
      <c r="G94" s="11"/>
      <c r="H94" s="65">
        <f>SUM(H60:H93)</f>
        <v>49982</v>
      </c>
      <c r="I94" s="12"/>
      <c r="J94" s="12"/>
      <c r="K94" s="59">
        <f>SUM(K60:K93)</f>
        <v>257291528161.24875</v>
      </c>
      <c r="L94" s="100">
        <f>(K94/$K$188)</f>
        <v>9.4173688082385409E-2</v>
      </c>
      <c r="M94" s="30"/>
      <c r="N94" s="11"/>
      <c r="O94" s="65">
        <f>SUM(O60:O93)</f>
        <v>49985</v>
      </c>
      <c r="P94" s="12"/>
      <c r="Q94" s="12"/>
      <c r="R94" s="80">
        <f t="shared" si="20"/>
        <v>-8.3408638307040286E-3</v>
      </c>
      <c r="S94" s="80" t="e">
        <f t="shared" si="21"/>
        <v>#DIV/0!</v>
      </c>
      <c r="T94" s="80">
        <f t="shared" si="22"/>
        <v>6.0021607778800371E-5</v>
      </c>
      <c r="U94" s="81">
        <f t="shared" si="23"/>
        <v>0</v>
      </c>
      <c r="V94" s="83">
        <f t="shared" si="24"/>
        <v>0</v>
      </c>
    </row>
    <row r="95" spans="1:22" ht="8.25" customHeight="1">
      <c r="A95" s="158"/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  <c r="V95" s="158"/>
    </row>
    <row r="96" spans="1:22" ht="15" customHeight="1">
      <c r="A96" s="165" t="s">
        <v>128</v>
      </c>
      <c r="B96" s="165"/>
      <c r="C96" s="165"/>
      <c r="D96" s="165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5"/>
    </row>
    <row r="97" spans="1:28">
      <c r="A97" s="169" t="s">
        <v>230</v>
      </c>
      <c r="B97" s="169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Z97" s="114"/>
      <c r="AB97" s="103"/>
    </row>
    <row r="98" spans="1:28" ht="16.5" customHeight="1">
      <c r="A98" s="75">
        <v>83</v>
      </c>
      <c r="B98" s="152" t="s">
        <v>129</v>
      </c>
      <c r="C98" s="153" t="s">
        <v>17</v>
      </c>
      <c r="D98" s="2">
        <v>2177985525.7600002</v>
      </c>
      <c r="E98" s="3">
        <f>(D98/$D$125)</f>
        <v>1.7526127029137669E-3</v>
      </c>
      <c r="F98" s="2">
        <f>109.7946*1164.843</f>
        <v>127893.47124780001</v>
      </c>
      <c r="G98" s="2">
        <f>109.7946*1164.843</f>
        <v>127893.47124780001</v>
      </c>
      <c r="H98" s="60">
        <v>238</v>
      </c>
      <c r="I98" s="5">
        <v>1.1000000000000001E-3</v>
      </c>
      <c r="J98" s="5">
        <v>1.8800000000000001E-2</v>
      </c>
      <c r="K98" s="2">
        <v>2495021870.6199999</v>
      </c>
      <c r="L98" s="3">
        <f t="shared" ref="L98:L110" si="33">(K98/$K$125)</f>
        <v>1.918537944433458E-3</v>
      </c>
      <c r="M98" s="2">
        <f>109.9077*1382.565</f>
        <v>151954.53925050001</v>
      </c>
      <c r="N98" s="2">
        <f>109.9077*1382.565</f>
        <v>151954.53925050001</v>
      </c>
      <c r="O98" s="60">
        <v>238</v>
      </c>
      <c r="P98" s="5">
        <v>1E-3</v>
      </c>
      <c r="Q98" s="5">
        <v>1.9800000000000002E-2</v>
      </c>
      <c r="R98" s="81">
        <f>((K98-D98)/D98)</f>
        <v>0.14556402745117922</v>
      </c>
      <c r="S98" s="81">
        <f>((N98-G98)/G98)</f>
        <v>0.18813366912280038</v>
      </c>
      <c r="T98" s="81">
        <f>((O98-H98)/H98)</f>
        <v>0</v>
      </c>
      <c r="U98" s="81">
        <f>P98-I98</f>
        <v>-1.0000000000000005E-4</v>
      </c>
      <c r="V98" s="83">
        <f>Q98-J98</f>
        <v>1.0000000000000009E-3</v>
      </c>
      <c r="X98" s="114"/>
      <c r="Y98" s="116"/>
      <c r="Z98" s="114"/>
      <c r="AA98" s="104"/>
    </row>
    <row r="99" spans="1:28">
      <c r="A99" s="75">
        <v>84</v>
      </c>
      <c r="B99" s="152" t="s">
        <v>130</v>
      </c>
      <c r="C99" s="153" t="s">
        <v>21</v>
      </c>
      <c r="D99" s="2">
        <f>10944327.76*1164.84</f>
        <v>12748390747.958399</v>
      </c>
      <c r="E99" s="3">
        <f>(D99/$D$125)</f>
        <v>1.025855833398329E-2</v>
      </c>
      <c r="F99" s="2">
        <f>1.1193*1164.84</f>
        <v>1303.8054119999999</v>
      </c>
      <c r="G99" s="2">
        <f>1.1193*1164.84</f>
        <v>1303.8054119999999</v>
      </c>
      <c r="H99" s="60">
        <v>296</v>
      </c>
      <c r="I99" s="5">
        <v>4.2099999999999999E-2</v>
      </c>
      <c r="J99" s="5">
        <v>-0.15060000000000001</v>
      </c>
      <c r="K99" s="2">
        <f>10981986.44*1382.57</f>
        <v>15183364992.350798</v>
      </c>
      <c r="L99" s="3">
        <f t="shared" si="33"/>
        <v>1.1675192993305909E-2</v>
      </c>
      <c r="M99" s="2">
        <f>1.1206*1382.57</f>
        <v>1549.3079419999999</v>
      </c>
      <c r="N99" s="2">
        <f>1.1206*1382.57</f>
        <v>1549.3079419999999</v>
      </c>
      <c r="O99" s="60">
        <v>298</v>
      </c>
      <c r="P99" s="5">
        <v>6.0699999999999997E-2</v>
      </c>
      <c r="Q99" s="5">
        <v>-0.13880000000000001</v>
      </c>
      <c r="R99" s="81">
        <f t="shared" ref="R99:R110" si="34">((K99-D99)/D99)</f>
        <v>0.19100247964884115</v>
      </c>
      <c r="S99" s="81">
        <f t="shared" ref="S99:S110" si="35">((N99-G99)/G99)</f>
        <v>0.18829690975389202</v>
      </c>
      <c r="T99" s="81">
        <f t="shared" ref="T99:T110" si="36">((O99-H99)/H99)</f>
        <v>6.7567567567567571E-3</v>
      </c>
      <c r="U99" s="81">
        <f t="shared" ref="U99:U110" si="37">P99-I99</f>
        <v>1.8599999999999998E-2</v>
      </c>
      <c r="V99" s="83">
        <f t="shared" ref="V99:V110" si="38">Q99-J99</f>
        <v>1.1800000000000005E-2</v>
      </c>
    </row>
    <row r="100" spans="1:28">
      <c r="A100" s="75">
        <v>85</v>
      </c>
      <c r="B100" s="152" t="s">
        <v>267</v>
      </c>
      <c r="C100" s="153" t="s">
        <v>99</v>
      </c>
      <c r="D100" s="2">
        <f>1513161.91*1150.66</f>
        <v>1741134883.3606</v>
      </c>
      <c r="E100" s="3">
        <f>(D100/$D$125)</f>
        <v>1.4010814479583124E-3</v>
      </c>
      <c r="F100" s="2">
        <f>1.0111*1150.66</f>
        <v>1163.4323260000001</v>
      </c>
      <c r="G100" s="2">
        <f>1.0111*1150.66</f>
        <v>1163.4323260000001</v>
      </c>
      <c r="H100" s="60">
        <v>204</v>
      </c>
      <c r="I100" s="5">
        <v>1.5E-3</v>
      </c>
      <c r="J100" s="5">
        <v>1.11E-2</v>
      </c>
      <c r="K100" s="2">
        <f>1499689.75*1383.065</f>
        <v>2074168404.08375</v>
      </c>
      <c r="L100" s="3">
        <f t="shared" si="33"/>
        <v>1.594924210179693E-3</v>
      </c>
      <c r="M100" s="2">
        <f>1.0128*1383.065</f>
        <v>1400.7682319999999</v>
      </c>
      <c r="N100" s="2">
        <f>1.0128*1383.065</f>
        <v>1400.7682319999999</v>
      </c>
      <c r="O100" s="60">
        <v>204</v>
      </c>
      <c r="P100" s="5">
        <v>1.6999999999999999E-3</v>
      </c>
      <c r="Q100" s="5">
        <v>1.2800000000000001E-2</v>
      </c>
      <c r="R100" s="81">
        <f t="shared" ref="R100" si="39">((K100-D100)/D100)</f>
        <v>0.19127382025702411</v>
      </c>
      <c r="S100" s="81">
        <f t="shared" ref="S100" si="40">((N100-G100)/G100)</f>
        <v>0.20399631392053977</v>
      </c>
      <c r="T100" s="81">
        <f t="shared" ref="T100" si="41">((O100-H100)/H100)</f>
        <v>0</v>
      </c>
      <c r="U100" s="81">
        <f t="shared" ref="U100" si="42">P100-I100</f>
        <v>1.9999999999999987E-4</v>
      </c>
      <c r="V100" s="83">
        <f t="shared" ref="V100" si="43">Q100-J100</f>
        <v>1.7000000000000001E-3</v>
      </c>
    </row>
    <row r="101" spans="1:28">
      <c r="A101" s="75">
        <v>86</v>
      </c>
      <c r="B101" s="152" t="s">
        <v>243</v>
      </c>
      <c r="C101" s="153" t="s">
        <v>25</v>
      </c>
      <c r="D101" s="2">
        <f>386138.35*1165.343</f>
        <v>449983623.20405</v>
      </c>
      <c r="E101" s="3">
        <v>0</v>
      </c>
      <c r="F101" s="2">
        <f>1.11333*1165.343</f>
        <v>1297.41132219</v>
      </c>
      <c r="G101" s="2">
        <f>1.11333*1165.343</f>
        <v>1297.41132219</v>
      </c>
      <c r="H101" s="60">
        <v>30</v>
      </c>
      <c r="I101" s="5">
        <v>2.6499999999999999E-4</v>
      </c>
      <c r="J101" s="5">
        <v>0.1149</v>
      </c>
      <c r="K101" s="2">
        <f>376775.68*1383.065</f>
        <v>521105255.8592</v>
      </c>
      <c r="L101" s="3">
        <f t="shared" si="33"/>
        <v>4.0070198108569906E-4</v>
      </c>
      <c r="M101" s="2">
        <f>1.1351*1383.065</f>
        <v>1569.9170815</v>
      </c>
      <c r="N101" s="2">
        <f>1.1351*1383.065</f>
        <v>1569.9170815</v>
      </c>
      <c r="O101" s="60">
        <v>30</v>
      </c>
      <c r="P101" s="5">
        <v>2.6400000000000002E-4</v>
      </c>
      <c r="Q101" s="5">
        <v>0.11509999999999999</v>
      </c>
      <c r="R101" s="81">
        <f>((K101-D101)/D101)</f>
        <v>0.15805382460085468</v>
      </c>
      <c r="S101" s="81">
        <f>((N101-G101)/G101)</f>
        <v>0.21003806167655195</v>
      </c>
      <c r="T101" s="81">
        <f>((O101-H101)/H101)</f>
        <v>0</v>
      </c>
      <c r="U101" s="81">
        <f>P101-I101</f>
        <v>-9.999999999999701E-7</v>
      </c>
      <c r="V101" s="83">
        <f t="shared" si="38"/>
        <v>1.9999999999999185E-4</v>
      </c>
    </row>
    <row r="102" spans="1:28">
      <c r="A102" s="75">
        <v>87</v>
      </c>
      <c r="B102" s="152" t="s">
        <v>139</v>
      </c>
      <c r="C102" s="153" t="s">
        <v>64</v>
      </c>
      <c r="D102" s="2">
        <f>417454.39*1165.343</f>
        <v>486477551.20577008</v>
      </c>
      <c r="E102" s="3">
        <f t="shared" ref="E102:E110" si="44">(D102/$D$125)</f>
        <v>3.9146574935483146E-4</v>
      </c>
      <c r="F102" s="2">
        <f>105.02*1165.343</f>
        <v>122384.32186</v>
      </c>
      <c r="G102" s="2">
        <f>106.54*1165.343</f>
        <v>124155.64322000001</v>
      </c>
      <c r="H102" s="60">
        <v>43</v>
      </c>
      <c r="I102" s="5">
        <v>1.1000000000000001E-3</v>
      </c>
      <c r="J102" s="5">
        <v>2.7199999999999998E-2</v>
      </c>
      <c r="K102" s="2">
        <f>417454.39*1383.065</f>
        <v>577366555.90535009</v>
      </c>
      <c r="L102" s="3">
        <f t="shared" si="33"/>
        <v>4.439639020382687E-4</v>
      </c>
      <c r="M102" s="2">
        <f>105.02*1383.065</f>
        <v>145249.48629999999</v>
      </c>
      <c r="N102" s="2">
        <f>106.54*1383.065</f>
        <v>147351.7451</v>
      </c>
      <c r="O102" s="60">
        <v>43</v>
      </c>
      <c r="P102" s="5">
        <v>1.1000000000000001E-3</v>
      </c>
      <c r="Q102" s="5">
        <v>2.7199999999999998E-2</v>
      </c>
      <c r="R102" s="81">
        <f>((K102-D102)/D102)</f>
        <v>0.18683083006462475</v>
      </c>
      <c r="S102" s="81">
        <f>((N102-G102)/G102)</f>
        <v>0.18683083006462464</v>
      </c>
      <c r="T102" s="81">
        <f>((O102-H102)/H102)</f>
        <v>0</v>
      </c>
      <c r="U102" s="81">
        <f>P102-I102</f>
        <v>0</v>
      </c>
      <c r="V102" s="83">
        <f>Q102-J102</f>
        <v>0</v>
      </c>
    </row>
    <row r="103" spans="1:28">
      <c r="A103" s="75">
        <v>88</v>
      </c>
      <c r="B103" s="152" t="s">
        <v>131</v>
      </c>
      <c r="C103" s="153" t="s">
        <v>67</v>
      </c>
      <c r="D103" s="2">
        <v>3236207096.3446498</v>
      </c>
      <c r="E103" s="3">
        <f t="shared" si="44"/>
        <v>2.6041576489972997E-3</v>
      </c>
      <c r="F103" s="2">
        <v>127746.29807160002</v>
      </c>
      <c r="G103" s="2">
        <v>127746.29807160002</v>
      </c>
      <c r="H103" s="60">
        <v>61</v>
      </c>
      <c r="I103" s="5">
        <v>1.1982829482145116E-3</v>
      </c>
      <c r="J103" s="5">
        <v>7.7369121404524899E-2</v>
      </c>
      <c r="K103" s="2">
        <v>3737170918.9162002</v>
      </c>
      <c r="L103" s="3">
        <f t="shared" si="33"/>
        <v>2.87368391323652E-3</v>
      </c>
      <c r="M103" s="2">
        <v>147070.42967900002</v>
      </c>
      <c r="N103" s="2">
        <v>147070.42967900002</v>
      </c>
      <c r="O103" s="60">
        <v>62</v>
      </c>
      <c r="P103" s="5">
        <v>-4.1962686049745715E-5</v>
      </c>
      <c r="Q103" s="5">
        <v>7.7200333485123895E-2</v>
      </c>
      <c r="R103" s="81">
        <f t="shared" si="34"/>
        <v>0.15479967988989252</v>
      </c>
      <c r="S103" s="81">
        <f t="shared" si="35"/>
        <v>0.15126960153920938</v>
      </c>
      <c r="T103" s="81">
        <f t="shared" si="36"/>
        <v>1.6393442622950821E-2</v>
      </c>
      <c r="U103" s="81">
        <f t="shared" si="37"/>
        <v>-1.2402456342642573E-3</v>
      </c>
      <c r="V103" s="83">
        <f t="shared" si="38"/>
        <v>-1.6878791940100335E-4</v>
      </c>
      <c r="X103" s="108"/>
    </row>
    <row r="104" spans="1:28">
      <c r="A104" s="75">
        <v>89</v>
      </c>
      <c r="B104" s="152" t="s">
        <v>132</v>
      </c>
      <c r="C104" s="153" t="s">
        <v>27</v>
      </c>
      <c r="D104" s="2">
        <v>38199700360.919998</v>
      </c>
      <c r="E104" s="3">
        <f t="shared" si="44"/>
        <v>3.0739084033483775E-2</v>
      </c>
      <c r="F104" s="2">
        <v>170001.86</v>
      </c>
      <c r="G104" s="2">
        <v>170001.86</v>
      </c>
      <c r="H104" s="60">
        <v>2102</v>
      </c>
      <c r="I104" s="5">
        <v>1.5E-3</v>
      </c>
      <c r="J104" s="5">
        <v>2.24E-2</v>
      </c>
      <c r="K104" s="2">
        <v>38626984331.129997</v>
      </c>
      <c r="L104" s="3">
        <f t="shared" si="33"/>
        <v>2.9702078362901983E-2</v>
      </c>
      <c r="M104" s="2">
        <v>172147.18</v>
      </c>
      <c r="N104" s="2">
        <v>172147.18</v>
      </c>
      <c r="O104" s="60">
        <v>2107</v>
      </c>
      <c r="P104" s="5">
        <v>1.4E-3</v>
      </c>
      <c r="Q104" s="5">
        <v>2.58E-2</v>
      </c>
      <c r="R104" s="81">
        <f t="shared" si="34"/>
        <v>1.1185531985144305E-2</v>
      </c>
      <c r="S104" s="81">
        <f t="shared" si="35"/>
        <v>1.2619391340777136E-2</v>
      </c>
      <c r="T104" s="81">
        <f t="shared" si="36"/>
        <v>2.3786869647954329E-3</v>
      </c>
      <c r="U104" s="81">
        <f t="shared" si="37"/>
        <v>-1.0000000000000005E-4</v>
      </c>
      <c r="V104" s="83">
        <f t="shared" si="38"/>
        <v>3.4000000000000002E-3</v>
      </c>
    </row>
    <row r="105" spans="1:28">
      <c r="A105" s="75">
        <v>90</v>
      </c>
      <c r="B105" s="156" t="s">
        <v>133</v>
      </c>
      <c r="C105" s="156" t="s">
        <v>27</v>
      </c>
      <c r="D105" s="2">
        <v>62844061407.830002</v>
      </c>
      <c r="E105" s="3">
        <f t="shared" si="44"/>
        <v>5.057026276041126E-2</v>
      </c>
      <c r="F105" s="2">
        <v>154359.65</v>
      </c>
      <c r="G105" s="2">
        <v>154359.65</v>
      </c>
      <c r="H105" s="60">
        <v>375</v>
      </c>
      <c r="I105" s="5">
        <v>1.8E-3</v>
      </c>
      <c r="J105" s="5">
        <v>3.0200000000000001E-2</v>
      </c>
      <c r="K105" s="2">
        <v>64543457889.43</v>
      </c>
      <c r="L105" s="3">
        <f t="shared" si="33"/>
        <v>4.9630455942674206E-2</v>
      </c>
      <c r="M105" s="2">
        <v>156343.54</v>
      </c>
      <c r="N105" s="2">
        <v>156343.54</v>
      </c>
      <c r="O105" s="60">
        <v>381</v>
      </c>
      <c r="P105" s="5">
        <v>1.6000000000000001E-3</v>
      </c>
      <c r="Q105" s="5">
        <v>3.1899999999999998E-2</v>
      </c>
      <c r="R105" s="81">
        <f t="shared" si="34"/>
        <v>2.7041480826194082E-2</v>
      </c>
      <c r="S105" s="81">
        <f t="shared" si="35"/>
        <v>1.2852387265713637E-2</v>
      </c>
      <c r="T105" s="81">
        <f t="shared" si="36"/>
        <v>1.6E-2</v>
      </c>
      <c r="U105" s="81">
        <f t="shared" si="37"/>
        <v>-1.9999999999999987E-4</v>
      </c>
      <c r="V105" s="83">
        <f t="shared" si="38"/>
        <v>1.6999999999999967E-3</v>
      </c>
    </row>
    <row r="106" spans="1:28">
      <c r="A106" s="75">
        <v>91</v>
      </c>
      <c r="B106" s="152" t="s">
        <v>134</v>
      </c>
      <c r="C106" s="153" t="s">
        <v>31</v>
      </c>
      <c r="D106" s="2">
        <f>103073.31*1165.343</f>
        <v>120115760.29533</v>
      </c>
      <c r="E106" s="3">
        <f t="shared" si="44"/>
        <v>9.6656476741406014E-5</v>
      </c>
      <c r="F106" s="2">
        <f>119.244*1165.343</f>
        <v>138960.160692</v>
      </c>
      <c r="G106" s="2">
        <f>119.244*1165.343</f>
        <v>138960.160692</v>
      </c>
      <c r="H106" s="60">
        <v>5</v>
      </c>
      <c r="I106" s="5">
        <v>2.0999999999999999E-3</v>
      </c>
      <c r="J106" s="5">
        <v>4.0599999999999997E-2</v>
      </c>
      <c r="K106" s="2">
        <f>95277.81*1383.065</f>
        <v>131775404.28765</v>
      </c>
      <c r="L106" s="3">
        <f t="shared" si="33"/>
        <v>1.0132821529379718E-4</v>
      </c>
      <c r="M106" s="2">
        <f>110.225*1383.065</f>
        <v>152448.33962499999</v>
      </c>
      <c r="N106" s="2">
        <f>110.225*1383.065</f>
        <v>152448.33962499999</v>
      </c>
      <c r="O106" s="60">
        <v>4</v>
      </c>
      <c r="P106" s="5">
        <v>-7.5600000000000001E-2</v>
      </c>
      <c r="Q106" s="5">
        <v>-3.8100000000000002E-2</v>
      </c>
      <c r="R106" s="81">
        <f t="shared" si="34"/>
        <v>9.707005944642319E-2</v>
      </c>
      <c r="S106" s="81">
        <f t="shared" si="35"/>
        <v>9.7065078694720516E-2</v>
      </c>
      <c r="T106" s="81">
        <f t="shared" si="36"/>
        <v>-0.2</v>
      </c>
      <c r="U106" s="81">
        <f t="shared" si="37"/>
        <v>-7.7700000000000005E-2</v>
      </c>
      <c r="V106" s="83">
        <f t="shared" si="38"/>
        <v>-7.8699999999999992E-2</v>
      </c>
    </row>
    <row r="107" spans="1:28">
      <c r="A107" s="75">
        <v>92</v>
      </c>
      <c r="B107" s="152" t="s">
        <v>135</v>
      </c>
      <c r="C107" s="153" t="s">
        <v>34</v>
      </c>
      <c r="D107" s="2">
        <f>10641717.01*1165.343</f>
        <v>12401250425.584431</v>
      </c>
      <c r="E107" s="3">
        <f t="shared" si="44"/>
        <v>9.9792164689936694E-3</v>
      </c>
      <c r="F107" s="2">
        <f>1.34*1165.343</f>
        <v>1561.5596200000002</v>
      </c>
      <c r="G107" s="2">
        <f>1.34*1165.343</f>
        <v>1561.5596200000002</v>
      </c>
      <c r="H107" s="61">
        <v>116</v>
      </c>
      <c r="I107" s="12">
        <v>8.0000000000000004E-4</v>
      </c>
      <c r="J107" s="12">
        <v>4.5900000000000003E-2</v>
      </c>
      <c r="K107" s="2">
        <f>10691512.66*1383.065</f>
        <v>14787056957.102901</v>
      </c>
      <c r="L107" s="3">
        <f t="shared" si="33"/>
        <v>1.1370453378691621E-2</v>
      </c>
      <c r="M107" s="2">
        <f>1.34*1383.065</f>
        <v>1853.3071000000002</v>
      </c>
      <c r="N107" s="2">
        <f>1.34*1383.065</f>
        <v>1853.3071000000002</v>
      </c>
      <c r="O107" s="61">
        <v>116</v>
      </c>
      <c r="P107" s="12">
        <v>0</v>
      </c>
      <c r="Q107" s="12">
        <v>4.3299999999999998E-2</v>
      </c>
      <c r="R107" s="81">
        <f t="shared" si="34"/>
        <v>0.19238435235501952</v>
      </c>
      <c r="S107" s="81">
        <f t="shared" si="35"/>
        <v>0.18683083006462473</v>
      </c>
      <c r="T107" s="81">
        <f t="shared" si="36"/>
        <v>0</v>
      </c>
      <c r="U107" s="81">
        <f t="shared" si="37"/>
        <v>-8.0000000000000004E-4</v>
      </c>
      <c r="V107" s="83">
        <f t="shared" si="38"/>
        <v>-2.6000000000000051E-3</v>
      </c>
    </row>
    <row r="108" spans="1:28">
      <c r="A108" s="75">
        <v>93</v>
      </c>
      <c r="B108" s="152" t="s">
        <v>136</v>
      </c>
      <c r="C108" s="153" t="s">
        <v>78</v>
      </c>
      <c r="D108" s="2">
        <f>10551730.74*1165.343</f>
        <v>12296385555.74382</v>
      </c>
      <c r="E108" s="3">
        <f t="shared" si="44"/>
        <v>9.8948322980254438E-3</v>
      </c>
      <c r="F108" s="2">
        <f>103.41*1165.343</f>
        <v>120508.11963</v>
      </c>
      <c r="G108" s="2">
        <f>103.41*1165.343</f>
        <v>120508.11963</v>
      </c>
      <c r="H108" s="60">
        <v>315</v>
      </c>
      <c r="I108" s="5">
        <v>8.9999999999999998E-4</v>
      </c>
      <c r="J108" s="5">
        <v>3.27E-2</v>
      </c>
      <c r="K108" s="2">
        <f>10675641.45*1383.065</f>
        <v>14765106042.04425</v>
      </c>
      <c r="L108" s="3">
        <f t="shared" si="33"/>
        <v>1.1353574302820196E-2</v>
      </c>
      <c r="M108" s="2">
        <f>103.59*1383.065</f>
        <v>143271.70335</v>
      </c>
      <c r="N108" s="2">
        <f>103.59*1383.065</f>
        <v>143271.70335</v>
      </c>
      <c r="O108" s="60">
        <v>317</v>
      </c>
      <c r="P108" s="5">
        <v>1.8E-3</v>
      </c>
      <c r="Q108" s="5">
        <v>3.4500000000000003E-2</v>
      </c>
      <c r="R108" s="81">
        <f t="shared" si="34"/>
        <v>0.20076797975379482</v>
      </c>
      <c r="S108" s="81">
        <f t="shared" si="35"/>
        <v>0.1888966800734404</v>
      </c>
      <c r="T108" s="81">
        <f t="shared" si="36"/>
        <v>6.3492063492063492E-3</v>
      </c>
      <c r="U108" s="81">
        <f t="shared" si="37"/>
        <v>8.9999999999999998E-4</v>
      </c>
      <c r="V108" s="83">
        <f t="shared" si="38"/>
        <v>1.800000000000003E-3</v>
      </c>
    </row>
    <row r="109" spans="1:28">
      <c r="A109" s="75">
        <v>94</v>
      </c>
      <c r="B109" s="152" t="s">
        <v>137</v>
      </c>
      <c r="C109" s="153" t="s">
        <v>38</v>
      </c>
      <c r="D109" s="2">
        <f>2359066.09*1165.343</f>
        <v>2749121154.5188699</v>
      </c>
      <c r="E109" s="3">
        <f t="shared" si="44"/>
        <v>2.2122023311323233E-3</v>
      </c>
      <c r="F109" s="2">
        <f>166.9*1165.343</f>
        <v>194495.74670000002</v>
      </c>
      <c r="G109" s="2">
        <f>170.2*1165.343</f>
        <v>198341.3786</v>
      </c>
      <c r="H109" s="60">
        <v>47</v>
      </c>
      <c r="I109" s="5">
        <v>-0.2263</v>
      </c>
      <c r="J109" s="5">
        <v>0.26229999999999998</v>
      </c>
      <c r="K109" s="2">
        <f>1891406.38*1383.065</f>
        <v>2615937964.9547</v>
      </c>
      <c r="L109" s="3">
        <f t="shared" si="33"/>
        <v>2.0115159330457064E-3</v>
      </c>
      <c r="M109" s="2">
        <f>134.14*1383.065</f>
        <v>185524.33909999998</v>
      </c>
      <c r="N109" s="2">
        <f>137.48*1383.065</f>
        <v>190143.77619999999</v>
      </c>
      <c r="O109" s="60">
        <v>48</v>
      </c>
      <c r="P109" s="5">
        <v>0.19420000000000001</v>
      </c>
      <c r="Q109" s="5">
        <v>1.7100000000000001E-2</v>
      </c>
      <c r="R109" s="81">
        <f t="shared" si="34"/>
        <v>-4.8445733046450105E-2</v>
      </c>
      <c r="S109" s="81">
        <f t="shared" si="35"/>
        <v>-4.1330772518891848E-2</v>
      </c>
      <c r="T109" s="81">
        <f t="shared" si="36"/>
        <v>2.1276595744680851E-2</v>
      </c>
      <c r="U109" s="81">
        <f t="shared" si="37"/>
        <v>0.42049999999999998</v>
      </c>
      <c r="V109" s="83">
        <f t="shared" si="38"/>
        <v>-0.24519999999999997</v>
      </c>
    </row>
    <row r="110" spans="1:28" ht="16.5" customHeight="1">
      <c r="A110" s="75">
        <v>95</v>
      </c>
      <c r="B110" s="152" t="s">
        <v>138</v>
      </c>
      <c r="C110" s="153" t="s">
        <v>45</v>
      </c>
      <c r="D110" s="4">
        <v>200674365866.94</v>
      </c>
      <c r="E110" s="3">
        <f t="shared" si="44"/>
        <v>0.16148153355832695</v>
      </c>
      <c r="F110" s="2">
        <v>169321.93</v>
      </c>
      <c r="G110" s="2">
        <v>169321.93</v>
      </c>
      <c r="H110" s="60">
        <v>3144</v>
      </c>
      <c r="I110" s="5">
        <v>5.3400000000000003E-2</v>
      </c>
      <c r="J110" s="5">
        <v>5.3800000000000001E-2</v>
      </c>
      <c r="K110" s="4">
        <v>210210087368.10999</v>
      </c>
      <c r="L110" s="3">
        <f t="shared" si="33"/>
        <v>0.16164027805422579</v>
      </c>
      <c r="M110" s="2">
        <v>177458.78</v>
      </c>
      <c r="N110" s="2">
        <v>177458.78</v>
      </c>
      <c r="O110" s="60">
        <v>3125</v>
      </c>
      <c r="P110" s="5">
        <v>5.33E-2</v>
      </c>
      <c r="Q110" s="5">
        <v>5.3800000000000001E-2</v>
      </c>
      <c r="R110" s="81">
        <f t="shared" si="34"/>
        <v>4.7518383626002234E-2</v>
      </c>
      <c r="S110" s="81">
        <f t="shared" si="35"/>
        <v>4.8055499957979489E-2</v>
      </c>
      <c r="T110" s="81">
        <f t="shared" si="36"/>
        <v>-6.043256997455471E-3</v>
      </c>
      <c r="U110" s="81">
        <f t="shared" si="37"/>
        <v>-1.0000000000000286E-4</v>
      </c>
      <c r="V110" s="83">
        <f t="shared" si="38"/>
        <v>0</v>
      </c>
    </row>
    <row r="111" spans="1:28" ht="6" customHeight="1">
      <c r="A111" s="158"/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</row>
    <row r="112" spans="1:28">
      <c r="A112" s="169" t="s">
        <v>231</v>
      </c>
      <c r="B112" s="169"/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</row>
    <row r="113" spans="1:24">
      <c r="A113" s="75">
        <v>96</v>
      </c>
      <c r="B113" s="152" t="s">
        <v>140</v>
      </c>
      <c r="C113" s="153" t="s">
        <v>97</v>
      </c>
      <c r="D113" s="4">
        <v>1413964795.2</v>
      </c>
      <c r="E113" s="3">
        <f>(D113/$D$125)</f>
        <v>1.1378095181214058E-3</v>
      </c>
      <c r="F113" s="2">
        <v>167428.84</v>
      </c>
      <c r="G113" s="2">
        <v>167428.84</v>
      </c>
      <c r="H113" s="60">
        <v>23</v>
      </c>
      <c r="I113" s="5">
        <v>1.9209E-2</v>
      </c>
      <c r="J113" s="5">
        <v>4.0399999999999998E-2</v>
      </c>
      <c r="K113" s="4">
        <v>1280772811.4400001</v>
      </c>
      <c r="L113" s="3">
        <f t="shared" ref="L113:L124" si="45">(K113/$K$125)</f>
        <v>9.8484557024574476E-4</v>
      </c>
      <c r="M113" s="2">
        <v>169757.38</v>
      </c>
      <c r="N113" s="2">
        <v>169757.38</v>
      </c>
      <c r="O113" s="60">
        <v>23</v>
      </c>
      <c r="P113" s="5">
        <v>4.0559999999999997E-3</v>
      </c>
      <c r="Q113" s="5">
        <v>5.3699999999999998E-2</v>
      </c>
      <c r="R113" s="81">
        <f>((K113-D113)/D113)</f>
        <v>-9.4197524727735876E-2</v>
      </c>
      <c r="S113" s="81">
        <f>((N113-G113)/G113)</f>
        <v>1.3907639806857696E-2</v>
      </c>
      <c r="T113" s="81">
        <f>((O113-H113)/H113)</f>
        <v>0</v>
      </c>
      <c r="U113" s="81">
        <f>P113-I113</f>
        <v>-1.5153E-2</v>
      </c>
      <c r="V113" s="83">
        <f>Q113-J113</f>
        <v>1.3299999999999999E-2</v>
      </c>
    </row>
    <row r="114" spans="1:24">
      <c r="A114" s="75">
        <v>97</v>
      </c>
      <c r="B114" s="153" t="s">
        <v>141</v>
      </c>
      <c r="C114" s="153" t="s">
        <v>23</v>
      </c>
      <c r="D114" s="2">
        <f>7548301.42*1150.66</f>
        <v>8685528511.9372005</v>
      </c>
      <c r="E114" s="3">
        <f>(D114/$D$125)</f>
        <v>6.9891959434528628E-3</v>
      </c>
      <c r="F114" s="4">
        <f>134.09*1150.66</f>
        <v>154291.9994</v>
      </c>
      <c r="G114" s="4">
        <f>134.09*1150.66</f>
        <v>154291.9994</v>
      </c>
      <c r="H114" s="60">
        <v>420</v>
      </c>
      <c r="I114" s="5">
        <v>5.0000000000000001E-4</v>
      </c>
      <c r="J114" s="5">
        <v>1.83E-2</v>
      </c>
      <c r="K114" s="2">
        <f>8659794.68*1383.065</f>
        <v>11977058929.0942</v>
      </c>
      <c r="L114" s="3">
        <f t="shared" si="45"/>
        <v>9.2097156697358955E-3</v>
      </c>
      <c r="M114" s="4">
        <f>134.22*1383.065</f>
        <v>185634.98430000001</v>
      </c>
      <c r="N114" s="4">
        <f>134.22*1383.065</f>
        <v>185634.98430000001</v>
      </c>
      <c r="O114" s="60">
        <v>422</v>
      </c>
      <c r="P114" s="5">
        <v>5.0000000000000001E-4</v>
      </c>
      <c r="Q114" s="5">
        <v>1.9300000000000001E-2</v>
      </c>
      <c r="R114" s="81">
        <f t="shared" ref="R114:R125" si="46">((K114-D114)/D114)</f>
        <v>0.37896719959334568</v>
      </c>
      <c r="S114" s="81">
        <f t="shared" ref="S114:S125" si="47">((N114-G114)/G114)</f>
        <v>0.20314070089106648</v>
      </c>
      <c r="T114" s="81">
        <f t="shared" ref="T114:T125" si="48">((O114-H114)/H114)</f>
        <v>4.7619047619047623E-3</v>
      </c>
      <c r="U114" s="81">
        <f t="shared" ref="U114:U125" si="49">P114-I114</f>
        <v>0</v>
      </c>
      <c r="V114" s="83">
        <f t="shared" ref="V114:V125" si="50">Q114-J114</f>
        <v>1.0000000000000009E-3</v>
      </c>
    </row>
    <row r="115" spans="1:24">
      <c r="A115" s="75">
        <v>98</v>
      </c>
      <c r="B115" s="152" t="s">
        <v>142</v>
      </c>
      <c r="C115" s="153" t="s">
        <v>58</v>
      </c>
      <c r="D115" s="4">
        <v>12992709864</v>
      </c>
      <c r="E115" s="3">
        <f t="shared" ref="E115:E124" si="51">(D115/$D$125)</f>
        <v>1.0455160552535571E-2</v>
      </c>
      <c r="F115" s="4">
        <v>140028</v>
      </c>
      <c r="G115" s="4">
        <v>140028</v>
      </c>
      <c r="H115" s="60">
        <v>601</v>
      </c>
      <c r="I115" s="5">
        <v>1.1000000000000001E-3</v>
      </c>
      <c r="J115" s="5">
        <v>6.3200000000000006E-2</v>
      </c>
      <c r="K115" s="4">
        <v>12972253512</v>
      </c>
      <c r="L115" s="3">
        <f t="shared" si="45"/>
        <v>9.9749669053593136E-3</v>
      </c>
      <c r="M115" s="4">
        <v>133800</v>
      </c>
      <c r="N115" s="4">
        <v>133800</v>
      </c>
      <c r="O115" s="60">
        <v>601</v>
      </c>
      <c r="P115" s="5">
        <v>2.7000000000000001E-3</v>
      </c>
      <c r="Q115" s="5">
        <v>6.4199999999999993E-2</v>
      </c>
      <c r="R115" s="81">
        <f t="shared" si="46"/>
        <v>-1.5744484571829117E-3</v>
      </c>
      <c r="S115" s="81">
        <f t="shared" si="47"/>
        <v>-4.4476818921929902E-2</v>
      </c>
      <c r="T115" s="81">
        <f t="shared" si="48"/>
        <v>0</v>
      </c>
      <c r="U115" s="81">
        <f t="shared" si="49"/>
        <v>1.6000000000000001E-3</v>
      </c>
      <c r="V115" s="83">
        <f t="shared" si="50"/>
        <v>9.9999999999998701E-4</v>
      </c>
    </row>
    <row r="116" spans="1:24">
      <c r="A116" s="75">
        <v>99</v>
      </c>
      <c r="B116" s="152" t="s">
        <v>143</v>
      </c>
      <c r="C116" s="153" t="s">
        <v>56</v>
      </c>
      <c r="D116" s="4">
        <v>5543598741.7665348</v>
      </c>
      <c r="E116" s="3">
        <f t="shared" si="51"/>
        <v>4.4609027285828799E-3</v>
      </c>
      <c r="F116" s="4">
        <v>1654.4797347971446</v>
      </c>
      <c r="G116" s="4">
        <v>1654.4797347971446</v>
      </c>
      <c r="H116" s="60">
        <v>173</v>
      </c>
      <c r="I116" s="5">
        <v>-4.779990663282354E-2</v>
      </c>
      <c r="J116" s="5">
        <v>5.0134893365526893E-2</v>
      </c>
      <c r="K116" s="4">
        <v>5741841638.0285454</v>
      </c>
      <c r="L116" s="3">
        <f t="shared" si="45"/>
        <v>4.4151681326738516E-3</v>
      </c>
      <c r="M116" s="4">
        <v>1706.2298691972046</v>
      </c>
      <c r="N116" s="4">
        <v>1706.2298691972046</v>
      </c>
      <c r="O116" s="60">
        <v>174</v>
      </c>
      <c r="P116" s="5">
        <v>5.1474746480178496E-2</v>
      </c>
      <c r="Q116" s="5">
        <v>5.0257101221995309E-2</v>
      </c>
      <c r="R116" s="81">
        <f t="shared" si="46"/>
        <v>3.5760686423497903E-2</v>
      </c>
      <c r="S116" s="81">
        <f t="shared" si="47"/>
        <v>3.1278796174801789E-2</v>
      </c>
      <c r="T116" s="81">
        <f t="shared" si="48"/>
        <v>5.7803468208092483E-3</v>
      </c>
      <c r="U116" s="81">
        <f t="shared" si="49"/>
        <v>9.9274653113002043E-2</v>
      </c>
      <c r="V116" s="83">
        <f t="shared" si="50"/>
        <v>1.222078564684162E-4</v>
      </c>
    </row>
    <row r="117" spans="1:24" ht="15.75">
      <c r="A117" s="75">
        <v>100</v>
      </c>
      <c r="B117" s="152" t="s">
        <v>253</v>
      </c>
      <c r="C117" s="153" t="s">
        <v>114</v>
      </c>
      <c r="D117" s="4">
        <v>1075016875.51</v>
      </c>
      <c r="E117" s="3">
        <f t="shared" si="51"/>
        <v>8.6506003349496436E-4</v>
      </c>
      <c r="F117" s="4">
        <f>1.056891*1165.343</f>
        <v>1231.640528613</v>
      </c>
      <c r="G117" s="4">
        <f>1.070291*1165.343</f>
        <v>1247.2561248130003</v>
      </c>
      <c r="H117" s="60">
        <v>36</v>
      </c>
      <c r="I117" s="5">
        <v>5.1000000000000004E-3</v>
      </c>
      <c r="J117" s="5">
        <v>4.2299999999999997E-2</v>
      </c>
      <c r="K117" s="4">
        <v>1075016875.51</v>
      </c>
      <c r="L117" s="3">
        <f t="shared" si="45"/>
        <v>8.266302956533697E-4</v>
      </c>
      <c r="M117" s="4">
        <f>1.0615*1383.065</f>
        <v>1468.1234975000002</v>
      </c>
      <c r="N117" s="4">
        <f>1.0615*1383.065</f>
        <v>1468.1234975000002</v>
      </c>
      <c r="O117" s="60">
        <v>36</v>
      </c>
      <c r="P117" s="5">
        <v>4.2299999999999997E-2</v>
      </c>
      <c r="Q117" s="5">
        <v>5.1000000000000004E-3</v>
      </c>
      <c r="R117" s="81">
        <f t="shared" si="46"/>
        <v>0</v>
      </c>
      <c r="S117" s="81">
        <f t="shared" si="47"/>
        <v>0.17708261221817159</v>
      </c>
      <c r="T117" s="81">
        <f t="shared" si="48"/>
        <v>0</v>
      </c>
      <c r="U117" s="81">
        <f t="shared" si="49"/>
        <v>3.7199999999999997E-2</v>
      </c>
      <c r="V117" s="83">
        <f t="shared" si="50"/>
        <v>-3.7199999999999997E-2</v>
      </c>
      <c r="X117" s="117"/>
    </row>
    <row r="118" spans="1:24" ht="15.75">
      <c r="A118" s="75">
        <v>101</v>
      </c>
      <c r="B118" s="152" t="s">
        <v>259</v>
      </c>
      <c r="C118" s="153" t="s">
        <v>36</v>
      </c>
      <c r="D118" s="2">
        <f>923770.0151*1165.343</f>
        <v>1076508920.7066793</v>
      </c>
      <c r="E118" s="3">
        <f t="shared" si="51"/>
        <v>8.6626067387300784E-4</v>
      </c>
      <c r="F118" s="4">
        <f>10.23*1165.343</f>
        <v>11921.458890000002</v>
      </c>
      <c r="G118" s="4">
        <f>10.23*1165.343</f>
        <v>11921.458890000002</v>
      </c>
      <c r="H118" s="60">
        <v>37</v>
      </c>
      <c r="I118" s="5">
        <v>7.6399999999999996E-2</v>
      </c>
      <c r="J118" s="5">
        <v>9.7199999999999995E-2</v>
      </c>
      <c r="K118" s="2">
        <f>987454.58*1383.065</f>
        <v>1365713868.6877</v>
      </c>
      <c r="L118" s="3">
        <f t="shared" si="45"/>
        <v>1.0501606856316919E-3</v>
      </c>
      <c r="M118" s="4">
        <f>10.25*1383.065</f>
        <v>14176.41625</v>
      </c>
      <c r="N118" s="4">
        <f>10.25*1383.065</f>
        <v>14176.41625</v>
      </c>
      <c r="O118" s="60">
        <v>42</v>
      </c>
      <c r="P118" s="5">
        <v>7.6399999999999996E-2</v>
      </c>
      <c r="Q118" s="5">
        <v>8.9300000000000004E-2</v>
      </c>
      <c r="R118" s="81">
        <f t="shared" ref="R118" si="52">((K118-D118)/D118)</f>
        <v>0.26865076769746665</v>
      </c>
      <c r="S118" s="81">
        <f t="shared" ref="S118" si="53">((N118-G118)/G118)</f>
        <v>0.18915112494256131</v>
      </c>
      <c r="T118" s="81">
        <f t="shared" ref="T118" si="54">((O118-H118)/H118)</f>
        <v>0.13513513513513514</v>
      </c>
      <c r="U118" s="81">
        <f t="shared" ref="U118" si="55">P118-I118</f>
        <v>0</v>
      </c>
      <c r="V118" s="83">
        <f t="shared" ref="V118" si="56">Q118-J118</f>
        <v>-7.8999999999999904E-3</v>
      </c>
      <c r="X118" s="117"/>
    </row>
    <row r="119" spans="1:24" ht="15.75">
      <c r="A119" s="75">
        <v>102</v>
      </c>
      <c r="B119" s="153" t="s">
        <v>144</v>
      </c>
      <c r="C119" s="155" t="s">
        <v>40</v>
      </c>
      <c r="D119" s="4">
        <v>15338672178</v>
      </c>
      <c r="E119" s="3">
        <f t="shared" si="51"/>
        <v>1.2342943232192571E-2</v>
      </c>
      <c r="F119" s="4">
        <f>1.0443*1165.343</f>
        <v>1216.9676949000002</v>
      </c>
      <c r="G119" s="4">
        <f>1.0443*1165.343</f>
        <v>1216.9676949000002</v>
      </c>
      <c r="H119" s="60">
        <v>371</v>
      </c>
      <c r="I119" s="5">
        <v>1.6999999999999999E-3</v>
      </c>
      <c r="J119" s="5">
        <v>8.7800000000000003E-2</v>
      </c>
      <c r="K119" s="4">
        <v>16270230897</v>
      </c>
      <c r="L119" s="3">
        <f t="shared" si="45"/>
        <v>1.2510934556590214E-2</v>
      </c>
      <c r="M119" s="4">
        <f>1.0458*1383.065</f>
        <v>1446.4093770000002</v>
      </c>
      <c r="N119" s="4">
        <f>1.0458*1383.065</f>
        <v>1446.4093770000002</v>
      </c>
      <c r="O119" s="60">
        <v>371</v>
      </c>
      <c r="P119" s="5">
        <v>1.6999999999999999E-3</v>
      </c>
      <c r="Q119" s="5">
        <v>8.7099999999999997E-2</v>
      </c>
      <c r="R119" s="81">
        <f t="shared" si="46"/>
        <v>6.0732683258992851E-2</v>
      </c>
      <c r="S119" s="81">
        <f t="shared" si="47"/>
        <v>0.18853555691045151</v>
      </c>
      <c r="T119" s="81">
        <f t="shared" si="48"/>
        <v>0</v>
      </c>
      <c r="U119" s="81">
        <f t="shared" si="49"/>
        <v>0</v>
      </c>
      <c r="V119" s="83">
        <f t="shared" si="50"/>
        <v>-7.0000000000000617E-4</v>
      </c>
      <c r="X119" s="117"/>
    </row>
    <row r="120" spans="1:24">
      <c r="A120" s="75">
        <v>103</v>
      </c>
      <c r="B120" s="152" t="s">
        <v>145</v>
      </c>
      <c r="C120" s="153" t="s">
        <v>80</v>
      </c>
      <c r="D120" s="4">
        <v>341742880.89999998</v>
      </c>
      <c r="E120" s="3">
        <f t="shared" si="51"/>
        <v>2.7499857419240075E-4</v>
      </c>
      <c r="F120" s="4">
        <f>1.05*11361</f>
        <v>11929.050000000001</v>
      </c>
      <c r="G120" s="4">
        <f>1.05*11361</f>
        <v>11929.050000000001</v>
      </c>
      <c r="H120" s="60">
        <v>2</v>
      </c>
      <c r="I120" s="5">
        <v>-1.1000000000000001E-3</v>
      </c>
      <c r="J120" s="5">
        <v>1.0999999999999999E-2</v>
      </c>
      <c r="K120" s="4">
        <v>341742880.89999998</v>
      </c>
      <c r="L120" s="3">
        <f t="shared" si="45"/>
        <v>2.6278193869448094E-4</v>
      </c>
      <c r="M120" s="4">
        <f>1.05*11361</f>
        <v>11929.050000000001</v>
      </c>
      <c r="N120" s="4">
        <f>1.05*11361</f>
        <v>11929.050000000001</v>
      </c>
      <c r="O120" s="60">
        <v>2</v>
      </c>
      <c r="P120" s="5">
        <v>-1.1000000000000001E-3</v>
      </c>
      <c r="Q120" s="5">
        <v>1.0999999999999999E-2</v>
      </c>
      <c r="R120" s="81">
        <f t="shared" si="46"/>
        <v>0</v>
      </c>
      <c r="S120" s="81">
        <f t="shared" si="47"/>
        <v>0</v>
      </c>
      <c r="T120" s="81">
        <f t="shared" si="48"/>
        <v>0</v>
      </c>
      <c r="U120" s="81">
        <f t="shared" si="49"/>
        <v>0</v>
      </c>
      <c r="V120" s="83">
        <f t="shared" si="50"/>
        <v>0</v>
      </c>
    </row>
    <row r="121" spans="1:24">
      <c r="A121" s="75">
        <v>104</v>
      </c>
      <c r="B121" s="152" t="s">
        <v>146</v>
      </c>
      <c r="C121" s="153" t="s">
        <v>42</v>
      </c>
      <c r="D121" s="2">
        <v>755619153754.39001</v>
      </c>
      <c r="E121" s="3">
        <f t="shared" si="51"/>
        <v>0.60804248318995702</v>
      </c>
      <c r="F121" s="4">
        <v>2040.28</v>
      </c>
      <c r="G121" s="4">
        <v>2040.28</v>
      </c>
      <c r="H121" s="60">
        <v>7226</v>
      </c>
      <c r="I121" s="5">
        <v>1.5E-3</v>
      </c>
      <c r="J121" s="5">
        <v>2.35E-2</v>
      </c>
      <c r="K121" s="2">
        <v>783153802755.43994</v>
      </c>
      <c r="L121" s="3">
        <f t="shared" si="45"/>
        <v>0.60220325304815925</v>
      </c>
      <c r="M121" s="4">
        <v>2104.9699999999998</v>
      </c>
      <c r="N121" s="4">
        <v>2104.9699999999998</v>
      </c>
      <c r="O121" s="60">
        <v>7287</v>
      </c>
      <c r="P121" s="5">
        <v>1.4E-3</v>
      </c>
      <c r="Q121" s="5">
        <v>2.4899999999999999E-2</v>
      </c>
      <c r="R121" s="81">
        <f t="shared" si="46"/>
        <v>3.6439850504371832E-2</v>
      </c>
      <c r="S121" s="81">
        <f t="shared" si="47"/>
        <v>3.1706432450447894E-2</v>
      </c>
      <c r="T121" s="81">
        <f t="shared" si="48"/>
        <v>8.4417381677276502E-3</v>
      </c>
      <c r="U121" s="81">
        <f t="shared" si="49"/>
        <v>-1.0000000000000005E-4</v>
      </c>
      <c r="V121" s="83">
        <f t="shared" si="50"/>
        <v>1.3999999999999985E-3</v>
      </c>
    </row>
    <row r="122" spans="1:24" ht="16.5" customHeight="1">
      <c r="A122" s="75">
        <v>105</v>
      </c>
      <c r="B122" s="152" t="s">
        <v>147</v>
      </c>
      <c r="C122" s="153" t="s">
        <v>45</v>
      </c>
      <c r="D122" s="2">
        <v>42655024329.849998</v>
      </c>
      <c r="E122" s="3">
        <f t="shared" si="51"/>
        <v>3.4324258173159553E-2</v>
      </c>
      <c r="F122" s="4">
        <v>1488.15</v>
      </c>
      <c r="G122" s="4">
        <v>1488.15</v>
      </c>
      <c r="H122" s="60">
        <v>259</v>
      </c>
      <c r="I122" s="5">
        <v>6.7900000000000002E-2</v>
      </c>
      <c r="J122" s="5">
        <v>7.6200000000000004E-2</v>
      </c>
      <c r="K122" s="2">
        <v>44600674753.419998</v>
      </c>
      <c r="L122" s="3">
        <f t="shared" si="45"/>
        <v>3.4295525770484891E-2</v>
      </c>
      <c r="M122" s="4">
        <v>1560.08</v>
      </c>
      <c r="N122" s="4">
        <v>1560.08</v>
      </c>
      <c r="O122" s="60">
        <v>251</v>
      </c>
      <c r="P122" s="5">
        <v>6.7900000000000002E-2</v>
      </c>
      <c r="Q122" s="5">
        <v>7.5800000000000006E-2</v>
      </c>
      <c r="R122" s="81">
        <f t="shared" si="46"/>
        <v>4.5613628268603122E-2</v>
      </c>
      <c r="S122" s="81">
        <f t="shared" si="47"/>
        <v>4.8335181265329326E-2</v>
      </c>
      <c r="T122" s="81">
        <f t="shared" si="48"/>
        <v>-3.0888030888030889E-2</v>
      </c>
      <c r="U122" s="81">
        <f t="shared" si="49"/>
        <v>0</v>
      </c>
      <c r="V122" s="83">
        <f t="shared" si="50"/>
        <v>-3.9999999999999758E-4</v>
      </c>
    </row>
    <row r="123" spans="1:24" ht="16.5" customHeight="1">
      <c r="A123" s="75">
        <v>106</v>
      </c>
      <c r="B123" s="152" t="s">
        <v>148</v>
      </c>
      <c r="C123" s="153" t="s">
        <v>32</v>
      </c>
      <c r="D123" s="4">
        <v>47015925572.363678</v>
      </c>
      <c r="E123" s="3">
        <f t="shared" ref="E123" si="57">(D123/$D$125)</f>
        <v>3.7833450875950775E-2</v>
      </c>
      <c r="F123" s="4">
        <f>1.1084*1309.39</f>
        <v>1451.3278760000003</v>
      </c>
      <c r="G123" s="4">
        <f>1.1084*1309.39</f>
        <v>1451.3278760000003</v>
      </c>
      <c r="H123" s="60">
        <v>1307</v>
      </c>
      <c r="I123" s="5">
        <v>9.0301607368625803E-4</v>
      </c>
      <c r="J123" s="5">
        <v>1.6134946828016083E-2</v>
      </c>
      <c r="K123" s="4">
        <v>50560903285.524849</v>
      </c>
      <c r="L123" s="3">
        <f t="shared" ref="L123" si="58">(K123/$K$125)</f>
        <v>3.8878621706832962E-2</v>
      </c>
      <c r="M123" s="4">
        <f>1.1095*1383.065</f>
        <v>1534.5106174999999</v>
      </c>
      <c r="N123" s="4">
        <f>1.1095*1383.065</f>
        <v>1534.5106174999999</v>
      </c>
      <c r="O123" s="60">
        <v>1313</v>
      </c>
      <c r="P123" s="5">
        <v>9.9242150848066757E-4</v>
      </c>
      <c r="Q123" s="5">
        <v>1.7143381004766978E-2</v>
      </c>
      <c r="R123" s="81">
        <f t="shared" ref="R123" si="59">((K123-D123)/D123)</f>
        <v>7.5399509208959103E-2</v>
      </c>
      <c r="S123" s="81">
        <f t="shared" ref="S123" si="60">((N123-G123)/G123)</f>
        <v>5.7314920270986065E-2</v>
      </c>
      <c r="T123" s="81">
        <f t="shared" ref="T123" si="61">((O123-H123)/H123)</f>
        <v>4.5906656465187455E-3</v>
      </c>
      <c r="U123" s="81">
        <f t="shared" ref="U123" si="62">P123-I123</f>
        <v>8.9405434794409544E-5</v>
      </c>
      <c r="V123" s="83">
        <f t="shared" ref="V123" si="63">Q123-J123</f>
        <v>1.0084341767508942E-3</v>
      </c>
    </row>
    <row r="124" spans="1:24">
      <c r="A124" s="75">
        <v>107</v>
      </c>
      <c r="B124" s="152" t="s">
        <v>263</v>
      </c>
      <c r="C124" s="153" t="s">
        <v>261</v>
      </c>
      <c r="D124" s="4">
        <f>707776.03*1165.343</f>
        <v>824801842.12829006</v>
      </c>
      <c r="E124" s="3">
        <f t="shared" si="51"/>
        <v>6.6371340341956318E-4</v>
      </c>
      <c r="F124" s="4">
        <f>1.16*1165.343</f>
        <v>1351.7978800000001</v>
      </c>
      <c r="G124" s="4">
        <f>1.16*1165.343</f>
        <v>1351.7978800000001</v>
      </c>
      <c r="H124" s="60">
        <v>29</v>
      </c>
      <c r="I124" s="5">
        <v>-9.8999999999999994E-5</v>
      </c>
      <c r="J124" s="5">
        <v>5.1180999999999997E-2</v>
      </c>
      <c r="K124" s="4">
        <f>630658.05*1383.065</f>
        <v>872241075.92325008</v>
      </c>
      <c r="L124" s="3">
        <f t="shared" si="45"/>
        <v>6.7070658600534904E-4</v>
      </c>
      <c r="M124" s="4">
        <f>1.16*1383.065</f>
        <v>1604.3553999999999</v>
      </c>
      <c r="N124" s="4">
        <f>1.16*1383.065</f>
        <v>1604.3553999999999</v>
      </c>
      <c r="O124" s="60">
        <v>29</v>
      </c>
      <c r="P124" s="5">
        <v>2.8999999999999998E-3</v>
      </c>
      <c r="Q124" s="5">
        <v>5.4199999999999998E-2</v>
      </c>
      <c r="R124" s="81">
        <f t="shared" si="46"/>
        <v>5.7515916395809046E-2</v>
      </c>
      <c r="S124" s="81">
        <f t="shared" si="47"/>
        <v>0.18683083006462461</v>
      </c>
      <c r="T124" s="81">
        <f t="shared" si="48"/>
        <v>0</v>
      </c>
      <c r="U124" s="81">
        <f t="shared" si="49"/>
        <v>2.9989999999999999E-3</v>
      </c>
      <c r="V124" s="83">
        <f t="shared" si="50"/>
        <v>3.0190000000000008E-3</v>
      </c>
    </row>
    <row r="125" spans="1:24">
      <c r="A125" s="75"/>
      <c r="B125" s="19"/>
      <c r="C125" s="66" t="s">
        <v>46</v>
      </c>
      <c r="D125" s="59">
        <f>SUM(D98:D124)</f>
        <v>1242707828226.4185</v>
      </c>
      <c r="E125" s="100">
        <f>(D125/$D$188)</f>
        <v>0.46679837755677661</v>
      </c>
      <c r="F125" s="30"/>
      <c r="G125" s="11"/>
      <c r="H125" s="65">
        <f>SUM(H98:H124)</f>
        <v>17460</v>
      </c>
      <c r="I125" s="33"/>
      <c r="J125" s="33"/>
      <c r="K125" s="59">
        <f>SUM(K98:K124)</f>
        <v>1300480857237.7634</v>
      </c>
      <c r="L125" s="100">
        <f>(K125/$K$188)</f>
        <v>0.47600120953017822</v>
      </c>
      <c r="M125" s="30"/>
      <c r="N125" s="11"/>
      <c r="O125" s="65">
        <f>SUM(O98:O124)</f>
        <v>17524</v>
      </c>
      <c r="P125" s="33"/>
      <c r="Q125" s="33"/>
      <c r="R125" s="81">
        <f t="shared" si="46"/>
        <v>4.6489631512016884E-2</v>
      </c>
      <c r="S125" s="81" t="e">
        <f t="shared" si="47"/>
        <v>#DIV/0!</v>
      </c>
      <c r="T125" s="81">
        <f t="shared" si="48"/>
        <v>3.6655211912943872E-3</v>
      </c>
      <c r="U125" s="81">
        <f t="shared" si="49"/>
        <v>0</v>
      </c>
      <c r="V125" s="83">
        <f t="shared" si="50"/>
        <v>0</v>
      </c>
    </row>
    <row r="126" spans="1:24" ht="8.25" customHeight="1">
      <c r="A126" s="158"/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</row>
    <row r="127" spans="1:24" ht="15.75">
      <c r="A127" s="165" t="s">
        <v>149</v>
      </c>
      <c r="B127" s="165"/>
      <c r="C127" s="16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5"/>
      <c r="S127" s="165"/>
      <c r="T127" s="165"/>
      <c r="U127" s="165"/>
      <c r="V127" s="165"/>
    </row>
    <row r="128" spans="1:24">
      <c r="A128" s="75">
        <v>108</v>
      </c>
      <c r="B128" s="152" t="s">
        <v>245</v>
      </c>
      <c r="C128" s="153" t="s">
        <v>246</v>
      </c>
      <c r="D128" s="2">
        <v>2258861493.2572155</v>
      </c>
      <c r="E128" s="3">
        <f>(D128/$D$133)</f>
        <v>2.2580062194197902E-2</v>
      </c>
      <c r="F128" s="14">
        <v>106.449646242093</v>
      </c>
      <c r="G128" s="14">
        <v>106.449646242093</v>
      </c>
      <c r="H128" s="60">
        <v>7</v>
      </c>
      <c r="I128" s="5">
        <v>3.6902919993770933E-3</v>
      </c>
      <c r="J128" s="5">
        <v>4.1700000000000001E-2</v>
      </c>
      <c r="K128" s="2">
        <v>2260982483.3099999</v>
      </c>
      <c r="L128" s="3">
        <f>(K128/$K$133)</f>
        <v>2.2795533938180859E-2</v>
      </c>
      <c r="M128" s="14">
        <v>106.65</v>
      </c>
      <c r="N128" s="14">
        <v>106.65</v>
      </c>
      <c r="O128" s="60">
        <v>7</v>
      </c>
      <c r="P128" s="5">
        <v>2E-3</v>
      </c>
      <c r="Q128" s="5">
        <v>4.2651816275404375E-2</v>
      </c>
      <c r="R128" s="81">
        <f t="shared" ref="R128:R133" si="64">((K128-D128)/D128)</f>
        <v>9.3896419019744062E-4</v>
      </c>
      <c r="S128" s="81">
        <f t="shared" ref="S128:T133" si="65">((N128-G128)/G128)</f>
        <v>1.8821458311975552E-3</v>
      </c>
      <c r="T128" s="81">
        <f t="shared" si="65"/>
        <v>0</v>
      </c>
      <c r="U128" s="81">
        <f t="shared" ref="U128:V133" si="66">P128-I128</f>
        <v>-1.6902919993770932E-3</v>
      </c>
      <c r="V128" s="83">
        <f t="shared" si="66"/>
        <v>9.5181627540437408E-4</v>
      </c>
    </row>
    <row r="129" spans="1:22">
      <c r="A129" s="75">
        <v>109</v>
      </c>
      <c r="B129" s="152" t="s">
        <v>150</v>
      </c>
      <c r="C129" s="153" t="s">
        <v>40</v>
      </c>
      <c r="D129" s="2">
        <v>53749983529</v>
      </c>
      <c r="E129" s="3">
        <f>(D129/$D$133)</f>
        <v>0.53729632146318229</v>
      </c>
      <c r="F129" s="14">
        <v>102.5</v>
      </c>
      <c r="G129" s="14">
        <v>102.5</v>
      </c>
      <c r="H129" s="60">
        <v>666</v>
      </c>
      <c r="I129" s="5">
        <v>0</v>
      </c>
      <c r="J129" s="5">
        <v>7.6999999999999999E-2</v>
      </c>
      <c r="K129" s="2">
        <v>53749983529</v>
      </c>
      <c r="L129" s="3">
        <f>(K129/$K$133)</f>
        <v>0.54191466884707751</v>
      </c>
      <c r="M129" s="14">
        <v>102.5</v>
      </c>
      <c r="N129" s="14">
        <v>102.5</v>
      </c>
      <c r="O129" s="60">
        <v>666</v>
      </c>
      <c r="P129" s="5">
        <v>0</v>
      </c>
      <c r="Q129" s="5">
        <v>7.6999999999999999E-2</v>
      </c>
      <c r="R129" s="81">
        <f t="shared" si="64"/>
        <v>0</v>
      </c>
      <c r="S129" s="81">
        <f t="shared" si="65"/>
        <v>0</v>
      </c>
      <c r="T129" s="81">
        <f t="shared" si="65"/>
        <v>0</v>
      </c>
      <c r="U129" s="81">
        <f t="shared" si="66"/>
        <v>0</v>
      </c>
      <c r="V129" s="83">
        <f t="shared" si="66"/>
        <v>0</v>
      </c>
    </row>
    <row r="130" spans="1:22" ht="17.25" customHeight="1">
      <c r="A130" s="75">
        <v>110</v>
      </c>
      <c r="B130" s="152" t="s">
        <v>151</v>
      </c>
      <c r="C130" s="153" t="s">
        <v>120</v>
      </c>
      <c r="D130" s="2">
        <v>2603480529.5379677</v>
      </c>
      <c r="E130" s="3">
        <f>(D130/$D$133)</f>
        <v>2.6024947724254548E-2</v>
      </c>
      <c r="F130" s="14">
        <v>101.35</v>
      </c>
      <c r="G130" s="14">
        <v>101.35</v>
      </c>
      <c r="H130" s="60">
        <v>2760</v>
      </c>
      <c r="I130" s="5">
        <v>0.36849999999999999</v>
      </c>
      <c r="J130" s="5">
        <v>9.35E-2</v>
      </c>
      <c r="K130" s="2">
        <v>2604779203.0564218</v>
      </c>
      <c r="L130" s="3">
        <f>(K130/$K$133)</f>
        <v>2.6261739382347622E-2</v>
      </c>
      <c r="M130" s="14">
        <v>101.35</v>
      </c>
      <c r="N130" s="14">
        <v>101.35</v>
      </c>
      <c r="O130" s="60">
        <v>2760</v>
      </c>
      <c r="P130" s="5">
        <v>3.5499999999999997E-2</v>
      </c>
      <c r="Q130" s="5">
        <v>8.9700000000000002E-2</v>
      </c>
      <c r="R130" s="81">
        <f t="shared" si="64"/>
        <v>4.9882205905513221E-4</v>
      </c>
      <c r="S130" s="81">
        <f t="shared" si="65"/>
        <v>0</v>
      </c>
      <c r="T130" s="81">
        <f t="shared" si="65"/>
        <v>0</v>
      </c>
      <c r="U130" s="81">
        <f t="shared" si="66"/>
        <v>-0.33300000000000002</v>
      </c>
      <c r="V130" s="83">
        <f t="shared" si="66"/>
        <v>-3.7999999999999978E-3</v>
      </c>
    </row>
    <row r="131" spans="1:22">
      <c r="A131" s="75">
        <v>111</v>
      </c>
      <c r="B131" s="152" t="s">
        <v>152</v>
      </c>
      <c r="C131" s="153" t="s">
        <v>120</v>
      </c>
      <c r="D131" s="2">
        <v>11061842254.559999</v>
      </c>
      <c r="E131" s="3">
        <f>(D131/$D$133)</f>
        <v>0.11057653903790246</v>
      </c>
      <c r="F131" s="14">
        <v>36.6</v>
      </c>
      <c r="G131" s="14">
        <v>36.6</v>
      </c>
      <c r="H131" s="60">
        <v>5264</v>
      </c>
      <c r="I131" s="5">
        <v>7.7399999999999997E-2</v>
      </c>
      <c r="J131" s="5">
        <v>0.15290000000000001</v>
      </c>
      <c r="K131" s="2">
        <v>10437442898.09</v>
      </c>
      <c r="L131" s="3">
        <f>(K131/$K$133)</f>
        <v>0.10523172362791523</v>
      </c>
      <c r="M131" s="14">
        <v>36.6</v>
      </c>
      <c r="N131" s="14">
        <v>36.6</v>
      </c>
      <c r="O131" s="60">
        <v>5264</v>
      </c>
      <c r="P131" s="5">
        <v>7.7399999999999997E-2</v>
      </c>
      <c r="Q131" s="5">
        <v>0.15290000000000001</v>
      </c>
      <c r="R131" s="81">
        <f t="shared" si="64"/>
        <v>-5.6446235816878014E-2</v>
      </c>
      <c r="S131" s="81">
        <f t="shared" si="65"/>
        <v>0</v>
      </c>
      <c r="T131" s="81">
        <f t="shared" si="65"/>
        <v>0</v>
      </c>
      <c r="U131" s="81">
        <f t="shared" si="66"/>
        <v>0</v>
      </c>
      <c r="V131" s="83">
        <f t="shared" si="66"/>
        <v>0</v>
      </c>
    </row>
    <row r="132" spans="1:22">
      <c r="A132" s="75">
        <v>112</v>
      </c>
      <c r="B132" s="152" t="s">
        <v>153</v>
      </c>
      <c r="C132" s="153" t="s">
        <v>42</v>
      </c>
      <c r="D132" s="2">
        <v>30363709584.330002</v>
      </c>
      <c r="E132" s="3">
        <f>(D132/$D$133)</f>
        <v>0.30352212958046287</v>
      </c>
      <c r="F132" s="14">
        <v>4.05</v>
      </c>
      <c r="G132" s="14">
        <v>4.05</v>
      </c>
      <c r="H132" s="60">
        <v>208300</v>
      </c>
      <c r="I132" s="5">
        <v>-5.8099999999999999E-2</v>
      </c>
      <c r="J132" s="5">
        <v>-0.36720000000000003</v>
      </c>
      <c r="K132" s="2">
        <v>30132138689.66</v>
      </c>
      <c r="L132" s="3">
        <f>(K132/$K$133)</f>
        <v>0.30379633420447871</v>
      </c>
      <c r="M132" s="14">
        <v>4.45</v>
      </c>
      <c r="N132" s="14">
        <v>4.45</v>
      </c>
      <c r="O132" s="60">
        <v>208300</v>
      </c>
      <c r="P132" s="5">
        <v>9.8799999999999999E-2</v>
      </c>
      <c r="Q132" s="5">
        <v>-0.30470000000000003</v>
      </c>
      <c r="R132" s="81">
        <f t="shared" si="64"/>
        <v>-7.6265679602439051E-3</v>
      </c>
      <c r="S132" s="81">
        <f t="shared" si="65"/>
        <v>9.8765432098765524E-2</v>
      </c>
      <c r="T132" s="81">
        <f t="shared" si="65"/>
        <v>0</v>
      </c>
      <c r="U132" s="81">
        <f t="shared" si="66"/>
        <v>0.15689999999999998</v>
      </c>
      <c r="V132" s="83">
        <f t="shared" si="66"/>
        <v>6.25E-2</v>
      </c>
    </row>
    <row r="133" spans="1:22">
      <c r="A133" s="119"/>
      <c r="B133" s="120"/>
      <c r="C133" s="121" t="s">
        <v>46</v>
      </c>
      <c r="D133" s="58">
        <f>SUM(D128:D132)</f>
        <v>100037877390.68518</v>
      </c>
      <c r="E133" s="100">
        <f>(D133/$D$188)</f>
        <v>3.7577230785487102E-2</v>
      </c>
      <c r="F133" s="30"/>
      <c r="G133" s="34"/>
      <c r="H133" s="65">
        <f>SUM(H128:H132)</f>
        <v>216997</v>
      </c>
      <c r="I133" s="35"/>
      <c r="J133" s="35"/>
      <c r="K133" s="58">
        <f>SUM(K128:K132)</f>
        <v>99185326803.116425</v>
      </c>
      <c r="L133" s="100">
        <f>(K133/$K$188)</f>
        <v>3.630375277203924E-2</v>
      </c>
      <c r="M133" s="30"/>
      <c r="N133" s="34"/>
      <c r="O133" s="65">
        <f>SUM(O128:O132)</f>
        <v>216997</v>
      </c>
      <c r="P133" s="35"/>
      <c r="Q133" s="35"/>
      <c r="R133" s="81">
        <f t="shared" si="64"/>
        <v>-8.5222778592075523E-3</v>
      </c>
      <c r="S133" s="81" t="e">
        <f t="shared" si="65"/>
        <v>#DIV/0!</v>
      </c>
      <c r="T133" s="81">
        <f t="shared" si="65"/>
        <v>0</v>
      </c>
      <c r="U133" s="81">
        <f t="shared" si="66"/>
        <v>0</v>
      </c>
      <c r="V133" s="83">
        <f t="shared" si="66"/>
        <v>0</v>
      </c>
    </row>
    <row r="134" spans="1:22" ht="7.5" customHeight="1">
      <c r="A134" s="158"/>
      <c r="B134" s="158"/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</row>
    <row r="135" spans="1:22" ht="15" customHeight="1">
      <c r="A135" s="165" t="s">
        <v>154</v>
      </c>
      <c r="B135" s="165"/>
      <c r="C135" s="16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  <c r="S135" s="165"/>
      <c r="T135" s="165"/>
      <c r="U135" s="165"/>
      <c r="V135" s="165"/>
    </row>
    <row r="136" spans="1:22">
      <c r="A136" s="75">
        <v>113</v>
      </c>
      <c r="B136" s="152" t="s">
        <v>155</v>
      </c>
      <c r="C136" s="153" t="s">
        <v>50</v>
      </c>
      <c r="D136" s="4">
        <v>221110553.80000001</v>
      </c>
      <c r="E136" s="3">
        <f t="shared" ref="E136:E161" si="67">(D136/$D$162)</f>
        <v>4.6665865105923049E-3</v>
      </c>
      <c r="F136" s="4">
        <v>5.18</v>
      </c>
      <c r="G136" s="4">
        <v>5.23</v>
      </c>
      <c r="H136" s="62">
        <v>11832</v>
      </c>
      <c r="I136" s="6">
        <v>-1.03E-2</v>
      </c>
      <c r="J136" s="6">
        <v>0.03</v>
      </c>
      <c r="K136" s="4">
        <v>232343288.19</v>
      </c>
      <c r="L136" s="16">
        <f t="shared" ref="L136:L152" si="68">(K136/$K$162)</f>
        <v>4.8105383591777054E-3</v>
      </c>
      <c r="M136" s="4">
        <v>5.23</v>
      </c>
      <c r="N136" s="4">
        <v>5.28</v>
      </c>
      <c r="O136" s="62">
        <v>11832</v>
      </c>
      <c r="P136" s="6">
        <v>8.8999999999999999E-3</v>
      </c>
      <c r="Q136" s="6">
        <v>3.8899999999999997E-2</v>
      </c>
      <c r="R136" s="81">
        <f>((K136-D136)/D136)</f>
        <v>5.080143935671326E-2</v>
      </c>
      <c r="S136" s="81">
        <f>((N136-G136)/G136)</f>
        <v>9.5602294455066576E-3</v>
      </c>
      <c r="T136" s="81">
        <f>((O136-H136)/H136)</f>
        <v>0</v>
      </c>
      <c r="U136" s="81">
        <f>P136-I136</f>
        <v>1.9200000000000002E-2</v>
      </c>
      <c r="V136" s="83">
        <f>Q136-J136</f>
        <v>8.8999999999999982E-3</v>
      </c>
    </row>
    <row r="137" spans="1:22">
      <c r="A137" s="75">
        <v>114</v>
      </c>
      <c r="B137" s="152" t="s">
        <v>255</v>
      </c>
      <c r="C137" s="152" t="s">
        <v>254</v>
      </c>
      <c r="D137" s="4">
        <v>578579833.80194354</v>
      </c>
      <c r="E137" s="3">
        <f t="shared" si="67"/>
        <v>1.2211053707382498E-2</v>
      </c>
      <c r="F137" s="4">
        <v>1105.320045630601</v>
      </c>
      <c r="G137" s="4">
        <v>1115.7153058424267</v>
      </c>
      <c r="H137" s="62">
        <v>171</v>
      </c>
      <c r="I137" s="6">
        <v>-2.5494024127647834E-4</v>
      </c>
      <c r="J137" s="6">
        <v>-1.3384971044997593E-2</v>
      </c>
      <c r="K137" s="4">
        <v>586927653.8099227</v>
      </c>
      <c r="L137" s="16">
        <f t="shared" si="68"/>
        <v>1.2152010134271337E-2</v>
      </c>
      <c r="M137" s="4">
        <v>1121.2005588267789</v>
      </c>
      <c r="N137" s="4">
        <v>1131.6665476745429</v>
      </c>
      <c r="O137" s="62">
        <v>172</v>
      </c>
      <c r="P137" s="6">
        <v>1.432455088561263E-2</v>
      </c>
      <c r="Q137" s="6">
        <v>7.4784614177851767E-4</v>
      </c>
      <c r="R137" s="81">
        <f>((K137-D137)/D137)</f>
        <v>1.4428121272606845E-2</v>
      </c>
      <c r="S137" s="81">
        <f>((N137-G137)/G137)</f>
        <v>1.4296874613611373E-2</v>
      </c>
      <c r="T137" s="81">
        <f>((O137-H137)/H137)</f>
        <v>5.8479532163742687E-3</v>
      </c>
      <c r="U137" s="81">
        <f>P137-I137</f>
        <v>1.4579491126889109E-2</v>
      </c>
      <c r="V137" s="83">
        <f>Q137-J137</f>
        <v>1.4132817186776111E-2</v>
      </c>
    </row>
    <row r="138" spans="1:22">
      <c r="A138" s="75">
        <v>115</v>
      </c>
      <c r="B138" s="152" t="s">
        <v>156</v>
      </c>
      <c r="C138" s="153" t="s">
        <v>21</v>
      </c>
      <c r="D138" s="4">
        <v>7136402326.2700005</v>
      </c>
      <c r="E138" s="3">
        <f t="shared" si="67"/>
        <v>0.15061532910841602</v>
      </c>
      <c r="F138" s="4">
        <v>749.10469999999998</v>
      </c>
      <c r="G138" s="4">
        <v>771.69069999999999</v>
      </c>
      <c r="H138" s="62">
        <v>21237</v>
      </c>
      <c r="I138" s="6">
        <v>-0.25580000000000003</v>
      </c>
      <c r="J138" s="6">
        <v>0.40910000000000002</v>
      </c>
      <c r="K138" s="4">
        <v>7233298650.4399996</v>
      </c>
      <c r="L138" s="16">
        <f t="shared" si="68"/>
        <v>0.14976141937388471</v>
      </c>
      <c r="M138" s="4">
        <v>759.05619999999999</v>
      </c>
      <c r="N138" s="4">
        <v>781.94240000000002</v>
      </c>
      <c r="O138" s="62">
        <v>21244</v>
      </c>
      <c r="P138" s="6">
        <v>0.6946</v>
      </c>
      <c r="Q138" s="6">
        <v>0.4304</v>
      </c>
      <c r="R138" s="81">
        <f t="shared" ref="R138:R162" si="69">((K138-D138)/D138)</f>
        <v>1.3577755252574744E-2</v>
      </c>
      <c r="S138" s="81">
        <f t="shared" ref="S138:S162" si="70">((N138-G138)/G138)</f>
        <v>1.3284726639831254E-2</v>
      </c>
      <c r="T138" s="81">
        <f t="shared" ref="T138:T162" si="71">((O138-H138)/H138)</f>
        <v>3.2961341055704667E-4</v>
      </c>
      <c r="U138" s="81">
        <f t="shared" ref="U138:U162" si="72">P138-I138</f>
        <v>0.95040000000000002</v>
      </c>
      <c r="V138" s="83">
        <f t="shared" ref="V138:V162" si="73">Q138-J138</f>
        <v>2.1299999999999986E-2</v>
      </c>
    </row>
    <row r="139" spans="1:22">
      <c r="A139" s="75">
        <v>116</v>
      </c>
      <c r="B139" s="152" t="s">
        <v>157</v>
      </c>
      <c r="C139" s="153" t="s">
        <v>91</v>
      </c>
      <c r="D139" s="4">
        <v>3380041450.0599999</v>
      </c>
      <c r="E139" s="3">
        <f t="shared" si="67"/>
        <v>7.1336512730912655E-2</v>
      </c>
      <c r="F139" s="4">
        <v>18.976199999999999</v>
      </c>
      <c r="G139" s="4">
        <v>19.194500000000001</v>
      </c>
      <c r="H139" s="60">
        <v>6257</v>
      </c>
      <c r="I139" s="5">
        <v>5.5999999999999999E-3</v>
      </c>
      <c r="J139" s="5">
        <v>2.87E-2</v>
      </c>
      <c r="K139" s="4">
        <v>3435732256.54</v>
      </c>
      <c r="L139" s="16">
        <f t="shared" si="68"/>
        <v>7.1134922556636157E-2</v>
      </c>
      <c r="M139" s="4">
        <v>18.437799999999999</v>
      </c>
      <c r="N139" s="4">
        <v>18.641100000000002</v>
      </c>
      <c r="O139" s="60">
        <v>6251</v>
      </c>
      <c r="P139" s="5">
        <v>2.2700000000000001E-2</v>
      </c>
      <c r="Q139" s="5">
        <v>-6.9999999999999999E-4</v>
      </c>
      <c r="R139" s="81">
        <f t="shared" si="69"/>
        <v>1.647636790933775E-2</v>
      </c>
      <c r="S139" s="81">
        <f t="shared" si="70"/>
        <v>-2.8831175597176267E-2</v>
      </c>
      <c r="T139" s="81">
        <f t="shared" si="71"/>
        <v>-9.5892600287677805E-4</v>
      </c>
      <c r="U139" s="81">
        <f t="shared" si="72"/>
        <v>1.7100000000000001E-2</v>
      </c>
      <c r="V139" s="83">
        <f t="shared" si="73"/>
        <v>-2.9399999999999999E-2</v>
      </c>
    </row>
    <row r="140" spans="1:22">
      <c r="A140" s="75">
        <v>117</v>
      </c>
      <c r="B140" s="152" t="s">
        <v>158</v>
      </c>
      <c r="C140" s="153" t="s">
        <v>101</v>
      </c>
      <c r="D140" s="2">
        <v>1412137473.6460843</v>
      </c>
      <c r="E140" s="3">
        <f t="shared" si="67"/>
        <v>2.9803469677794788E-2</v>
      </c>
      <c r="F140" s="4">
        <v>3.3203</v>
      </c>
      <c r="G140" s="4">
        <v>3.4016000000000002</v>
      </c>
      <c r="H140" s="60">
        <v>2753</v>
      </c>
      <c r="I140" s="5">
        <v>-0.33900000000000002</v>
      </c>
      <c r="J140" s="5">
        <v>0.21609999999999999</v>
      </c>
      <c r="K140" s="2">
        <v>1475170435.9088736</v>
      </c>
      <c r="L140" s="16">
        <f t="shared" si="68"/>
        <v>3.0542582157404272E-2</v>
      </c>
      <c r="M140" s="4">
        <v>3.4674</v>
      </c>
      <c r="N140" s="4">
        <v>3.5545</v>
      </c>
      <c r="O140" s="60">
        <v>2753</v>
      </c>
      <c r="P140" s="5">
        <v>2.3502000000000001</v>
      </c>
      <c r="Q140" s="5">
        <v>0.34570000000000001</v>
      </c>
      <c r="R140" s="81">
        <f t="shared" si="69"/>
        <v>4.4636562260500445E-2</v>
      </c>
      <c r="S140" s="81">
        <f t="shared" si="70"/>
        <v>4.4949435559736538E-2</v>
      </c>
      <c r="T140" s="81">
        <f t="shared" si="71"/>
        <v>0</v>
      </c>
      <c r="U140" s="81">
        <f t="shared" si="72"/>
        <v>2.6892</v>
      </c>
      <c r="V140" s="83">
        <f t="shared" si="73"/>
        <v>0.12960000000000002</v>
      </c>
    </row>
    <row r="141" spans="1:22">
      <c r="A141" s="75">
        <v>118</v>
      </c>
      <c r="B141" s="152" t="s">
        <v>159</v>
      </c>
      <c r="C141" s="153" t="s">
        <v>56</v>
      </c>
      <c r="D141" s="4">
        <v>3121183735.2797599</v>
      </c>
      <c r="E141" s="3">
        <f t="shared" si="67"/>
        <v>6.5873264146908528E-2</v>
      </c>
      <c r="F141" s="4">
        <v>5794.1524981252996</v>
      </c>
      <c r="G141" s="4">
        <v>5833.88933736341</v>
      </c>
      <c r="H141" s="60">
        <v>869</v>
      </c>
      <c r="I141" s="5">
        <v>0.41702671675645697</v>
      </c>
      <c r="J141" s="5">
        <v>3.6019196989394266E-3</v>
      </c>
      <c r="K141" s="4">
        <v>3214096708.0365901</v>
      </c>
      <c r="L141" s="16">
        <f t="shared" si="68"/>
        <v>6.6546081983108754E-2</v>
      </c>
      <c r="M141" s="4">
        <v>6002.68345625436</v>
      </c>
      <c r="N141" s="4">
        <v>6045.54274215839</v>
      </c>
      <c r="O141" s="60">
        <v>867</v>
      </c>
      <c r="P141" s="5">
        <v>1.8817575305430825</v>
      </c>
      <c r="Q141" s="5">
        <v>0.10974914796105485</v>
      </c>
      <c r="R141" s="81">
        <f t="shared" si="69"/>
        <v>2.9768504720374043E-2</v>
      </c>
      <c r="S141" s="81">
        <f t="shared" si="70"/>
        <v>3.6279982796285838E-2</v>
      </c>
      <c r="T141" s="81">
        <f t="shared" si="71"/>
        <v>-2.3014959723820483E-3</v>
      </c>
      <c r="U141" s="81">
        <f t="shared" si="72"/>
        <v>1.4647308137866255</v>
      </c>
      <c r="V141" s="83">
        <f t="shared" si="73"/>
        <v>0.10614722826211542</v>
      </c>
    </row>
    <row r="142" spans="1:22">
      <c r="A142" s="75">
        <v>119</v>
      </c>
      <c r="B142" s="152" t="s">
        <v>160</v>
      </c>
      <c r="C142" s="153" t="s">
        <v>58</v>
      </c>
      <c r="D142" s="4">
        <v>583149872.98000002</v>
      </c>
      <c r="E142" s="3">
        <f t="shared" si="67"/>
        <v>1.2307505381961934E-2</v>
      </c>
      <c r="F142" s="4">
        <v>174.54</v>
      </c>
      <c r="G142" s="4">
        <v>175.74</v>
      </c>
      <c r="H142" s="60">
        <v>669</v>
      </c>
      <c r="I142" s="5">
        <v>-1.7999999999999999E-2</v>
      </c>
      <c r="J142" s="5">
        <v>8.9999999999999993E-3</v>
      </c>
      <c r="K142" s="4">
        <v>582609049.78999996</v>
      </c>
      <c r="L142" s="16">
        <f t="shared" si="68"/>
        <v>1.2062595843642254E-2</v>
      </c>
      <c r="M142" s="4">
        <v>158.86000000000001</v>
      </c>
      <c r="N142" s="4">
        <v>160.12</v>
      </c>
      <c r="O142" s="60">
        <v>670</v>
      </c>
      <c r="P142" s="5">
        <v>4.5499999999999999E-2</v>
      </c>
      <c r="Q142" s="5">
        <v>4.19E-2</v>
      </c>
      <c r="R142" s="81">
        <f t="shared" si="69"/>
        <v>-9.2741714447497705E-4</v>
      </c>
      <c r="S142" s="81">
        <f t="shared" si="70"/>
        <v>-8.8881301923295797E-2</v>
      </c>
      <c r="T142" s="81">
        <f t="shared" si="71"/>
        <v>1.4947683109118087E-3</v>
      </c>
      <c r="U142" s="81">
        <f t="shared" si="72"/>
        <v>6.3500000000000001E-2</v>
      </c>
      <c r="V142" s="83">
        <f t="shared" si="73"/>
        <v>3.2899999999999999E-2</v>
      </c>
    </row>
    <row r="143" spans="1:22">
      <c r="A143" s="75">
        <v>120</v>
      </c>
      <c r="B143" s="152" t="s">
        <v>161</v>
      </c>
      <c r="C143" s="153" t="s">
        <v>60</v>
      </c>
      <c r="D143" s="4">
        <v>3734808.11</v>
      </c>
      <c r="E143" s="3">
        <f t="shared" si="67"/>
        <v>7.8823940541262116E-5</v>
      </c>
      <c r="F143" s="4">
        <v>102.747</v>
      </c>
      <c r="G143" s="4">
        <v>102.99</v>
      </c>
      <c r="H143" s="60">
        <v>0</v>
      </c>
      <c r="I143" s="5">
        <v>0</v>
      </c>
      <c r="J143" s="5">
        <v>0</v>
      </c>
      <c r="K143" s="4">
        <v>3734808.11</v>
      </c>
      <c r="L143" s="16">
        <f t="shared" si="68"/>
        <v>7.7327121507511911E-5</v>
      </c>
      <c r="M143" s="4">
        <v>102.747</v>
      </c>
      <c r="N143" s="4">
        <v>102.99</v>
      </c>
      <c r="O143" s="60">
        <v>0</v>
      </c>
      <c r="P143" s="5">
        <v>0</v>
      </c>
      <c r="Q143" s="5">
        <v>0</v>
      </c>
      <c r="R143" s="81">
        <f t="shared" si="69"/>
        <v>0</v>
      </c>
      <c r="S143" s="81">
        <f t="shared" si="70"/>
        <v>0</v>
      </c>
      <c r="T143" s="81" t="e">
        <f t="shared" si="71"/>
        <v>#DIV/0!</v>
      </c>
      <c r="U143" s="81">
        <f t="shared" si="72"/>
        <v>0</v>
      </c>
      <c r="V143" s="83">
        <f t="shared" si="73"/>
        <v>0</v>
      </c>
    </row>
    <row r="144" spans="1:22">
      <c r="A144" s="75">
        <v>121</v>
      </c>
      <c r="B144" s="152" t="s">
        <v>162</v>
      </c>
      <c r="C144" s="153" t="s">
        <v>105</v>
      </c>
      <c r="D144" s="4">
        <v>181877508.41999999</v>
      </c>
      <c r="E144" s="3">
        <f t="shared" si="67"/>
        <v>3.8385645225266956E-3</v>
      </c>
      <c r="F144" s="4">
        <v>1.5226</v>
      </c>
      <c r="G144" s="4">
        <v>1.5353000000000001</v>
      </c>
      <c r="H144" s="60">
        <v>293</v>
      </c>
      <c r="I144" s="5">
        <v>-5.8762078871769097E-3</v>
      </c>
      <c r="J144" s="5">
        <v>2.5112771830606562E-2</v>
      </c>
      <c r="K144" s="4">
        <v>184158639.77000001</v>
      </c>
      <c r="L144" s="16">
        <f t="shared" si="68"/>
        <v>3.8129020540637378E-3</v>
      </c>
      <c r="M144" s="4">
        <v>1.5417000000000001</v>
      </c>
      <c r="N144" s="4">
        <v>1.5548</v>
      </c>
      <c r="O144" s="60">
        <v>296</v>
      </c>
      <c r="P144" s="5">
        <v>1.2544332063575636E-2</v>
      </c>
      <c r="Q144" s="5">
        <v>3.7972126843061949E-2</v>
      </c>
      <c r="R144" s="81">
        <f t="shared" si="69"/>
        <v>1.2542129974269987E-2</v>
      </c>
      <c r="S144" s="81">
        <f t="shared" si="70"/>
        <v>1.2701100762065948E-2</v>
      </c>
      <c r="T144" s="81">
        <f t="shared" si="71"/>
        <v>1.0238907849829351E-2</v>
      </c>
      <c r="U144" s="81">
        <f t="shared" si="72"/>
        <v>1.8420539950752546E-2</v>
      </c>
      <c r="V144" s="83">
        <f t="shared" si="73"/>
        <v>1.2859355012455387E-2</v>
      </c>
    </row>
    <row r="145" spans="1:24">
      <c r="A145" s="75">
        <v>122</v>
      </c>
      <c r="B145" s="152" t="s">
        <v>163</v>
      </c>
      <c r="C145" s="153" t="s">
        <v>25</v>
      </c>
      <c r="D145" s="9">
        <v>129308118.8</v>
      </c>
      <c r="E145" s="3">
        <f t="shared" si="67"/>
        <v>2.7290760776980476E-3</v>
      </c>
      <c r="F145" s="4">
        <v>143.45089999999999</v>
      </c>
      <c r="G145" s="4">
        <v>143.45089999999999</v>
      </c>
      <c r="H145" s="60">
        <v>101</v>
      </c>
      <c r="I145" s="5">
        <v>4.9059999999999998E-3</v>
      </c>
      <c r="J145" s="5">
        <v>0.2994</v>
      </c>
      <c r="K145" s="9">
        <v>128867123.59</v>
      </c>
      <c r="L145" s="16">
        <f t="shared" si="68"/>
        <v>2.6681220107363118E-3</v>
      </c>
      <c r="M145" s="4">
        <v>143.23769999999999</v>
      </c>
      <c r="N145" s="4">
        <v>143.7439</v>
      </c>
      <c r="O145" s="60">
        <v>103</v>
      </c>
      <c r="P145" s="5">
        <v>2.6919999999999999E-3</v>
      </c>
      <c r="Q145" s="5">
        <v>0.30890000000000001</v>
      </c>
      <c r="R145" s="81">
        <f t="shared" si="69"/>
        <v>-3.4104216664235737E-3</v>
      </c>
      <c r="S145" s="81">
        <f t="shared" si="70"/>
        <v>2.0425107127247468E-3</v>
      </c>
      <c r="T145" s="81">
        <f t="shared" si="71"/>
        <v>1.9801980198019802E-2</v>
      </c>
      <c r="U145" s="81">
        <f t="shared" si="72"/>
        <v>-2.2139999999999998E-3</v>
      </c>
      <c r="V145" s="83">
        <f t="shared" si="73"/>
        <v>9.5000000000000084E-3</v>
      </c>
    </row>
    <row r="146" spans="1:24">
      <c r="A146" s="75">
        <v>123</v>
      </c>
      <c r="B146" s="152" t="s">
        <v>164</v>
      </c>
      <c r="C146" s="153" t="s">
        <v>64</v>
      </c>
      <c r="D146" s="9">
        <v>198595379.75</v>
      </c>
      <c r="E146" s="3">
        <f t="shared" si="67"/>
        <v>4.1913988467759252E-3</v>
      </c>
      <c r="F146" s="4">
        <v>111.02</v>
      </c>
      <c r="G146" s="4">
        <v>112.2</v>
      </c>
      <c r="H146" s="60">
        <v>28</v>
      </c>
      <c r="I146" s="5">
        <v>-1.4E-3</v>
      </c>
      <c r="J146" s="5">
        <v>7.4399999999999994E-2</v>
      </c>
      <c r="K146" s="9">
        <v>198595379.75</v>
      </c>
      <c r="L146" s="16">
        <f t="shared" si="68"/>
        <v>4.1118067136141885E-3</v>
      </c>
      <c r="M146" s="4">
        <v>111.56</v>
      </c>
      <c r="N146" s="4">
        <v>112.28</v>
      </c>
      <c r="O146" s="60">
        <v>28</v>
      </c>
      <c r="P146" s="5">
        <v>-1.4E-3</v>
      </c>
      <c r="Q146" s="5">
        <v>7.4399999999999994E-2</v>
      </c>
      <c r="R146" s="81">
        <f t="shared" si="69"/>
        <v>0</v>
      </c>
      <c r="S146" s="81">
        <f t="shared" si="70"/>
        <v>7.1301247771834487E-4</v>
      </c>
      <c r="T146" s="81">
        <f t="shared" si="71"/>
        <v>0</v>
      </c>
      <c r="U146" s="81">
        <f t="shared" si="72"/>
        <v>0</v>
      </c>
      <c r="V146" s="83">
        <f t="shared" si="73"/>
        <v>0</v>
      </c>
    </row>
    <row r="147" spans="1:24" ht="15.75" customHeight="1">
      <c r="A147" s="75">
        <v>124</v>
      </c>
      <c r="B147" s="152" t="s">
        <v>165</v>
      </c>
      <c r="C147" s="153" t="s">
        <v>67</v>
      </c>
      <c r="D147" s="2">
        <v>323578480.92000002</v>
      </c>
      <c r="E147" s="3">
        <f t="shared" si="67"/>
        <v>6.8291944831591362E-3</v>
      </c>
      <c r="F147" s="4">
        <v>1.3571</v>
      </c>
      <c r="G147" s="4">
        <v>1.3729</v>
      </c>
      <c r="H147" s="60">
        <v>141</v>
      </c>
      <c r="I147" s="5">
        <v>-2.7098716753889206E-2</v>
      </c>
      <c r="J147" s="5">
        <v>4.1040196379257349E-2</v>
      </c>
      <c r="K147" s="2">
        <v>322029492.49000001</v>
      </c>
      <c r="L147" s="16">
        <f t="shared" si="68"/>
        <v>6.6674412610656522E-3</v>
      </c>
      <c r="M147" s="4">
        <v>1.3620000000000001</v>
      </c>
      <c r="N147" s="4">
        <v>1.3779999999999999</v>
      </c>
      <c r="O147" s="60">
        <v>141</v>
      </c>
      <c r="P147" s="5">
        <v>3.6106403360107041E-3</v>
      </c>
      <c r="Q147" s="5">
        <v>4.4799018103712798E-2</v>
      </c>
      <c r="R147" s="81">
        <f t="shared" si="69"/>
        <v>-4.7870563753062787E-3</v>
      </c>
      <c r="S147" s="81">
        <f t="shared" si="70"/>
        <v>3.7147643673973939E-3</v>
      </c>
      <c r="T147" s="81">
        <f t="shared" si="71"/>
        <v>0</v>
      </c>
      <c r="U147" s="81">
        <f t="shared" si="72"/>
        <v>3.070935708989991E-2</v>
      </c>
      <c r="V147" s="83">
        <f t="shared" si="73"/>
        <v>3.7588217244554495E-3</v>
      </c>
      <c r="X147" s="105"/>
    </row>
    <row r="148" spans="1:24">
      <c r="A148" s="75">
        <v>125</v>
      </c>
      <c r="B148" s="152" t="s">
        <v>166</v>
      </c>
      <c r="C148" s="153" t="s">
        <v>27</v>
      </c>
      <c r="D148" s="4">
        <v>8078349834.5600004</v>
      </c>
      <c r="E148" s="3">
        <f t="shared" si="67"/>
        <v>0.17049533691594992</v>
      </c>
      <c r="F148" s="4">
        <v>294.99</v>
      </c>
      <c r="G148" s="4">
        <v>296.95999999999998</v>
      </c>
      <c r="H148" s="60">
        <v>5498</v>
      </c>
      <c r="I148" s="5">
        <v>2.8999999999999998E-3</v>
      </c>
      <c r="J148" s="5">
        <v>9.0899999999999995E-2</v>
      </c>
      <c r="K148" s="4">
        <v>8148373900.5799999</v>
      </c>
      <c r="L148" s="16">
        <f t="shared" si="68"/>
        <v>0.16870754270124694</v>
      </c>
      <c r="M148" s="4">
        <v>297.58999999999997</v>
      </c>
      <c r="N148" s="4">
        <v>299.58999999999997</v>
      </c>
      <c r="O148" s="60">
        <v>5499</v>
      </c>
      <c r="P148" s="5">
        <v>8.8000000000000005E-3</v>
      </c>
      <c r="Q148" s="5">
        <v>0.10050000000000001</v>
      </c>
      <c r="R148" s="81">
        <f t="shared" si="69"/>
        <v>8.6681150796947964E-3</v>
      </c>
      <c r="S148" s="81">
        <f t="shared" si="70"/>
        <v>8.8564116379310203E-3</v>
      </c>
      <c r="T148" s="81">
        <f t="shared" si="71"/>
        <v>1.8188432157148054E-4</v>
      </c>
      <c r="U148" s="81">
        <f t="shared" si="72"/>
        <v>5.9000000000000007E-3</v>
      </c>
      <c r="V148" s="83">
        <f t="shared" si="73"/>
        <v>9.6000000000000113E-3</v>
      </c>
    </row>
    <row r="149" spans="1:24">
      <c r="A149" s="75">
        <v>126</v>
      </c>
      <c r="B149" s="152" t="s">
        <v>167</v>
      </c>
      <c r="C149" s="153" t="s">
        <v>72</v>
      </c>
      <c r="D149" s="4">
        <v>2624809652.5300002</v>
      </c>
      <c r="E149" s="3">
        <f t="shared" si="67"/>
        <v>5.5397180762562823E-2</v>
      </c>
      <c r="F149" s="4">
        <v>1.8375999999999999</v>
      </c>
      <c r="G149" s="4">
        <v>1.8675999999999999</v>
      </c>
      <c r="H149" s="60">
        <v>10316</v>
      </c>
      <c r="I149" s="5">
        <v>-5.3E-3</v>
      </c>
      <c r="J149" s="5">
        <v>5.3100000000000001E-2</v>
      </c>
      <c r="K149" s="4">
        <v>2673440497.71</v>
      </c>
      <c r="L149" s="16">
        <f t="shared" si="68"/>
        <v>5.5352096311455289E-2</v>
      </c>
      <c r="M149" s="4">
        <v>1.8715999999999999</v>
      </c>
      <c r="N149" s="4">
        <v>1.9027000000000001</v>
      </c>
      <c r="O149" s="60">
        <v>10316</v>
      </c>
      <c r="P149" s="5">
        <v>1.8700000000000001E-2</v>
      </c>
      <c r="Q149" s="5">
        <v>7.2700000000000001E-2</v>
      </c>
      <c r="R149" s="81">
        <f t="shared" si="69"/>
        <v>1.8527379740898756E-2</v>
      </c>
      <c r="S149" s="81">
        <f t="shared" si="70"/>
        <v>1.87941743414008E-2</v>
      </c>
      <c r="T149" s="81">
        <f t="shared" si="71"/>
        <v>0</v>
      </c>
      <c r="U149" s="81">
        <f t="shared" si="72"/>
        <v>2.4E-2</v>
      </c>
      <c r="V149" s="83">
        <f t="shared" si="73"/>
        <v>1.9599999999999999E-2</v>
      </c>
    </row>
    <row r="150" spans="1:24">
      <c r="A150" s="75">
        <v>127</v>
      </c>
      <c r="B150" s="152" t="s">
        <v>168</v>
      </c>
      <c r="C150" s="153" t="s">
        <v>74</v>
      </c>
      <c r="D150" s="4">
        <v>177554935.68701285</v>
      </c>
      <c r="E150" s="3">
        <f t="shared" si="67"/>
        <v>3.7473356812970831E-3</v>
      </c>
      <c r="F150" s="4">
        <v>231.02434725564868</v>
      </c>
      <c r="G150" s="4">
        <v>237.11733768236789</v>
      </c>
      <c r="H150" s="60">
        <v>183</v>
      </c>
      <c r="I150" s="5">
        <v>-1.8221780270398669E-2</v>
      </c>
      <c r="J150" s="5">
        <v>-5.4029284759642748E-2</v>
      </c>
      <c r="K150" s="4">
        <v>196481963.42566061</v>
      </c>
      <c r="L150" s="16">
        <f t="shared" si="68"/>
        <v>4.0680496058606262E-3</v>
      </c>
      <c r="M150" s="4">
        <v>249.41910411574622</v>
      </c>
      <c r="N150" s="4">
        <v>255.6511153704958</v>
      </c>
      <c r="O150" s="60">
        <v>183</v>
      </c>
      <c r="P150" s="5">
        <v>7.9622589907124119E-2</v>
      </c>
      <c r="Q150" s="5">
        <v>2.128860910550423E-2</v>
      </c>
      <c r="R150" s="81">
        <f t="shared" si="69"/>
        <v>0.10659815040011961</v>
      </c>
      <c r="S150" s="81">
        <f t="shared" si="70"/>
        <v>7.8162895506843785E-2</v>
      </c>
      <c r="T150" s="81">
        <f t="shared" si="71"/>
        <v>0</v>
      </c>
      <c r="U150" s="81">
        <f t="shared" si="72"/>
        <v>9.7844370177522788E-2</v>
      </c>
      <c r="V150" s="83">
        <f t="shared" si="73"/>
        <v>7.5317893865146979E-2</v>
      </c>
    </row>
    <row r="151" spans="1:24" ht="13.5" customHeight="1">
      <c r="A151" s="75">
        <v>128</v>
      </c>
      <c r="B151" s="152" t="s">
        <v>240</v>
      </c>
      <c r="C151" s="153" t="s">
        <v>32</v>
      </c>
      <c r="D151" s="2">
        <v>2456651588.4861002</v>
      </c>
      <c r="E151" s="3">
        <f t="shared" si="67"/>
        <v>5.1848168108809614E-2</v>
      </c>
      <c r="F151" s="4">
        <v>3.4144000000000001</v>
      </c>
      <c r="G151" s="4">
        <v>3.4725000000000001</v>
      </c>
      <c r="H151" s="60">
        <v>2318</v>
      </c>
      <c r="I151" s="5">
        <v>-3.1293443413623834E-2</v>
      </c>
      <c r="J151" s="5">
        <v>-6.1281719957111069E-2</v>
      </c>
      <c r="K151" s="2">
        <v>2514015987.0323</v>
      </c>
      <c r="L151" s="16">
        <f t="shared" si="68"/>
        <v>5.2051300622530279E-2</v>
      </c>
      <c r="M151" s="4">
        <v>3.4948000000000001</v>
      </c>
      <c r="N151" s="4">
        <v>3.5558000000000001</v>
      </c>
      <c r="O151" s="60">
        <v>2313</v>
      </c>
      <c r="P151" s="5">
        <v>2.3547328959700131E-2</v>
      </c>
      <c r="Q151" s="5">
        <v>-3.9177411816457286E-2</v>
      </c>
      <c r="R151" s="81">
        <f t="shared" si="69"/>
        <v>2.335064476177932E-2</v>
      </c>
      <c r="S151" s="81">
        <f t="shared" si="70"/>
        <v>2.3988480921526258E-2</v>
      </c>
      <c r="T151" s="81">
        <f t="shared" si="71"/>
        <v>-2.1570319240724763E-3</v>
      </c>
      <c r="U151" s="81">
        <f t="shared" si="72"/>
        <v>5.4840772373323965E-2</v>
      </c>
      <c r="V151" s="83">
        <f>Q151-J151</f>
        <v>2.2104308140653783E-2</v>
      </c>
    </row>
    <row r="152" spans="1:24">
      <c r="A152" s="75">
        <v>129</v>
      </c>
      <c r="B152" s="152" t="s">
        <v>169</v>
      </c>
      <c r="C152" s="153" t="s">
        <v>114</v>
      </c>
      <c r="D152" s="2">
        <v>201433796.80000001</v>
      </c>
      <c r="E152" s="3">
        <f t="shared" si="67"/>
        <v>4.2513042582966541E-3</v>
      </c>
      <c r="F152" s="4">
        <v>175.450447</v>
      </c>
      <c r="G152" s="4">
        <v>179.42460500000001</v>
      </c>
      <c r="H152" s="60">
        <v>139</v>
      </c>
      <c r="I152" s="5">
        <v>-4.8999999999999998E-3</v>
      </c>
      <c r="J152" s="5">
        <v>5.91E-2</v>
      </c>
      <c r="K152" s="2">
        <v>212904955.69</v>
      </c>
      <c r="L152" s="16">
        <f t="shared" si="68"/>
        <v>4.4080785125509619E-3</v>
      </c>
      <c r="M152" s="4">
        <v>185.4419</v>
      </c>
      <c r="N152" s="4">
        <v>188.93219999999999</v>
      </c>
      <c r="O152" s="60">
        <v>139</v>
      </c>
      <c r="P152" s="5">
        <v>-4.8999999999999998E-3</v>
      </c>
      <c r="Q152" s="5">
        <v>5.91E-2</v>
      </c>
      <c r="R152" s="81">
        <f t="shared" si="69"/>
        <v>5.6947538457955457E-2</v>
      </c>
      <c r="S152" s="81">
        <f t="shared" si="70"/>
        <v>5.2989360071323439E-2</v>
      </c>
      <c r="T152" s="81">
        <f t="shared" si="71"/>
        <v>0</v>
      </c>
      <c r="U152" s="81">
        <f t="shared" si="72"/>
        <v>0</v>
      </c>
      <c r="V152" s="83">
        <f t="shared" si="73"/>
        <v>0</v>
      </c>
    </row>
    <row r="153" spans="1:24">
      <c r="A153" s="75">
        <v>130</v>
      </c>
      <c r="B153" s="152" t="s">
        <v>170</v>
      </c>
      <c r="C153" s="153" t="s">
        <v>29</v>
      </c>
      <c r="D153" s="2">
        <v>1712326756.79</v>
      </c>
      <c r="E153" s="3">
        <f t="shared" si="67"/>
        <v>3.6139030035582512E-2</v>
      </c>
      <c r="F153" s="4">
        <v>552.22</v>
      </c>
      <c r="G153" s="4">
        <v>552.22</v>
      </c>
      <c r="H153" s="60">
        <v>823</v>
      </c>
      <c r="I153" s="5">
        <v>4.3600000000000002E-3</v>
      </c>
      <c r="J153" s="5">
        <v>9.5333000000000001E-2</v>
      </c>
      <c r="K153" s="2">
        <v>1634275788.26</v>
      </c>
      <c r="L153" s="16">
        <f t="shared" ref="L153:L161" si="74">(K153/$K$162)</f>
        <v>3.3836769850959174E-2</v>
      </c>
      <c r="M153" s="4">
        <v>552.22</v>
      </c>
      <c r="N153" s="4">
        <v>552.22</v>
      </c>
      <c r="O153" s="60">
        <v>823</v>
      </c>
      <c r="P153" s="5">
        <v>-1.6199999999999999E-3</v>
      </c>
      <c r="Q153" s="5">
        <v>4.5407000000000003E-2</v>
      </c>
      <c r="R153" s="81">
        <f t="shared" si="69"/>
        <v>-4.5581819136154604E-2</v>
      </c>
      <c r="S153" s="81">
        <f t="shared" si="70"/>
        <v>0</v>
      </c>
      <c r="T153" s="81">
        <f t="shared" si="71"/>
        <v>0</v>
      </c>
      <c r="U153" s="81">
        <f t="shared" si="72"/>
        <v>-5.9800000000000001E-3</v>
      </c>
      <c r="V153" s="83">
        <f t="shared" si="73"/>
        <v>-4.9925999999999998E-2</v>
      </c>
    </row>
    <row r="154" spans="1:24">
      <c r="A154" s="75">
        <v>131</v>
      </c>
      <c r="B154" s="152" t="s">
        <v>171</v>
      </c>
      <c r="C154" s="153" t="s">
        <v>80</v>
      </c>
      <c r="D154" s="4">
        <v>24737889.100000001</v>
      </c>
      <c r="E154" s="3">
        <f t="shared" si="67"/>
        <v>5.2209855020764011E-4</v>
      </c>
      <c r="F154" s="4">
        <v>1.58</v>
      </c>
      <c r="G154" s="4">
        <v>1.58</v>
      </c>
      <c r="H154" s="60">
        <v>8</v>
      </c>
      <c r="I154" s="5">
        <v>8.0999999999999996E-3</v>
      </c>
      <c r="J154" s="122">
        <v>-2.87E-2</v>
      </c>
      <c r="K154" s="4">
        <v>24737889.100000001</v>
      </c>
      <c r="L154" s="16">
        <f t="shared" si="74"/>
        <v>5.1218421400371617E-4</v>
      </c>
      <c r="M154" s="4">
        <v>1.58</v>
      </c>
      <c r="N154" s="4">
        <v>1.58</v>
      </c>
      <c r="O154" s="60">
        <v>8</v>
      </c>
      <c r="P154" s="5">
        <v>8.0999999999999996E-3</v>
      </c>
      <c r="Q154" s="122">
        <v>-2.87E-2</v>
      </c>
      <c r="R154" s="81">
        <f t="shared" si="69"/>
        <v>0</v>
      </c>
      <c r="S154" s="81">
        <f t="shared" si="70"/>
        <v>0</v>
      </c>
      <c r="T154" s="81">
        <f t="shared" si="71"/>
        <v>0</v>
      </c>
      <c r="U154" s="81">
        <f t="shared" si="72"/>
        <v>0</v>
      </c>
      <c r="V154" s="83">
        <f t="shared" si="73"/>
        <v>0</v>
      </c>
    </row>
    <row r="155" spans="1:24">
      <c r="A155" s="75">
        <v>132</v>
      </c>
      <c r="B155" s="152" t="s">
        <v>172</v>
      </c>
      <c r="C155" s="153" t="s">
        <v>38</v>
      </c>
      <c r="D155" s="4">
        <v>248316329.31999999</v>
      </c>
      <c r="E155" s="3">
        <f t="shared" si="67"/>
        <v>5.240770342480632E-3</v>
      </c>
      <c r="F155" s="4">
        <v>2.5145930000000001</v>
      </c>
      <c r="G155" s="4">
        <v>2.5630329999999999</v>
      </c>
      <c r="H155" s="60">
        <v>119</v>
      </c>
      <c r="I155" s="5">
        <v>5.1636393248378903E-2</v>
      </c>
      <c r="J155" s="5">
        <v>8.3088475733980899E-2</v>
      </c>
      <c r="K155" s="4">
        <v>239763230.88</v>
      </c>
      <c r="L155" s="16">
        <f t="shared" si="74"/>
        <v>4.9641641394238571E-3</v>
      </c>
      <c r="M155" s="4">
        <v>2.4300000000000002</v>
      </c>
      <c r="N155" s="4">
        <v>2.4700000000000002</v>
      </c>
      <c r="O155" s="60">
        <v>119</v>
      </c>
      <c r="P155" s="5">
        <v>3.5200000000000002E-2</v>
      </c>
      <c r="Q155" s="5">
        <v>4.4900000000000002E-2</v>
      </c>
      <c r="R155" s="81">
        <f t="shared" si="69"/>
        <v>-3.4444365634036904E-2</v>
      </c>
      <c r="S155" s="81">
        <f t="shared" si="70"/>
        <v>-3.6298010989323858E-2</v>
      </c>
      <c r="T155" s="81">
        <f t="shared" si="71"/>
        <v>0</v>
      </c>
      <c r="U155" s="81">
        <f t="shared" si="72"/>
        <v>-1.6436393248378901E-2</v>
      </c>
      <c r="V155" s="83">
        <f t="shared" si="73"/>
        <v>-3.8188475733980896E-2</v>
      </c>
    </row>
    <row r="156" spans="1:24">
      <c r="A156" s="75">
        <v>133</v>
      </c>
      <c r="B156" s="152" t="s">
        <v>173</v>
      </c>
      <c r="C156" s="153" t="s">
        <v>42</v>
      </c>
      <c r="D156" s="2">
        <v>2645479902.0300002</v>
      </c>
      <c r="E156" s="3">
        <f t="shared" si="67"/>
        <v>5.5833430890969302E-2</v>
      </c>
      <c r="F156" s="4">
        <v>5185.95</v>
      </c>
      <c r="G156" s="4">
        <v>5237.55</v>
      </c>
      <c r="H156" s="60">
        <v>2256</v>
      </c>
      <c r="I156" s="5">
        <v>4.7999999999999996E-3</v>
      </c>
      <c r="J156" s="5">
        <v>4.3099999999999999E-2</v>
      </c>
      <c r="K156" s="2">
        <v>2704678714.4699998</v>
      </c>
      <c r="L156" s="3">
        <f t="shared" si="74"/>
        <v>5.5998866188764589E-2</v>
      </c>
      <c r="M156" s="4">
        <v>5298.37</v>
      </c>
      <c r="N156" s="4">
        <v>5349.75</v>
      </c>
      <c r="O156" s="60">
        <v>2245</v>
      </c>
      <c r="P156" s="5">
        <v>2.1399999999999999E-2</v>
      </c>
      <c r="Q156" s="5">
        <v>6.54E-2</v>
      </c>
      <c r="R156" s="81">
        <f t="shared" si="69"/>
        <v>2.2377343481072589E-2</v>
      </c>
      <c r="S156" s="81">
        <f t="shared" si="70"/>
        <v>2.1422229859380783E-2</v>
      </c>
      <c r="T156" s="81">
        <f t="shared" si="71"/>
        <v>-4.8758865248226951E-3</v>
      </c>
      <c r="U156" s="81">
        <f t="shared" si="72"/>
        <v>1.66E-2</v>
      </c>
      <c r="V156" s="83">
        <f t="shared" si="73"/>
        <v>2.23E-2</v>
      </c>
    </row>
    <row r="157" spans="1:24">
      <c r="A157" s="75">
        <v>134</v>
      </c>
      <c r="B157" s="152" t="s">
        <v>256</v>
      </c>
      <c r="C157" s="152" t="s">
        <v>257</v>
      </c>
      <c r="D157" s="2">
        <v>633741965.11000001</v>
      </c>
      <c r="E157" s="3">
        <f t="shared" si="67"/>
        <v>1.3375262531582447E-2</v>
      </c>
      <c r="F157" s="4">
        <v>1.2170000000000001</v>
      </c>
      <c r="G157" s="4">
        <v>1.2170000000000001</v>
      </c>
      <c r="H157" s="60">
        <v>32</v>
      </c>
      <c r="I157" s="5">
        <v>3.3E-3</v>
      </c>
      <c r="J157" s="5">
        <v>7.22E-2</v>
      </c>
      <c r="K157" s="2">
        <v>635608405.23000002</v>
      </c>
      <c r="L157" s="3">
        <f t="shared" si="74"/>
        <v>1.3159917975656339E-2</v>
      </c>
      <c r="M157" s="4">
        <v>1.22</v>
      </c>
      <c r="N157" s="4">
        <v>1.22</v>
      </c>
      <c r="O157" s="60">
        <v>32</v>
      </c>
      <c r="P157" s="5">
        <v>2.5000000000000001E-3</v>
      </c>
      <c r="Q157" s="5">
        <v>7.5399999999999995E-2</v>
      </c>
      <c r="R157" s="81">
        <f>((K157-D157)/D157)</f>
        <v>2.9451105067281485E-3</v>
      </c>
      <c r="S157" s="81">
        <f>((N157-G157)/G157)</f>
        <v>2.4650780608051698E-3</v>
      </c>
      <c r="T157" s="81">
        <f>((O157-H157)/H157)</f>
        <v>0</v>
      </c>
      <c r="U157" s="81">
        <f>P157-I157</f>
        <v>-7.9999999999999993E-4</v>
      </c>
      <c r="V157" s="83">
        <f>Q157-J157</f>
        <v>3.1999999999999945E-3</v>
      </c>
    </row>
    <row r="158" spans="1:24">
      <c r="A158" s="75">
        <v>135</v>
      </c>
      <c r="B158" s="152" t="s">
        <v>174</v>
      </c>
      <c r="C158" s="153" t="s">
        <v>45</v>
      </c>
      <c r="D158" s="4">
        <v>1656913116.5899999</v>
      </c>
      <c r="E158" s="3">
        <f t="shared" si="67"/>
        <v>3.4969513061308917E-2</v>
      </c>
      <c r="F158" s="4">
        <v>1.8501000000000001</v>
      </c>
      <c r="G158" s="4">
        <v>1.8624000000000001</v>
      </c>
      <c r="H158" s="60">
        <v>2041</v>
      </c>
      <c r="I158" s="5">
        <v>2.3E-3</v>
      </c>
      <c r="J158" s="5">
        <v>5.0000000000000001E-4</v>
      </c>
      <c r="K158" s="4">
        <v>1658622776.5599999</v>
      </c>
      <c r="L158" s="16">
        <f t="shared" si="74"/>
        <v>3.4340860681643395E-2</v>
      </c>
      <c r="M158" s="4">
        <v>1.8548</v>
      </c>
      <c r="N158" s="4">
        <v>1.8652</v>
      </c>
      <c r="O158" s="60">
        <v>2020</v>
      </c>
      <c r="P158" s="5">
        <v>2.5000000000000001E-3</v>
      </c>
      <c r="Q158" s="5">
        <v>3.0000000000000001E-3</v>
      </c>
      <c r="R158" s="81">
        <f t="shared" si="69"/>
        <v>1.0318344111600638E-3</v>
      </c>
      <c r="S158" s="81">
        <f t="shared" si="70"/>
        <v>1.5034364261167922E-3</v>
      </c>
      <c r="T158" s="81">
        <f t="shared" si="71"/>
        <v>-1.02890739833415E-2</v>
      </c>
      <c r="U158" s="81">
        <f t="shared" si="72"/>
        <v>2.0000000000000009E-4</v>
      </c>
      <c r="V158" s="83">
        <f t="shared" si="73"/>
        <v>2.5000000000000001E-3</v>
      </c>
    </row>
    <row r="159" spans="1:24">
      <c r="A159" s="75">
        <v>136</v>
      </c>
      <c r="B159" s="152" t="s">
        <v>175</v>
      </c>
      <c r="C159" s="153" t="s">
        <v>45</v>
      </c>
      <c r="D159" s="4">
        <v>1029543474.99</v>
      </c>
      <c r="E159" s="3">
        <f t="shared" si="67"/>
        <v>2.1728739808604555E-2</v>
      </c>
      <c r="F159" s="4">
        <v>1.5936999999999999</v>
      </c>
      <c r="G159" s="4">
        <v>1.6034999999999999</v>
      </c>
      <c r="H159" s="60">
        <v>646</v>
      </c>
      <c r="I159" s="5">
        <v>-2.3999999999999998E-3</v>
      </c>
      <c r="J159" s="5">
        <v>0.1202</v>
      </c>
      <c r="K159" s="4">
        <v>1032700688.0700001</v>
      </c>
      <c r="L159" s="16">
        <f t="shared" si="74"/>
        <v>2.1381492498494133E-2</v>
      </c>
      <c r="M159" s="4">
        <v>1.5984</v>
      </c>
      <c r="N159" s="4">
        <v>1.6073</v>
      </c>
      <c r="O159" s="60">
        <v>622</v>
      </c>
      <c r="P159" s="5">
        <v>3.0000000000000001E-3</v>
      </c>
      <c r="Q159" s="5">
        <v>0.1235</v>
      </c>
      <c r="R159" s="81">
        <f t="shared" si="69"/>
        <v>3.0666146274500056E-3</v>
      </c>
      <c r="S159" s="81">
        <f t="shared" si="70"/>
        <v>2.3698160274399911E-3</v>
      </c>
      <c r="T159" s="81">
        <f t="shared" si="71"/>
        <v>-3.7151702786377708E-2</v>
      </c>
      <c r="U159" s="81">
        <f t="shared" si="72"/>
        <v>5.4000000000000003E-3</v>
      </c>
      <c r="V159" s="83">
        <f t="shared" si="73"/>
        <v>3.2999999999999974E-3</v>
      </c>
    </row>
    <row r="160" spans="1:24">
      <c r="A160" s="75">
        <v>137</v>
      </c>
      <c r="B160" s="152" t="s">
        <v>176</v>
      </c>
      <c r="C160" s="153" t="s">
        <v>87</v>
      </c>
      <c r="D160" s="2">
        <v>8261055172.7600002</v>
      </c>
      <c r="E160" s="3">
        <f t="shared" si="67"/>
        <v>0.17435137296671452</v>
      </c>
      <c r="F160" s="4">
        <v>404.66</v>
      </c>
      <c r="G160" s="4">
        <v>408.71</v>
      </c>
      <c r="H160" s="60">
        <v>31</v>
      </c>
      <c r="I160" s="5">
        <v>0.04</v>
      </c>
      <c r="J160" s="5">
        <v>0.15909999999999999</v>
      </c>
      <c r="K160" s="2">
        <v>8608009895.4599991</v>
      </c>
      <c r="L160" s="16">
        <f t="shared" si="74"/>
        <v>0.1782240499429836</v>
      </c>
      <c r="M160" s="4">
        <v>421.15</v>
      </c>
      <c r="N160" s="4">
        <v>425.37</v>
      </c>
      <c r="O160" s="60">
        <v>32</v>
      </c>
      <c r="P160" s="5">
        <v>4.2000000000000003E-2</v>
      </c>
      <c r="Q160" s="5">
        <v>0.20780000000000001</v>
      </c>
      <c r="R160" s="81">
        <f t="shared" si="69"/>
        <v>4.1998838579852031E-2</v>
      </c>
      <c r="S160" s="81">
        <f t="shared" si="70"/>
        <v>4.0762398766851865E-2</v>
      </c>
      <c r="T160" s="81">
        <f t="shared" si="71"/>
        <v>3.2258064516129031E-2</v>
      </c>
      <c r="U160" s="81">
        <f t="shared" si="72"/>
        <v>2.0000000000000018E-3</v>
      </c>
      <c r="V160" s="83">
        <f t="shared" si="73"/>
        <v>4.8700000000000021E-2</v>
      </c>
    </row>
    <row r="161" spans="1:24">
      <c r="A161" s="75">
        <v>138</v>
      </c>
      <c r="B161" s="152" t="s">
        <v>177</v>
      </c>
      <c r="C161" s="153" t="s">
        <v>40</v>
      </c>
      <c r="D161" s="2">
        <v>361032842.00999999</v>
      </c>
      <c r="E161" s="3">
        <f t="shared" si="67"/>
        <v>7.6196769509636521E-3</v>
      </c>
      <c r="F161" s="4">
        <v>217.86</v>
      </c>
      <c r="G161" s="4">
        <v>220.25</v>
      </c>
      <c r="H161" s="60">
        <v>690</v>
      </c>
      <c r="I161" s="5">
        <v>-5.0000000000000001E-3</v>
      </c>
      <c r="J161" s="5">
        <v>6.4000000000000001E-2</v>
      </c>
      <c r="K161" s="2">
        <v>417633896.20999998</v>
      </c>
      <c r="L161" s="16">
        <f t="shared" si="74"/>
        <v>8.6468771853144243E-3</v>
      </c>
      <c r="M161" s="4">
        <v>217.14</v>
      </c>
      <c r="N161" s="4">
        <v>219.84</v>
      </c>
      <c r="O161" s="60">
        <v>690</v>
      </c>
      <c r="P161" s="5">
        <v>-5.1000000000000004E-3</v>
      </c>
      <c r="Q161" s="5">
        <v>0.12520000000000001</v>
      </c>
      <c r="R161" s="81">
        <f t="shared" si="69"/>
        <v>0.15677536116903248</v>
      </c>
      <c r="S161" s="81">
        <f t="shared" si="70"/>
        <v>-1.8615209988649107E-3</v>
      </c>
      <c r="T161" s="81">
        <f t="shared" si="71"/>
        <v>0</v>
      </c>
      <c r="U161" s="81">
        <f t="shared" si="72"/>
        <v>-1.0000000000000026E-4</v>
      </c>
      <c r="V161" s="83">
        <f t="shared" si="73"/>
        <v>6.1200000000000004E-2</v>
      </c>
    </row>
    <row r="162" spans="1:24">
      <c r="A162" s="84"/>
      <c r="B162" s="19"/>
      <c r="C162" s="71" t="s">
        <v>46</v>
      </c>
      <c r="D162" s="72">
        <f>SUM(D136:D161)</f>
        <v>47381646798.600899</v>
      </c>
      <c r="E162" s="100">
        <f>(D162/$D$188)</f>
        <v>1.7797969361085693E-2</v>
      </c>
      <c r="F162" s="30"/>
      <c r="G162" s="36"/>
      <c r="H162" s="65">
        <f>SUM(H136:H161)</f>
        <v>69451</v>
      </c>
      <c r="I162" s="37"/>
      <c r="J162" s="37"/>
      <c r="K162" s="72">
        <f>SUM(K136:K161)</f>
        <v>48298812075.103348</v>
      </c>
      <c r="L162" s="100">
        <f>(K162/$K$188)</f>
        <v>1.7678301713299819E-2</v>
      </c>
      <c r="M162" s="30"/>
      <c r="N162" s="36"/>
      <c r="O162" s="65">
        <f>SUM(O136:O161)</f>
        <v>69398</v>
      </c>
      <c r="P162" s="37"/>
      <c r="Q162" s="37"/>
      <c r="R162" s="81">
        <f t="shared" si="69"/>
        <v>1.9356973395224655E-2</v>
      </c>
      <c r="S162" s="81" t="e">
        <f t="shared" si="70"/>
        <v>#DIV/0!</v>
      </c>
      <c r="T162" s="81">
        <f t="shared" si="71"/>
        <v>-7.6312796072050798E-4</v>
      </c>
      <c r="U162" s="81">
        <f t="shared" si="72"/>
        <v>0</v>
      </c>
      <c r="V162" s="83">
        <f t="shared" si="73"/>
        <v>0</v>
      </c>
    </row>
    <row r="163" spans="1:24" ht="8.25" customHeight="1">
      <c r="A163" s="158"/>
      <c r="B163" s="158"/>
      <c r="C163" s="158"/>
      <c r="D163" s="158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  <c r="R163" s="158"/>
      <c r="S163" s="158"/>
      <c r="T163" s="158"/>
      <c r="U163" s="158"/>
      <c r="V163" s="158"/>
    </row>
    <row r="164" spans="1:24" ht="15" customHeight="1">
      <c r="A164" s="165" t="s">
        <v>178</v>
      </c>
      <c r="B164" s="165"/>
      <c r="C164" s="165"/>
      <c r="D164" s="165"/>
      <c r="E164" s="165"/>
      <c r="F164" s="165"/>
      <c r="G164" s="165"/>
      <c r="H164" s="165"/>
      <c r="I164" s="165"/>
      <c r="J164" s="165"/>
      <c r="K164" s="165"/>
      <c r="L164" s="165"/>
      <c r="M164" s="165"/>
      <c r="N164" s="165"/>
      <c r="O164" s="165"/>
      <c r="P164" s="165"/>
      <c r="Q164" s="165"/>
      <c r="R164" s="165"/>
      <c r="S164" s="165"/>
      <c r="T164" s="165"/>
      <c r="U164" s="165"/>
      <c r="V164" s="165"/>
    </row>
    <row r="165" spans="1:24">
      <c r="A165" s="75">
        <v>139</v>
      </c>
      <c r="B165" s="152" t="s">
        <v>179</v>
      </c>
      <c r="C165" s="153" t="s">
        <v>21</v>
      </c>
      <c r="D165" s="17">
        <v>914143361.72000003</v>
      </c>
      <c r="E165" s="3">
        <f>(D165/$D$168)</f>
        <v>0.19355323072726124</v>
      </c>
      <c r="F165" s="17">
        <v>63.547699999999999</v>
      </c>
      <c r="G165" s="17">
        <v>65.463700000000003</v>
      </c>
      <c r="H165" s="62">
        <v>1525</v>
      </c>
      <c r="I165" s="6">
        <v>-0.19800000000000001</v>
      </c>
      <c r="J165" s="6">
        <v>0.51749999999999996</v>
      </c>
      <c r="K165" s="17">
        <v>920279154.82000005</v>
      </c>
      <c r="L165" s="16">
        <f>(K165/$K$168)</f>
        <v>0.19140796674918661</v>
      </c>
      <c r="M165" s="17">
        <v>63.713700000000003</v>
      </c>
      <c r="N165" s="17">
        <v>65.634699999999995</v>
      </c>
      <c r="O165" s="62">
        <v>1526</v>
      </c>
      <c r="P165" s="6">
        <v>0.1366</v>
      </c>
      <c r="Q165" s="6">
        <v>0.49719999999999998</v>
      </c>
      <c r="R165" s="81">
        <f>((K165-D165)/D165)</f>
        <v>6.7120687596038172E-3</v>
      </c>
      <c r="S165" s="81">
        <f t="shared" ref="S165:T168" si="75">((N165-G165)/G165)</f>
        <v>2.612134663943411E-3</v>
      </c>
      <c r="T165" s="81">
        <f t="shared" si="75"/>
        <v>6.5573770491803279E-4</v>
      </c>
      <c r="U165" s="81">
        <f t="shared" ref="U165:V168" si="76">P165-I165</f>
        <v>0.33460000000000001</v>
      </c>
      <c r="V165" s="83">
        <f t="shared" si="76"/>
        <v>-2.0299999999999985E-2</v>
      </c>
    </row>
    <row r="166" spans="1:24">
      <c r="A166" s="75">
        <v>140</v>
      </c>
      <c r="B166" s="152" t="s">
        <v>180</v>
      </c>
      <c r="C166" s="153" t="s">
        <v>181</v>
      </c>
      <c r="D166" s="98">
        <v>772393675.12</v>
      </c>
      <c r="E166" s="3">
        <f>(D166/$D$168)</f>
        <v>0.16354031268300115</v>
      </c>
      <c r="F166" s="17">
        <v>21.895499999999998</v>
      </c>
      <c r="G166" s="17">
        <v>22.077200000000001</v>
      </c>
      <c r="H166" s="60">
        <v>1499</v>
      </c>
      <c r="I166" s="5">
        <v>1.9E-3</v>
      </c>
      <c r="J166" s="5">
        <v>4.4000000000000003E-3</v>
      </c>
      <c r="K166" s="98">
        <v>772393675.12</v>
      </c>
      <c r="L166" s="16">
        <f>(K166/$K$168)</f>
        <v>0.16064940959525253</v>
      </c>
      <c r="M166" s="17">
        <v>21.250599999999999</v>
      </c>
      <c r="N166" s="17">
        <v>21.414200000000001</v>
      </c>
      <c r="O166" s="60">
        <v>1498</v>
      </c>
      <c r="P166" s="5">
        <v>2.7199999999999998E-2</v>
      </c>
      <c r="Q166" s="5">
        <v>-2.5499999999999998E-2</v>
      </c>
      <c r="R166" s="81">
        <f>((K166-D166)/D166)</f>
        <v>0</v>
      </c>
      <c r="S166" s="81">
        <f t="shared" si="75"/>
        <v>-3.0030982189770451E-2</v>
      </c>
      <c r="T166" s="81">
        <f t="shared" si="75"/>
        <v>-6.6711140760506999E-4</v>
      </c>
      <c r="U166" s="81">
        <f t="shared" si="76"/>
        <v>2.53E-2</v>
      </c>
      <c r="V166" s="83">
        <f t="shared" si="76"/>
        <v>-2.9899999999999999E-2</v>
      </c>
    </row>
    <row r="167" spans="1:24">
      <c r="A167" s="75">
        <v>141</v>
      </c>
      <c r="B167" s="152" t="s">
        <v>182</v>
      </c>
      <c r="C167" s="153" t="s">
        <v>42</v>
      </c>
      <c r="D167" s="9">
        <v>3036418804.7399998</v>
      </c>
      <c r="E167" s="3">
        <f>(D167/$D$168)</f>
        <v>0.64290645658973755</v>
      </c>
      <c r="F167" s="17">
        <v>2.1800000000000002</v>
      </c>
      <c r="G167" s="17">
        <v>2.21</v>
      </c>
      <c r="H167" s="60">
        <v>10062</v>
      </c>
      <c r="I167" s="5">
        <v>-4.4999999999999997E-3</v>
      </c>
      <c r="J167" s="5">
        <v>6.25E-2</v>
      </c>
      <c r="K167" s="9">
        <v>3115273100.6799998</v>
      </c>
      <c r="L167" s="16">
        <f>(K167/$K$168)</f>
        <v>0.64794262365556088</v>
      </c>
      <c r="M167" s="17">
        <v>2.25</v>
      </c>
      <c r="N167" s="17">
        <v>2.27</v>
      </c>
      <c r="O167" s="60">
        <v>10066</v>
      </c>
      <c r="P167" s="5">
        <v>2.7099999999999999E-2</v>
      </c>
      <c r="Q167" s="5">
        <v>9.1300000000000006E-2</v>
      </c>
      <c r="R167" s="81">
        <f>((K167-D167)/D167)</f>
        <v>2.5969505858975912E-2</v>
      </c>
      <c r="S167" s="81">
        <f t="shared" si="75"/>
        <v>2.7149321266968351E-2</v>
      </c>
      <c r="T167" s="81">
        <f t="shared" si="75"/>
        <v>3.9753528125621148E-4</v>
      </c>
      <c r="U167" s="81">
        <f t="shared" si="76"/>
        <v>3.1599999999999996E-2</v>
      </c>
      <c r="V167" s="83">
        <f t="shared" si="76"/>
        <v>2.8800000000000006E-2</v>
      </c>
    </row>
    <row r="168" spans="1:24">
      <c r="A168" s="75"/>
      <c r="B168" s="19"/>
      <c r="C168" s="66" t="s">
        <v>46</v>
      </c>
      <c r="D168" s="72">
        <f>SUM(D165:D167)</f>
        <v>4722955841.5799999</v>
      </c>
      <c r="E168" s="100">
        <f>(D168/$D$188)</f>
        <v>1.7740840397443439E-3</v>
      </c>
      <c r="F168" s="30"/>
      <c r="G168" s="36"/>
      <c r="H168" s="65">
        <f>SUM(H165:H167)</f>
        <v>13086</v>
      </c>
      <c r="I168" s="37"/>
      <c r="J168" s="37"/>
      <c r="K168" s="72">
        <f>SUM(K165:K167)</f>
        <v>4807945930.6199999</v>
      </c>
      <c r="L168" s="100">
        <f>(K168/$K$188)</f>
        <v>1.7598014346722536E-3</v>
      </c>
      <c r="M168" s="30"/>
      <c r="N168" s="36"/>
      <c r="O168" s="65">
        <f>SUM(O165:O167)</f>
        <v>13090</v>
      </c>
      <c r="P168" s="37"/>
      <c r="Q168" s="37"/>
      <c r="R168" s="81">
        <f>((K168-D168)/D168)</f>
        <v>1.7995105584465446E-2</v>
      </c>
      <c r="S168" s="81" t="e">
        <f t="shared" si="75"/>
        <v>#DIV/0!</v>
      </c>
      <c r="T168" s="81">
        <f t="shared" si="75"/>
        <v>3.0567018187375821E-4</v>
      </c>
      <c r="U168" s="81">
        <f t="shared" si="76"/>
        <v>0</v>
      </c>
      <c r="V168" s="83">
        <f t="shared" si="76"/>
        <v>0</v>
      </c>
    </row>
    <row r="169" spans="1:24" ht="6" customHeight="1">
      <c r="A169" s="158"/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  <c r="R169" s="158"/>
      <c r="S169" s="158"/>
      <c r="T169" s="158"/>
      <c r="U169" s="158"/>
      <c r="V169" s="158"/>
    </row>
    <row r="170" spans="1:24" ht="15" customHeight="1">
      <c r="A170" s="165" t="s">
        <v>183</v>
      </c>
      <c r="B170" s="165"/>
      <c r="C170" s="165"/>
      <c r="D170" s="165"/>
      <c r="E170" s="165"/>
      <c r="F170" s="165"/>
      <c r="G170" s="165"/>
      <c r="H170" s="165"/>
      <c r="I170" s="165"/>
      <c r="J170" s="165"/>
      <c r="K170" s="165"/>
      <c r="L170" s="165"/>
      <c r="M170" s="165"/>
      <c r="N170" s="165"/>
      <c r="O170" s="165"/>
      <c r="P170" s="165"/>
      <c r="Q170" s="165"/>
      <c r="R170" s="165"/>
      <c r="S170" s="165"/>
      <c r="T170" s="165"/>
      <c r="U170" s="165"/>
      <c r="V170" s="165"/>
    </row>
    <row r="171" spans="1:24">
      <c r="A171" s="169" t="s">
        <v>232</v>
      </c>
      <c r="B171" s="169"/>
      <c r="C171" s="169"/>
      <c r="D171" s="169"/>
      <c r="E171" s="169"/>
      <c r="F171" s="169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  <c r="R171" s="169"/>
      <c r="S171" s="169"/>
      <c r="T171" s="169"/>
      <c r="U171" s="169"/>
      <c r="V171" s="169"/>
    </row>
    <row r="172" spans="1:24">
      <c r="A172" s="75">
        <v>142</v>
      </c>
      <c r="B172" s="152" t="s">
        <v>184</v>
      </c>
      <c r="C172" s="153" t="s">
        <v>185</v>
      </c>
      <c r="D172" s="13">
        <v>4055208837.7399998</v>
      </c>
      <c r="E172" s="3">
        <f>(D172/$D$187)</f>
        <v>7.8549974140875251E-2</v>
      </c>
      <c r="F172" s="18">
        <v>1.92</v>
      </c>
      <c r="G172" s="18">
        <v>1.96</v>
      </c>
      <c r="H172" s="61">
        <v>14988</v>
      </c>
      <c r="I172" s="12">
        <v>-1.2999999999999999E-3</v>
      </c>
      <c r="J172" s="12">
        <v>6.2899999999999998E-2</v>
      </c>
      <c r="K172" s="13">
        <v>4077794451.2600002</v>
      </c>
      <c r="L172" s="3">
        <f>(K172/$K$187)</f>
        <v>7.9120383283443188E-2</v>
      </c>
      <c r="M172" s="18">
        <v>1.93</v>
      </c>
      <c r="N172" s="18">
        <v>1.97</v>
      </c>
      <c r="O172" s="61">
        <v>14986</v>
      </c>
      <c r="P172" s="12">
        <v>5.5999999999999999E-3</v>
      </c>
      <c r="Q172" s="12">
        <v>6.88E-2</v>
      </c>
      <c r="R172" s="81">
        <f>((K172-D172)/D172)</f>
        <v>5.5695315392406772E-3</v>
      </c>
      <c r="S172" s="81">
        <f>((N172-G172)/G172)</f>
        <v>5.1020408163265354E-3</v>
      </c>
      <c r="T172" s="81">
        <f>((O172-H172)/H172)</f>
        <v>-1.3344008540165466E-4</v>
      </c>
      <c r="U172" s="81">
        <f>P172-I172</f>
        <v>6.8999999999999999E-3</v>
      </c>
      <c r="V172" s="83">
        <f>Q172-J172</f>
        <v>5.9000000000000025E-3</v>
      </c>
    </row>
    <row r="173" spans="1:24">
      <c r="A173" s="75">
        <v>143</v>
      </c>
      <c r="B173" s="152" t="s">
        <v>186</v>
      </c>
      <c r="C173" s="153" t="s">
        <v>42</v>
      </c>
      <c r="D173" s="13">
        <v>735599882.23000002</v>
      </c>
      <c r="E173" s="3">
        <f>(D173/$D$187)</f>
        <v>1.4248674738882101E-2</v>
      </c>
      <c r="F173" s="18">
        <v>420.66</v>
      </c>
      <c r="G173" s="18">
        <v>426.11</v>
      </c>
      <c r="H173" s="61">
        <v>824</v>
      </c>
      <c r="I173" s="12">
        <v>-1.6999999999999999E-3</v>
      </c>
      <c r="J173" s="12">
        <v>0.1159</v>
      </c>
      <c r="K173" s="13">
        <v>734505709.77999997</v>
      </c>
      <c r="L173" s="3">
        <f>(K173/$K$187)</f>
        <v>1.4251422914098647E-2</v>
      </c>
      <c r="M173" s="18">
        <v>423.37</v>
      </c>
      <c r="N173" s="18">
        <v>428.87</v>
      </c>
      <c r="O173" s="61">
        <v>824</v>
      </c>
      <c r="P173" s="12">
        <v>6.4999999999999997E-3</v>
      </c>
      <c r="Q173" s="12">
        <v>0.1231</v>
      </c>
      <c r="R173" s="81">
        <f>((K173-D173)/D173)</f>
        <v>-1.4874559885504886E-3</v>
      </c>
      <c r="S173" s="81">
        <f>((N173-G173)/G173)</f>
        <v>6.4772007228180301E-3</v>
      </c>
      <c r="T173" s="81">
        <f>((O173-H173)/H173)</f>
        <v>0</v>
      </c>
      <c r="U173" s="81">
        <f>P173-I173</f>
        <v>8.199999999999999E-3</v>
      </c>
      <c r="V173" s="83">
        <f>Q173-J173</f>
        <v>7.1999999999999981E-3</v>
      </c>
    </row>
    <row r="174" spans="1:24" ht="6" customHeight="1">
      <c r="A174" s="158"/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  <c r="R174" s="158"/>
      <c r="S174" s="158"/>
      <c r="T174" s="158"/>
      <c r="U174" s="158"/>
      <c r="V174" s="158"/>
    </row>
    <row r="175" spans="1:24" ht="15" customHeight="1">
      <c r="A175" s="169" t="s">
        <v>231</v>
      </c>
      <c r="B175" s="169"/>
      <c r="C175" s="169"/>
      <c r="D175" s="169"/>
      <c r="E175" s="169"/>
      <c r="F175" s="169"/>
      <c r="G175" s="169"/>
      <c r="H175" s="169"/>
      <c r="I175" s="169"/>
      <c r="J175" s="169"/>
      <c r="K175" s="169"/>
      <c r="L175" s="169"/>
      <c r="M175" s="169"/>
      <c r="N175" s="169"/>
      <c r="O175" s="169"/>
      <c r="P175" s="169"/>
      <c r="Q175" s="169"/>
      <c r="R175" s="169"/>
      <c r="S175" s="169"/>
      <c r="T175" s="169"/>
      <c r="U175" s="169"/>
      <c r="V175" s="169"/>
    </row>
    <row r="176" spans="1:24">
      <c r="A176" s="75">
        <v>144</v>
      </c>
      <c r="B176" s="152" t="s">
        <v>187</v>
      </c>
      <c r="C176" s="153" t="s">
        <v>188</v>
      </c>
      <c r="D176" s="2">
        <v>401001152.56</v>
      </c>
      <c r="E176" s="3">
        <f t="shared" ref="E176:E186" si="77">(D176/$D$187)</f>
        <v>7.7674495751995859E-3</v>
      </c>
      <c r="F176" s="2">
        <v>1033.74</v>
      </c>
      <c r="G176" s="2">
        <v>1033.74</v>
      </c>
      <c r="H176" s="60">
        <v>20</v>
      </c>
      <c r="I176" s="5">
        <v>2.2000000000000001E-3</v>
      </c>
      <c r="J176" s="5">
        <v>3.7999999999999999E-2</v>
      </c>
      <c r="K176" s="2">
        <v>401343559.44</v>
      </c>
      <c r="L176" s="3">
        <f t="shared" ref="L176:L186" si="78">(K176/$K$187)</f>
        <v>7.7871645152252185E-3</v>
      </c>
      <c r="M176" s="2">
        <v>1034.9000000000001</v>
      </c>
      <c r="N176" s="2">
        <v>1034.9000000000001</v>
      </c>
      <c r="O176" s="60">
        <v>19</v>
      </c>
      <c r="P176" s="5">
        <v>2E-3</v>
      </c>
      <c r="Q176" s="5">
        <v>0.04</v>
      </c>
      <c r="R176" s="81">
        <f>((K176-D176)/D176)</f>
        <v>8.5388003953121413E-4</v>
      </c>
      <c r="S176" s="81">
        <f>((N176-G176)/G176)</f>
        <v>1.1221390291563467E-3</v>
      </c>
      <c r="T176" s="81">
        <f>((O176-H176)/H176)</f>
        <v>-0.05</v>
      </c>
      <c r="U176" s="81">
        <f>P176-I176</f>
        <v>-2.0000000000000009E-4</v>
      </c>
      <c r="V176" s="83">
        <f>Q176-J176</f>
        <v>2.0000000000000018E-3</v>
      </c>
      <c r="X176" s="70"/>
    </row>
    <row r="177" spans="1:22">
      <c r="A177" s="75">
        <v>145</v>
      </c>
      <c r="B177" s="152" t="s">
        <v>189</v>
      </c>
      <c r="C177" s="153" t="s">
        <v>58</v>
      </c>
      <c r="D177" s="2">
        <v>110326363.45999999</v>
      </c>
      <c r="E177" s="3">
        <f t="shared" si="77"/>
        <v>2.137037411288911E-3</v>
      </c>
      <c r="F177" s="17">
        <v>112.53</v>
      </c>
      <c r="G177" s="17">
        <v>112.53</v>
      </c>
      <c r="H177" s="60">
        <v>70</v>
      </c>
      <c r="I177" s="5">
        <v>1.9E-3</v>
      </c>
      <c r="J177" s="5">
        <v>0.1018</v>
      </c>
      <c r="K177" s="2">
        <v>110967696.69</v>
      </c>
      <c r="L177" s="3">
        <f t="shared" si="78"/>
        <v>2.1530773066506066E-3</v>
      </c>
      <c r="M177" s="17">
        <v>110.26</v>
      </c>
      <c r="N177" s="17">
        <v>110.26</v>
      </c>
      <c r="O177" s="60">
        <v>70</v>
      </c>
      <c r="P177" s="5">
        <v>1.4E-3</v>
      </c>
      <c r="Q177" s="5">
        <v>0.10199999999999999</v>
      </c>
      <c r="R177" s="81">
        <f t="shared" ref="R177:R188" si="79">((K177-D177)/D177)</f>
        <v>5.8130551020339431E-3</v>
      </c>
      <c r="S177" s="81">
        <f t="shared" ref="S177:S187" si="80">((N177-G177)/G177)</f>
        <v>-2.0172398471518669E-2</v>
      </c>
      <c r="T177" s="81">
        <f t="shared" ref="T177:T187" si="81">((O177-H177)/H177)</f>
        <v>0</v>
      </c>
      <c r="U177" s="81">
        <f t="shared" ref="U177:U187" si="82">P177-I177</f>
        <v>-5.0000000000000001E-4</v>
      </c>
      <c r="V177" s="83">
        <f t="shared" ref="V177:V187" si="83">Q177-J177</f>
        <v>1.9999999999999185E-4</v>
      </c>
    </row>
    <row r="178" spans="1:22">
      <c r="A178" s="75">
        <v>146</v>
      </c>
      <c r="B178" s="154" t="s">
        <v>190</v>
      </c>
      <c r="C178" s="153" t="s">
        <v>64</v>
      </c>
      <c r="D178" s="9">
        <v>56508523.899999999</v>
      </c>
      <c r="E178" s="3">
        <f t="shared" si="77"/>
        <v>1.0945781755490988E-3</v>
      </c>
      <c r="F178" s="17">
        <v>101.81</v>
      </c>
      <c r="G178" s="17">
        <v>103.38</v>
      </c>
      <c r="H178" s="60">
        <v>12</v>
      </c>
      <c r="I178" s="5">
        <v>2E-3</v>
      </c>
      <c r="J178" s="5">
        <v>6.4199999999999993E-2</v>
      </c>
      <c r="K178" s="9">
        <v>56508523.899999999</v>
      </c>
      <c r="L178" s="3">
        <f t="shared" si="78"/>
        <v>1.0964201661435192E-3</v>
      </c>
      <c r="M178" s="17">
        <v>101.95</v>
      </c>
      <c r="N178" s="17">
        <v>103.25</v>
      </c>
      <c r="O178" s="60">
        <v>12</v>
      </c>
      <c r="P178" s="5">
        <v>0</v>
      </c>
      <c r="Q178" s="5">
        <v>6.4299999999999996E-2</v>
      </c>
      <c r="R178" s="81">
        <f t="shared" si="79"/>
        <v>0</v>
      </c>
      <c r="S178" s="81">
        <f t="shared" si="80"/>
        <v>-1.257496614432148E-3</v>
      </c>
      <c r="T178" s="81">
        <f t="shared" si="81"/>
        <v>0</v>
      </c>
      <c r="U178" s="81">
        <f t="shared" si="82"/>
        <v>-2E-3</v>
      </c>
      <c r="V178" s="83">
        <f t="shared" si="83"/>
        <v>1.0000000000000286E-4</v>
      </c>
    </row>
    <row r="179" spans="1:22">
      <c r="A179" s="75">
        <v>147</v>
      </c>
      <c r="B179" s="152" t="s">
        <v>191</v>
      </c>
      <c r="C179" s="153" t="s">
        <v>27</v>
      </c>
      <c r="D179" s="2">
        <v>10025581223.09</v>
      </c>
      <c r="E179" s="3">
        <f t="shared" si="77"/>
        <v>0.19419693962292928</v>
      </c>
      <c r="F179" s="17">
        <v>139.47999999999999</v>
      </c>
      <c r="G179" s="17">
        <v>139.47999999999999</v>
      </c>
      <c r="H179" s="60">
        <v>702</v>
      </c>
      <c r="I179" s="5">
        <v>2.7000000000000001E-3</v>
      </c>
      <c r="J179" s="5">
        <v>4.3200000000000002E-2</v>
      </c>
      <c r="K179" s="2">
        <v>10048634449.73</v>
      </c>
      <c r="L179" s="3">
        <f t="shared" si="78"/>
        <v>0.19497103609334338</v>
      </c>
      <c r="M179" s="17">
        <v>139.88</v>
      </c>
      <c r="N179" s="17">
        <v>139.88</v>
      </c>
      <c r="O179" s="60">
        <v>700</v>
      </c>
      <c r="P179" s="5">
        <v>2.8999999999999998E-3</v>
      </c>
      <c r="Q179" s="5">
        <v>4.6100000000000002E-2</v>
      </c>
      <c r="R179" s="81">
        <f t="shared" si="79"/>
        <v>2.2994404141782132E-3</v>
      </c>
      <c r="S179" s="81">
        <f t="shared" si="80"/>
        <v>2.8677946659019624E-3</v>
      </c>
      <c r="T179" s="81">
        <f t="shared" si="81"/>
        <v>-2.8490028490028491E-3</v>
      </c>
      <c r="U179" s="81">
        <f t="shared" si="82"/>
        <v>1.9999999999999966E-4</v>
      </c>
      <c r="V179" s="83">
        <f t="shared" si="83"/>
        <v>2.8999999999999998E-3</v>
      </c>
    </row>
    <row r="180" spans="1:22">
      <c r="A180" s="75">
        <v>148</v>
      </c>
      <c r="B180" s="152" t="s">
        <v>249</v>
      </c>
      <c r="C180" s="153" t="s">
        <v>56</v>
      </c>
      <c r="D180" s="2">
        <v>274318815.578022</v>
      </c>
      <c r="E180" s="3">
        <f t="shared" si="77"/>
        <v>5.3135946216811558E-3</v>
      </c>
      <c r="F180" s="4">
        <v>1068.53388655663</v>
      </c>
      <c r="G180" s="4">
        <v>1068.53388655663</v>
      </c>
      <c r="H180" s="60">
        <v>71</v>
      </c>
      <c r="I180" s="5">
        <v>0.1326830518673186</v>
      </c>
      <c r="J180" s="5">
        <v>0.1192300590236612</v>
      </c>
      <c r="K180" s="2">
        <v>267575954.46791601</v>
      </c>
      <c r="L180" s="3">
        <f t="shared" si="78"/>
        <v>5.1917065286096282E-3</v>
      </c>
      <c r="M180" s="4">
        <v>1071.5267668005999</v>
      </c>
      <c r="N180" s="4">
        <v>1071.5267668005999</v>
      </c>
      <c r="O180" s="60">
        <v>72</v>
      </c>
      <c r="P180" s="5">
        <v>0.14644821591184679</v>
      </c>
      <c r="Q180" s="5">
        <v>0.12108166974656595</v>
      </c>
      <c r="R180" s="81">
        <f t="shared" si="79"/>
        <v>-2.458038139271632E-2</v>
      </c>
      <c r="S180" s="81">
        <f t="shared" si="80"/>
        <v>2.800922162248436E-3</v>
      </c>
      <c r="T180" s="81">
        <f t="shared" si="81"/>
        <v>1.4084507042253521E-2</v>
      </c>
      <c r="U180" s="81">
        <f t="shared" si="82"/>
        <v>1.3765164044528183E-2</v>
      </c>
      <c r="V180" s="83">
        <f t="shared" si="83"/>
        <v>1.8516107229047535E-3</v>
      </c>
    </row>
    <row r="181" spans="1:22">
      <c r="A181" s="75">
        <v>149</v>
      </c>
      <c r="B181" s="152" t="s">
        <v>192</v>
      </c>
      <c r="C181" s="153" t="s">
        <v>185</v>
      </c>
      <c r="D181" s="2">
        <v>20163718158.220001</v>
      </c>
      <c r="E181" s="3">
        <f t="shared" si="77"/>
        <v>0.39057409945742161</v>
      </c>
      <c r="F181" s="7">
        <v>1205.25</v>
      </c>
      <c r="G181" s="7">
        <v>1205.25</v>
      </c>
      <c r="H181" s="60">
        <v>8234</v>
      </c>
      <c r="I181" s="5">
        <v>2.0999999999999999E-3</v>
      </c>
      <c r="J181" s="5">
        <v>4.7199999999999999E-2</v>
      </c>
      <c r="K181" s="2">
        <v>20063822357.970001</v>
      </c>
      <c r="L181" s="3">
        <f t="shared" si="78"/>
        <v>0.38929311765652974</v>
      </c>
      <c r="M181" s="7">
        <v>1208.55</v>
      </c>
      <c r="N181" s="7">
        <v>1208.55</v>
      </c>
      <c r="O181" s="60">
        <v>8047</v>
      </c>
      <c r="P181" s="5">
        <v>2.7000000000000001E-3</v>
      </c>
      <c r="Q181" s="5">
        <v>4.99E-2</v>
      </c>
      <c r="R181" s="81">
        <f t="shared" si="79"/>
        <v>-4.9542351002003163E-3</v>
      </c>
      <c r="S181" s="81">
        <f t="shared" si="80"/>
        <v>2.7380211574361789E-3</v>
      </c>
      <c r="T181" s="81">
        <f t="shared" si="81"/>
        <v>-2.2710711683264512E-2</v>
      </c>
      <c r="U181" s="81">
        <f t="shared" si="82"/>
        <v>6.0000000000000027E-4</v>
      </c>
      <c r="V181" s="83">
        <f t="shared" si="83"/>
        <v>2.700000000000001E-3</v>
      </c>
    </row>
    <row r="182" spans="1:22" ht="12.75" customHeight="1">
      <c r="A182" s="75">
        <v>150</v>
      </c>
      <c r="B182" s="152" t="s">
        <v>193</v>
      </c>
      <c r="C182" s="153" t="s">
        <v>78</v>
      </c>
      <c r="D182" s="2">
        <v>1078055201.26</v>
      </c>
      <c r="E182" s="3">
        <f t="shared" si="77"/>
        <v>2.0882083160136969E-2</v>
      </c>
      <c r="F182" s="14">
        <v>103.39</v>
      </c>
      <c r="G182" s="14">
        <v>103.39</v>
      </c>
      <c r="H182" s="60">
        <v>549</v>
      </c>
      <c r="I182" s="5">
        <v>2.2000000000000001E-3</v>
      </c>
      <c r="J182" s="5">
        <v>3.6499999999999998E-2</v>
      </c>
      <c r="K182" s="2">
        <v>1080489214.4000001</v>
      </c>
      <c r="L182" s="3">
        <f t="shared" si="78"/>
        <v>2.0964450709510193E-2</v>
      </c>
      <c r="M182" s="14">
        <v>103.55</v>
      </c>
      <c r="N182" s="14">
        <v>103.55</v>
      </c>
      <c r="O182" s="60">
        <v>552</v>
      </c>
      <c r="P182" s="5">
        <v>1.6000000000000001E-3</v>
      </c>
      <c r="Q182" s="5">
        <v>3.8100000000000002E-2</v>
      </c>
      <c r="R182" s="81">
        <f t="shared" si="79"/>
        <v>2.2577815469516775E-3</v>
      </c>
      <c r="S182" s="81">
        <f t="shared" si="80"/>
        <v>1.5475384466582512E-3</v>
      </c>
      <c r="T182" s="81">
        <f t="shared" si="81"/>
        <v>5.4644808743169399E-3</v>
      </c>
      <c r="U182" s="81">
        <f t="shared" si="82"/>
        <v>-6.0000000000000006E-4</v>
      </c>
      <c r="V182" s="83">
        <f t="shared" si="83"/>
        <v>1.6000000000000042E-3</v>
      </c>
    </row>
    <row r="183" spans="1:22" ht="15.75" customHeight="1">
      <c r="A183" s="75">
        <v>151</v>
      </c>
      <c r="B183" s="152" t="s">
        <v>194</v>
      </c>
      <c r="C183" s="153" t="s">
        <v>42</v>
      </c>
      <c r="D183" s="2">
        <v>9864207956.4799995</v>
      </c>
      <c r="E183" s="3">
        <f t="shared" si="77"/>
        <v>0.19107111640976315</v>
      </c>
      <c r="F183" s="14">
        <v>130.58000000000001</v>
      </c>
      <c r="G183" s="14">
        <v>130.58000000000001</v>
      </c>
      <c r="H183" s="60">
        <v>1195</v>
      </c>
      <c r="I183" s="5">
        <v>4.0000000000000002E-4</v>
      </c>
      <c r="J183" s="5">
        <v>1.7899999999999999E-2</v>
      </c>
      <c r="K183" s="2">
        <v>9828770114.9899998</v>
      </c>
      <c r="L183" s="3">
        <f t="shared" si="78"/>
        <v>0.19070506569122736</v>
      </c>
      <c r="M183" s="14">
        <v>130.66999999999999</v>
      </c>
      <c r="N183" s="14">
        <v>130.66999999999999</v>
      </c>
      <c r="O183" s="60">
        <v>1195</v>
      </c>
      <c r="P183" s="5">
        <v>6.9999999999999999E-4</v>
      </c>
      <c r="Q183" s="5">
        <v>1.8599999999999998E-2</v>
      </c>
      <c r="R183" s="81">
        <f t="shared" si="79"/>
        <v>-3.5925683690315887E-3</v>
      </c>
      <c r="S183" s="81">
        <f t="shared" si="80"/>
        <v>6.8923265431134156E-4</v>
      </c>
      <c r="T183" s="81">
        <f t="shared" si="81"/>
        <v>0</v>
      </c>
      <c r="U183" s="81">
        <f t="shared" si="82"/>
        <v>2.9999999999999997E-4</v>
      </c>
      <c r="V183" s="83">
        <f t="shared" si="83"/>
        <v>6.9999999999999923E-4</v>
      </c>
    </row>
    <row r="184" spans="1:22">
      <c r="A184" s="75">
        <v>152</v>
      </c>
      <c r="B184" s="152" t="s">
        <v>195</v>
      </c>
      <c r="C184" s="153" t="s">
        <v>45</v>
      </c>
      <c r="D184" s="2">
        <v>4287813682.98</v>
      </c>
      <c r="E184" s="3">
        <f t="shared" si="77"/>
        <v>8.3055563201690899E-2</v>
      </c>
      <c r="F184" s="14">
        <v>1.2148000000000001</v>
      </c>
      <c r="G184" s="14">
        <v>1.2148000000000001</v>
      </c>
      <c r="H184" s="60">
        <v>646</v>
      </c>
      <c r="I184" s="5">
        <v>9.4399999999999998E-2</v>
      </c>
      <c r="J184" s="5">
        <v>9.5799999999999996E-2</v>
      </c>
      <c r="K184" s="2">
        <v>4294214724.0599999</v>
      </c>
      <c r="L184" s="3">
        <f t="shared" si="78"/>
        <v>8.3319529449075058E-2</v>
      </c>
      <c r="M184" s="14">
        <v>1.2169000000000001</v>
      </c>
      <c r="N184" s="14">
        <v>1.2169000000000001</v>
      </c>
      <c r="O184" s="60">
        <v>645</v>
      </c>
      <c r="P184" s="5">
        <v>9.4200000000000006E-2</v>
      </c>
      <c r="Q184" s="5">
        <v>9.5699999999999993E-2</v>
      </c>
      <c r="R184" s="81">
        <f t="shared" si="79"/>
        <v>1.4928449679164338E-3</v>
      </c>
      <c r="S184" s="81">
        <f t="shared" si="80"/>
        <v>1.7286796180441147E-3</v>
      </c>
      <c r="T184" s="81">
        <f t="shared" si="81"/>
        <v>-1.5479876160990713E-3</v>
      </c>
      <c r="U184" s="81">
        <f t="shared" si="82"/>
        <v>-1.9999999999999185E-4</v>
      </c>
      <c r="V184" s="83">
        <f t="shared" si="83"/>
        <v>-1.0000000000000286E-4</v>
      </c>
    </row>
    <row r="185" spans="1:22">
      <c r="A185" s="75">
        <v>153</v>
      </c>
      <c r="B185" s="152" t="s">
        <v>196</v>
      </c>
      <c r="C185" s="153" t="s">
        <v>197</v>
      </c>
      <c r="D185" s="2">
        <v>417581350.39999998</v>
      </c>
      <c r="E185" s="3">
        <f t="shared" si="77"/>
        <v>8.0886103744812372E-3</v>
      </c>
      <c r="F185" s="18">
        <v>111.3018</v>
      </c>
      <c r="G185" s="18">
        <v>111.8111</v>
      </c>
      <c r="H185" s="61">
        <v>160</v>
      </c>
      <c r="I185" s="5">
        <v>-1.2210000000000001E-3</v>
      </c>
      <c r="J185" s="5">
        <v>0.1232</v>
      </c>
      <c r="K185" s="2">
        <v>418136248.64999998</v>
      </c>
      <c r="L185" s="3">
        <f t="shared" si="78"/>
        <v>8.1129886886934025E-3</v>
      </c>
      <c r="M185" s="18">
        <v>110.88800000000001</v>
      </c>
      <c r="N185" s="18">
        <v>111.41070000000001</v>
      </c>
      <c r="O185" s="61">
        <v>163</v>
      </c>
      <c r="P185" s="5">
        <v>-3.581E-3</v>
      </c>
      <c r="Q185" s="5">
        <v>0.1192</v>
      </c>
      <c r="R185" s="81">
        <f>((K185-D185)/D185)</f>
        <v>1.3288386789028403E-3</v>
      </c>
      <c r="S185" s="81">
        <f>((N185-G185)/G185)</f>
        <v>-3.5810398073177936E-3</v>
      </c>
      <c r="T185" s="81">
        <f>((O185-H185)/H185)</f>
        <v>1.8749999999999999E-2</v>
      </c>
      <c r="U185" s="81">
        <f>P185-I185</f>
        <v>-2.3600000000000001E-3</v>
      </c>
      <c r="V185" s="83">
        <f>Q185-J185</f>
        <v>-4.0000000000000036E-3</v>
      </c>
    </row>
    <row r="186" spans="1:22">
      <c r="A186" s="75">
        <v>154</v>
      </c>
      <c r="B186" s="152" t="s">
        <v>244</v>
      </c>
      <c r="C186" s="153" t="s">
        <v>197</v>
      </c>
      <c r="D186" s="2">
        <v>155924463.03999999</v>
      </c>
      <c r="E186" s="3">
        <f t="shared" si="77"/>
        <v>3.0202791101006992E-3</v>
      </c>
      <c r="F186" s="18">
        <v>102.49850000000001</v>
      </c>
      <c r="G186" s="18">
        <v>102.49850000000001</v>
      </c>
      <c r="H186" s="61">
        <v>66</v>
      </c>
      <c r="I186" s="5">
        <v>2.7520000000000001E-3</v>
      </c>
      <c r="J186" s="5">
        <v>2.3496E-2</v>
      </c>
      <c r="K186" s="2">
        <v>156350962.94999999</v>
      </c>
      <c r="L186" s="3">
        <f t="shared" si="78"/>
        <v>3.0336369974501881E-3</v>
      </c>
      <c r="M186" s="18">
        <v>102.77889999999999</v>
      </c>
      <c r="N186" s="18">
        <v>102.77889999999999</v>
      </c>
      <c r="O186" s="61">
        <v>66</v>
      </c>
      <c r="P186" s="5">
        <v>2.7360000000000002E-3</v>
      </c>
      <c r="Q186" s="5">
        <v>2.6296E-2</v>
      </c>
      <c r="R186" s="81">
        <f t="shared" si="79"/>
        <v>2.7352982443209347E-3</v>
      </c>
      <c r="S186" s="81">
        <f t="shared" si="80"/>
        <v>2.7356497899967899E-3</v>
      </c>
      <c r="T186" s="81">
        <f t="shared" si="81"/>
        <v>0</v>
      </c>
      <c r="U186" s="81">
        <f t="shared" si="82"/>
        <v>-1.5999999999999955E-5</v>
      </c>
      <c r="V186" s="83">
        <f t="shared" si="83"/>
        <v>2.8000000000000004E-3</v>
      </c>
    </row>
    <row r="187" spans="1:22">
      <c r="A187" s="85"/>
      <c r="B187" s="19"/>
      <c r="C187" s="66" t="s">
        <v>46</v>
      </c>
      <c r="D187" s="59">
        <f>SUM(D172:D186)</f>
        <v>51625845610.938026</v>
      </c>
      <c r="E187" s="100">
        <f>(D187/$D$188)</f>
        <v>1.9392217884050982E-2</v>
      </c>
      <c r="F187" s="30"/>
      <c r="G187" s="34"/>
      <c r="H187" s="68">
        <f>SUM(H172:H186)</f>
        <v>27537</v>
      </c>
      <c r="I187" s="35"/>
      <c r="J187" s="35"/>
      <c r="K187" s="59">
        <f>SUM(K172:K186)</f>
        <v>51539113968.28791</v>
      </c>
      <c r="L187" s="100">
        <f>(K187/$K$188)</f>
        <v>1.8864315034306963E-2</v>
      </c>
      <c r="M187" s="30"/>
      <c r="N187" s="34"/>
      <c r="O187" s="68">
        <f>SUM(O172:O186)</f>
        <v>27351</v>
      </c>
      <c r="P187" s="35"/>
      <c r="Q187" s="35"/>
      <c r="R187" s="81">
        <f t="shared" si="79"/>
        <v>-1.6800043006315432E-3</v>
      </c>
      <c r="S187" s="81" t="e">
        <f t="shared" si="80"/>
        <v>#DIV/0!</v>
      </c>
      <c r="T187" s="81">
        <f t="shared" si="81"/>
        <v>-6.7545484257544395E-3</v>
      </c>
      <c r="U187" s="81">
        <f t="shared" si="82"/>
        <v>0</v>
      </c>
      <c r="V187" s="83">
        <f t="shared" si="83"/>
        <v>0</v>
      </c>
    </row>
    <row r="188" spans="1:22">
      <c r="A188" s="86"/>
      <c r="B188" s="38"/>
      <c r="C188" s="67" t="s">
        <v>198</v>
      </c>
      <c r="D188" s="69">
        <f>SUM(D23,D57,D94,D125,D133,D162,D168,D187)</f>
        <v>2662193974903.5825</v>
      </c>
      <c r="E188" s="39"/>
      <c r="F188" s="39"/>
      <c r="G188" s="40"/>
      <c r="H188" s="69">
        <f>SUM(H23,H57,H94,H125,H133,H162,H168,H187)</f>
        <v>728269</v>
      </c>
      <c r="I188" s="41"/>
      <c r="J188" s="41"/>
      <c r="K188" s="69">
        <f>SUM(K23,K57,K94,K125,K133,K162,K168,K187)</f>
        <v>2732095698919.2559</v>
      </c>
      <c r="L188" s="39"/>
      <c r="M188" s="39"/>
      <c r="N188" s="40"/>
      <c r="O188" s="69">
        <f>SUM(O23,O57,O94,O125,O133,O162,O168,O187)</f>
        <v>728649</v>
      </c>
      <c r="P188" s="42"/>
      <c r="Q188" s="69"/>
      <c r="R188" s="25">
        <f t="shared" si="79"/>
        <v>2.6257186619245126E-2</v>
      </c>
      <c r="S188" s="25"/>
      <c r="T188" s="25"/>
      <c r="U188" s="25"/>
      <c r="V188" s="25"/>
    </row>
    <row r="189" spans="1:22" ht="6.75" customHeight="1">
      <c r="A189" s="158"/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  <c r="R189" s="158"/>
      <c r="S189" s="158"/>
      <c r="T189" s="158"/>
      <c r="U189" s="158"/>
      <c r="V189" s="19"/>
    </row>
    <row r="190" spans="1:22" ht="15.75">
      <c r="A190" s="165" t="s">
        <v>199</v>
      </c>
      <c r="B190" s="165"/>
      <c r="C190" s="165"/>
      <c r="D190" s="165"/>
      <c r="E190" s="165"/>
      <c r="F190" s="165"/>
      <c r="G190" s="165"/>
      <c r="H190" s="165"/>
      <c r="I190" s="165"/>
      <c r="J190" s="165"/>
      <c r="K190" s="165"/>
      <c r="L190" s="165"/>
      <c r="M190" s="165"/>
      <c r="N190" s="165"/>
      <c r="O190" s="165"/>
      <c r="P190" s="165"/>
      <c r="Q190" s="165"/>
      <c r="R190" s="165"/>
      <c r="S190" s="165"/>
      <c r="T190" s="165"/>
      <c r="U190" s="165"/>
      <c r="V190" s="165"/>
    </row>
    <row r="191" spans="1:22">
      <c r="A191" s="75">
        <v>1</v>
      </c>
      <c r="B191" s="152" t="s">
        <v>200</v>
      </c>
      <c r="C191" s="153" t="s">
        <v>201</v>
      </c>
      <c r="D191" s="2">
        <v>103175705234</v>
      </c>
      <c r="E191" s="3">
        <f>(D191/$D$193)</f>
        <v>0.97935176064015272</v>
      </c>
      <c r="F191" s="14">
        <v>107.39</v>
      </c>
      <c r="G191" s="14">
        <v>107.39</v>
      </c>
      <c r="H191" s="64">
        <v>0</v>
      </c>
      <c r="I191" s="20">
        <v>0</v>
      </c>
      <c r="J191" s="20">
        <v>0.13800000000000001</v>
      </c>
      <c r="K191" s="2">
        <v>103175705234</v>
      </c>
      <c r="L191" s="3">
        <f>(K191/$K$193)</f>
        <v>0.97930026374087042</v>
      </c>
      <c r="M191" s="14">
        <v>107.39</v>
      </c>
      <c r="N191" s="14">
        <v>107.39</v>
      </c>
      <c r="O191" s="64">
        <v>0</v>
      </c>
      <c r="P191" s="20">
        <v>0</v>
      </c>
      <c r="Q191" s="20">
        <v>0.13800000000000001</v>
      </c>
      <c r="R191" s="81">
        <f>((K191-D191)/D191)</f>
        <v>0</v>
      </c>
      <c r="S191" s="81">
        <f>((N191-G191)/G191)</f>
        <v>0</v>
      </c>
      <c r="T191" s="81" t="e">
        <f>((O191-H191)/H191)</f>
        <v>#DIV/0!</v>
      </c>
      <c r="U191" s="81">
        <f>P191-I191</f>
        <v>0</v>
      </c>
      <c r="V191" s="83">
        <f>Q191-J191</f>
        <v>0</v>
      </c>
    </row>
    <row r="192" spans="1:22">
      <c r="A192" s="75">
        <v>2</v>
      </c>
      <c r="B192" s="152" t="s">
        <v>202</v>
      </c>
      <c r="C192" s="153" t="s">
        <v>45</v>
      </c>
      <c r="D192" s="2">
        <v>2175313042.1700001</v>
      </c>
      <c r="E192" s="3">
        <f>(D192/$D$193)</f>
        <v>2.0648239359847248E-2</v>
      </c>
      <c r="F192" s="21">
        <v>1000000</v>
      </c>
      <c r="G192" s="21">
        <v>1000000</v>
      </c>
      <c r="H192" s="64">
        <v>0</v>
      </c>
      <c r="I192" s="20">
        <v>0.16420000000000001</v>
      </c>
      <c r="J192" s="20">
        <v>0.16420000000000001</v>
      </c>
      <c r="K192" s="2">
        <v>2180852967.9499998</v>
      </c>
      <c r="L192" s="3">
        <f>(K192/$K$193)</f>
        <v>2.0699736259129575E-2</v>
      </c>
      <c r="M192" s="21">
        <v>1000000</v>
      </c>
      <c r="N192" s="21">
        <v>1000000</v>
      </c>
      <c r="O192" s="64">
        <v>0</v>
      </c>
      <c r="P192" s="20">
        <v>0.16389999999999999</v>
      </c>
      <c r="Q192" s="20">
        <v>0.16389999999999999</v>
      </c>
      <c r="R192" s="81">
        <f>((K192-D192)/D192)</f>
        <v>2.5467257689373011E-3</v>
      </c>
      <c r="S192" s="81">
        <f>((N192-G192)/G192)</f>
        <v>0</v>
      </c>
      <c r="T192" s="81" t="e">
        <f>((O192-H192)/H192)</f>
        <v>#DIV/0!</v>
      </c>
      <c r="U192" s="81">
        <f>P192-I192</f>
        <v>-3.0000000000002247E-4</v>
      </c>
      <c r="V192" s="83">
        <f>Q192-J192</f>
        <v>-3.0000000000002247E-4</v>
      </c>
    </row>
    <row r="193" spans="1:22">
      <c r="A193" s="38"/>
      <c r="B193" s="38"/>
      <c r="C193" s="67" t="s">
        <v>203</v>
      </c>
      <c r="D193" s="73">
        <f>SUM(D191:D192)</f>
        <v>105351018276.17</v>
      </c>
      <c r="E193" s="24"/>
      <c r="F193" s="22"/>
      <c r="G193" s="22"/>
      <c r="H193" s="73">
        <f>SUM(H191:H192)</f>
        <v>0</v>
      </c>
      <c r="I193" s="23"/>
      <c r="J193" s="23"/>
      <c r="K193" s="73">
        <f>SUM(K191:K192)</f>
        <v>105356558201.95</v>
      </c>
      <c r="L193" s="24"/>
      <c r="M193" s="22"/>
      <c r="N193" s="22"/>
      <c r="O193" s="23"/>
      <c r="P193" s="23"/>
      <c r="Q193" s="73"/>
      <c r="R193" s="25">
        <f>((K193-D193)/D193)</f>
        <v>5.2585403260899376E-5</v>
      </c>
      <c r="S193" s="26"/>
      <c r="T193" s="26"/>
      <c r="U193" s="25"/>
      <c r="V193" s="87"/>
    </row>
    <row r="194" spans="1:22" ht="8.25" customHeight="1">
      <c r="A194" s="170"/>
      <c r="B194" s="170"/>
      <c r="C194" s="170"/>
      <c r="D194" s="170"/>
      <c r="E194" s="170"/>
      <c r="F194" s="170"/>
      <c r="G194" s="170"/>
      <c r="H194" s="170"/>
      <c r="I194" s="170"/>
      <c r="J194" s="170"/>
      <c r="K194" s="170"/>
      <c r="L194" s="170"/>
      <c r="M194" s="170"/>
      <c r="N194" s="170"/>
      <c r="O194" s="170"/>
      <c r="P194" s="170"/>
      <c r="Q194" s="170"/>
      <c r="R194" s="170"/>
      <c r="S194" s="170"/>
      <c r="T194" s="170"/>
      <c r="U194" s="170"/>
      <c r="V194" s="170"/>
    </row>
    <row r="195" spans="1:22" ht="15.75">
      <c r="A195" s="165" t="s">
        <v>204</v>
      </c>
      <c r="B195" s="165"/>
      <c r="C195" s="165"/>
      <c r="D195" s="165"/>
      <c r="E195" s="165"/>
      <c r="F195" s="165"/>
      <c r="G195" s="165"/>
      <c r="H195" s="165"/>
      <c r="I195" s="165"/>
      <c r="J195" s="165"/>
      <c r="K195" s="165"/>
      <c r="L195" s="165"/>
      <c r="M195" s="165"/>
      <c r="N195" s="165"/>
      <c r="O195" s="165"/>
      <c r="P195" s="165"/>
      <c r="Q195" s="165"/>
      <c r="R195" s="165"/>
      <c r="S195" s="165"/>
      <c r="T195" s="165"/>
      <c r="U195" s="165"/>
      <c r="V195" s="165"/>
    </row>
    <row r="196" spans="1:22">
      <c r="A196" s="75">
        <v>1</v>
      </c>
      <c r="B196" s="152" t="s">
        <v>205</v>
      </c>
      <c r="C196" s="153" t="s">
        <v>74</v>
      </c>
      <c r="D196" s="27">
        <v>952484964.73861873</v>
      </c>
      <c r="E196" s="10">
        <f t="shared" ref="E196:E207" si="84">(D196/$D$208)</f>
        <v>7.4790595058991591E-2</v>
      </c>
      <c r="F196" s="21">
        <v>224.45739713411541</v>
      </c>
      <c r="G196" s="21">
        <v>226.54200025921998</v>
      </c>
      <c r="H196" s="63">
        <v>61</v>
      </c>
      <c r="I196" s="28">
        <v>-1.3536074590120073E-2</v>
      </c>
      <c r="J196" s="28">
        <v>0.28389383073323016</v>
      </c>
      <c r="K196" s="27">
        <v>975576257.71999967</v>
      </c>
      <c r="L196" s="10">
        <f t="shared" ref="L196:L207" si="85">(K196/$K$208)</f>
        <v>7.4654297633001632E-2</v>
      </c>
      <c r="M196" s="21">
        <v>227.71098278659639</v>
      </c>
      <c r="N196" s="21">
        <v>229.89896493931889</v>
      </c>
      <c r="O196" s="63">
        <v>61</v>
      </c>
      <c r="P196" s="28">
        <v>1.449533717321394E-2</v>
      </c>
      <c r="Q196" s="28">
        <v>0.30247087334322709</v>
      </c>
      <c r="R196" s="81">
        <f>((K196-D196)/D196)</f>
        <v>2.424320995735367E-2</v>
      </c>
      <c r="S196" s="81">
        <f>((N196-G196)/G196)</f>
        <v>1.4818288336192474E-2</v>
      </c>
      <c r="T196" s="81">
        <f>((O196-H196)/H196)</f>
        <v>0</v>
      </c>
      <c r="U196" s="81">
        <f>P196-I196</f>
        <v>2.8031411763334013E-2</v>
      </c>
      <c r="V196" s="83">
        <f>Q196-J196</f>
        <v>1.857704260999693E-2</v>
      </c>
    </row>
    <row r="197" spans="1:22">
      <c r="A197" s="75">
        <v>2</v>
      </c>
      <c r="B197" s="152" t="s">
        <v>206</v>
      </c>
      <c r="C197" s="153" t="s">
        <v>185</v>
      </c>
      <c r="D197" s="27">
        <v>972665126.01999998</v>
      </c>
      <c r="E197" s="10">
        <f t="shared" si="84"/>
        <v>7.6375172586716764E-2</v>
      </c>
      <c r="F197" s="21">
        <v>27.67</v>
      </c>
      <c r="G197" s="21">
        <v>30.58</v>
      </c>
      <c r="H197" s="63">
        <v>211</v>
      </c>
      <c r="I197" s="28">
        <v>-1.0200000000000001E-2</v>
      </c>
      <c r="J197" s="28">
        <v>0.29070000000000001</v>
      </c>
      <c r="K197" s="27">
        <v>979896524.95000005</v>
      </c>
      <c r="L197" s="10">
        <f t="shared" si="85"/>
        <v>7.4984898662998317E-2</v>
      </c>
      <c r="M197" s="21">
        <v>27.87</v>
      </c>
      <c r="N197" s="21">
        <v>30.81</v>
      </c>
      <c r="O197" s="63">
        <v>211</v>
      </c>
      <c r="P197" s="28">
        <v>7.4000000000000003E-3</v>
      </c>
      <c r="Q197" s="28">
        <v>0.30030000000000001</v>
      </c>
      <c r="R197" s="81">
        <f t="shared" ref="R197:R208" si="86">((K197-D197)/D197)</f>
        <v>7.4346234243946509E-3</v>
      </c>
      <c r="S197" s="81">
        <f t="shared" ref="S197:S208" si="87">((N197-G197)/G197)</f>
        <v>7.5212557226945857E-3</v>
      </c>
      <c r="T197" s="81">
        <f t="shared" ref="T197:T208" si="88">((O197-H197)/H197)</f>
        <v>0</v>
      </c>
      <c r="U197" s="81">
        <f t="shared" ref="U197:U208" si="89">P197-I197</f>
        <v>1.7600000000000001E-2</v>
      </c>
      <c r="V197" s="83">
        <f t="shared" ref="V197:V208" si="90">Q197-J197</f>
        <v>9.5999999999999974E-3</v>
      </c>
    </row>
    <row r="198" spans="1:22">
      <c r="A198" s="75">
        <v>3</v>
      </c>
      <c r="B198" s="152" t="s">
        <v>207</v>
      </c>
      <c r="C198" s="153" t="s">
        <v>36</v>
      </c>
      <c r="D198" s="27">
        <v>259083234.76999998</v>
      </c>
      <c r="E198" s="10">
        <f t="shared" si="84"/>
        <v>2.0343616976226137E-2</v>
      </c>
      <c r="F198" s="21">
        <v>19.04476</v>
      </c>
      <c r="G198" s="21">
        <v>19.589765</v>
      </c>
      <c r="H198" s="63">
        <v>107</v>
      </c>
      <c r="I198" s="28">
        <v>-5.4502232259497463E-2</v>
      </c>
      <c r="J198" s="28">
        <v>-7.1437886832097064E-2</v>
      </c>
      <c r="K198" s="27">
        <v>269014853.93000001</v>
      </c>
      <c r="L198" s="10">
        <f t="shared" si="85"/>
        <v>2.0585899681409361E-2</v>
      </c>
      <c r="M198" s="21">
        <v>19.982602</v>
      </c>
      <c r="N198" s="21">
        <v>20.536095</v>
      </c>
      <c r="O198" s="63">
        <v>107</v>
      </c>
      <c r="P198" s="28">
        <v>-5.4502232259497463E-2</v>
      </c>
      <c r="Q198" s="28">
        <v>-0.14452321966801829</v>
      </c>
      <c r="R198" s="81">
        <f t="shared" si="86"/>
        <v>3.8333700630288868E-2</v>
      </c>
      <c r="S198" s="81">
        <f t="shared" si="87"/>
        <v>4.8307368669302547E-2</v>
      </c>
      <c r="T198" s="81">
        <f t="shared" si="88"/>
        <v>0</v>
      </c>
      <c r="U198" s="81">
        <f t="shared" si="89"/>
        <v>0</v>
      </c>
      <c r="V198" s="83">
        <f t="shared" si="90"/>
        <v>-7.3085332835921224E-2</v>
      </c>
    </row>
    <row r="199" spans="1:22">
      <c r="A199" s="75">
        <v>4</v>
      </c>
      <c r="B199" s="152" t="s">
        <v>208</v>
      </c>
      <c r="C199" s="153" t="s">
        <v>36</v>
      </c>
      <c r="D199" s="27">
        <v>508651990.15999997</v>
      </c>
      <c r="E199" s="10">
        <f t="shared" si="84"/>
        <v>3.9940142291323553E-2</v>
      </c>
      <c r="F199" s="21">
        <v>38.040396000000001</v>
      </c>
      <c r="G199" s="21">
        <v>38.716158999999998</v>
      </c>
      <c r="H199" s="63">
        <v>98</v>
      </c>
      <c r="I199" s="28">
        <v>-5.3036812573749037E-3</v>
      </c>
      <c r="J199" s="28">
        <v>6.6744635214323278E-2</v>
      </c>
      <c r="K199" s="27">
        <v>530302190.24000001</v>
      </c>
      <c r="L199" s="10">
        <f t="shared" si="85"/>
        <v>4.0580464348459119E-2</v>
      </c>
      <c r="M199" s="21">
        <v>39.858735000000003</v>
      </c>
      <c r="N199" s="21">
        <v>40.546788999999997</v>
      </c>
      <c r="O199" s="63">
        <v>98</v>
      </c>
      <c r="P199" s="28">
        <v>-5.3036812573749037E-3</v>
      </c>
      <c r="Q199" s="28">
        <v>6.1360646901863491E-2</v>
      </c>
      <c r="R199" s="81">
        <f t="shared" si="86"/>
        <v>4.2563875692671178E-2</v>
      </c>
      <c r="S199" s="81">
        <f t="shared" si="87"/>
        <v>4.7283357835161265E-2</v>
      </c>
      <c r="T199" s="81">
        <f t="shared" si="88"/>
        <v>0</v>
      </c>
      <c r="U199" s="81">
        <f t="shared" si="89"/>
        <v>0</v>
      </c>
      <c r="V199" s="83">
        <f t="shared" si="90"/>
        <v>-5.3839883124597865E-3</v>
      </c>
    </row>
    <row r="200" spans="1:22">
      <c r="A200" s="75">
        <v>5</v>
      </c>
      <c r="B200" s="152" t="s">
        <v>209</v>
      </c>
      <c r="C200" s="153" t="s">
        <v>210</v>
      </c>
      <c r="D200" s="27">
        <v>958806295</v>
      </c>
      <c r="E200" s="10">
        <f t="shared" si="84"/>
        <v>7.5286955704372327E-2</v>
      </c>
      <c r="F200" s="21">
        <v>23500</v>
      </c>
      <c r="G200" s="21">
        <v>28600</v>
      </c>
      <c r="H200" s="63">
        <v>222</v>
      </c>
      <c r="I200" s="28">
        <v>0.12</v>
      </c>
      <c r="J200" s="28">
        <v>0.64</v>
      </c>
      <c r="K200" s="27">
        <v>1006693918.8</v>
      </c>
      <c r="L200" s="10">
        <f t="shared" si="85"/>
        <v>7.7035523204581652E-2</v>
      </c>
      <c r="M200" s="21">
        <v>23800</v>
      </c>
      <c r="N200" s="21">
        <v>31400</v>
      </c>
      <c r="O200" s="63">
        <v>227</v>
      </c>
      <c r="P200" s="28">
        <v>0.05</v>
      </c>
      <c r="Q200" s="28">
        <v>0.72</v>
      </c>
      <c r="R200" s="81">
        <f t="shared" si="86"/>
        <v>4.9945045260680054E-2</v>
      </c>
      <c r="S200" s="81">
        <f t="shared" si="87"/>
        <v>9.7902097902097904E-2</v>
      </c>
      <c r="T200" s="81">
        <f t="shared" si="88"/>
        <v>2.2522522522522521E-2</v>
      </c>
      <c r="U200" s="81">
        <f t="shared" si="89"/>
        <v>-6.9999999999999993E-2</v>
      </c>
      <c r="V200" s="83">
        <f t="shared" si="90"/>
        <v>7.999999999999996E-2</v>
      </c>
    </row>
    <row r="201" spans="1:22">
      <c r="A201" s="75">
        <v>6</v>
      </c>
      <c r="B201" s="152" t="s">
        <v>211</v>
      </c>
      <c r="C201" s="153" t="s">
        <v>212</v>
      </c>
      <c r="D201" s="27">
        <v>976986387.15999997</v>
      </c>
      <c r="E201" s="10">
        <f t="shared" si="84"/>
        <v>7.6714484706099761E-2</v>
      </c>
      <c r="F201" s="21">
        <v>899.99</v>
      </c>
      <c r="G201" s="21">
        <v>899.99</v>
      </c>
      <c r="H201" s="63">
        <v>113</v>
      </c>
      <c r="I201" s="28">
        <v>-1.7899999999999999E-2</v>
      </c>
      <c r="J201" s="28">
        <v>2.5000000000000001E-2</v>
      </c>
      <c r="K201" s="27">
        <v>1034437198.8</v>
      </c>
      <c r="L201" s="10">
        <f t="shared" si="85"/>
        <v>7.9158530059295559E-2</v>
      </c>
      <c r="M201" s="21">
        <v>899.99</v>
      </c>
      <c r="N201" s="21">
        <v>899.99</v>
      </c>
      <c r="O201" s="63">
        <v>113</v>
      </c>
      <c r="P201" s="28">
        <v>5.8799999999999998E-2</v>
      </c>
      <c r="Q201" s="28">
        <v>8.3599999999999994E-2</v>
      </c>
      <c r="R201" s="81">
        <f t="shared" si="86"/>
        <v>5.8804106582286832E-2</v>
      </c>
      <c r="S201" s="81">
        <f t="shared" si="87"/>
        <v>0</v>
      </c>
      <c r="T201" s="81">
        <f t="shared" si="88"/>
        <v>0</v>
      </c>
      <c r="U201" s="81">
        <f t="shared" si="89"/>
        <v>7.669999999999999E-2</v>
      </c>
      <c r="V201" s="83">
        <f t="shared" si="90"/>
        <v>5.8599999999999992E-2</v>
      </c>
    </row>
    <row r="202" spans="1:22">
      <c r="A202" s="75">
        <v>7</v>
      </c>
      <c r="B202" s="152" t="s">
        <v>213</v>
      </c>
      <c r="C202" s="153" t="s">
        <v>212</v>
      </c>
      <c r="D202" s="27">
        <v>912588073.05999994</v>
      </c>
      <c r="E202" s="10">
        <f t="shared" si="84"/>
        <v>7.1657829314529811E-2</v>
      </c>
      <c r="F202" s="21">
        <v>504</v>
      </c>
      <c r="G202" s="21">
        <v>504</v>
      </c>
      <c r="H202" s="63">
        <v>533</v>
      </c>
      <c r="I202" s="28">
        <v>-1.0800000000000001E-2</v>
      </c>
      <c r="J202" s="28">
        <v>0.3659</v>
      </c>
      <c r="K202" s="27">
        <v>927607439.59000003</v>
      </c>
      <c r="L202" s="10">
        <f t="shared" si="85"/>
        <v>7.0983566208940946E-2</v>
      </c>
      <c r="M202" s="21">
        <v>554.39</v>
      </c>
      <c r="N202" s="21">
        <v>554.39</v>
      </c>
      <c r="O202" s="63">
        <v>533</v>
      </c>
      <c r="P202" s="28">
        <v>1.6500000000000001E-2</v>
      </c>
      <c r="Q202" s="28">
        <v>0.3881</v>
      </c>
      <c r="R202" s="81">
        <f t="shared" si="86"/>
        <v>1.64579912595599E-2</v>
      </c>
      <c r="S202" s="81">
        <f t="shared" si="87"/>
        <v>9.9980158730158697E-2</v>
      </c>
      <c r="T202" s="81">
        <f t="shared" si="88"/>
        <v>0</v>
      </c>
      <c r="U202" s="81">
        <f t="shared" si="89"/>
        <v>2.7300000000000001E-2</v>
      </c>
      <c r="V202" s="83">
        <f t="shared" si="90"/>
        <v>2.2199999999999998E-2</v>
      </c>
    </row>
    <row r="203" spans="1:22">
      <c r="A203" s="75">
        <v>8</v>
      </c>
      <c r="B203" s="152" t="s">
        <v>214</v>
      </c>
      <c r="C203" s="153" t="s">
        <v>215</v>
      </c>
      <c r="D203" s="27">
        <v>353395721.31999999</v>
      </c>
      <c r="E203" s="10">
        <f t="shared" si="84"/>
        <v>2.7749179532799737E-2</v>
      </c>
      <c r="F203" s="21">
        <v>15.66</v>
      </c>
      <c r="G203" s="21">
        <v>15.76</v>
      </c>
      <c r="H203" s="63">
        <v>58</v>
      </c>
      <c r="I203" s="28">
        <v>0</v>
      </c>
      <c r="J203" s="28">
        <v>0.43230000000000002</v>
      </c>
      <c r="K203" s="27">
        <v>352588237.86000001</v>
      </c>
      <c r="L203" s="10">
        <f t="shared" si="85"/>
        <v>2.6981209354779892E-2</v>
      </c>
      <c r="M203" s="21">
        <v>15.62</v>
      </c>
      <c r="N203" s="21">
        <v>15.72</v>
      </c>
      <c r="O203" s="63">
        <v>59</v>
      </c>
      <c r="P203" s="28">
        <v>6.1000000000000004E-3</v>
      </c>
      <c r="Q203" s="28">
        <v>0.44109999999999999</v>
      </c>
      <c r="R203" s="81">
        <f t="shared" si="86"/>
        <v>-2.2849270981093795E-3</v>
      </c>
      <c r="S203" s="81">
        <f t="shared" si="87"/>
        <v>-2.5380710659897937E-3</v>
      </c>
      <c r="T203" s="81">
        <f t="shared" si="88"/>
        <v>1.7241379310344827E-2</v>
      </c>
      <c r="U203" s="81">
        <f t="shared" si="89"/>
        <v>6.1000000000000004E-3</v>
      </c>
      <c r="V203" s="83">
        <f t="shared" si="90"/>
        <v>8.7999999999999745E-3</v>
      </c>
    </row>
    <row r="204" spans="1:22">
      <c r="A204" s="75">
        <v>9</v>
      </c>
      <c r="B204" s="152" t="s">
        <v>216</v>
      </c>
      <c r="C204" s="153" t="s">
        <v>215</v>
      </c>
      <c r="D204" s="29">
        <v>621306477.08000004</v>
      </c>
      <c r="E204" s="10">
        <f t="shared" si="84"/>
        <v>4.8785947133108451E-2</v>
      </c>
      <c r="F204" s="21">
        <v>7.6</v>
      </c>
      <c r="G204" s="21">
        <v>7.7</v>
      </c>
      <c r="H204" s="63">
        <v>101</v>
      </c>
      <c r="I204" s="28">
        <v>0</v>
      </c>
      <c r="J204" s="28">
        <v>-9.4E-2</v>
      </c>
      <c r="K204" s="29">
        <v>688256741.72000003</v>
      </c>
      <c r="L204" s="10">
        <f t="shared" si="85"/>
        <v>5.2667665123756806E-2</v>
      </c>
      <c r="M204" s="21">
        <v>8.32</v>
      </c>
      <c r="N204" s="21">
        <v>8.42</v>
      </c>
      <c r="O204" s="63">
        <v>100</v>
      </c>
      <c r="P204" s="28">
        <v>-2.5000000000000001E-2</v>
      </c>
      <c r="Q204" s="28">
        <v>-0.1166</v>
      </c>
      <c r="R204" s="81">
        <f t="shared" si="86"/>
        <v>0.1077572294991211</v>
      </c>
      <c r="S204" s="81">
        <f t="shared" si="87"/>
        <v>9.3506493506493468E-2</v>
      </c>
      <c r="T204" s="81">
        <f t="shared" si="88"/>
        <v>-9.9009900990099011E-3</v>
      </c>
      <c r="U204" s="81">
        <f t="shared" si="89"/>
        <v>-2.5000000000000001E-2</v>
      </c>
      <c r="V204" s="83">
        <f t="shared" si="90"/>
        <v>-2.2599999999999995E-2</v>
      </c>
    </row>
    <row r="205" spans="1:22" ht="15" customHeight="1">
      <c r="A205" s="75">
        <v>10</v>
      </c>
      <c r="B205" s="152" t="s">
        <v>217</v>
      </c>
      <c r="C205" s="153" t="s">
        <v>215</v>
      </c>
      <c r="D205" s="27">
        <v>439211127.44</v>
      </c>
      <c r="E205" s="10">
        <f t="shared" si="84"/>
        <v>3.448753816999367E-2</v>
      </c>
      <c r="F205" s="21">
        <v>123.76</v>
      </c>
      <c r="G205" s="21">
        <v>125.76</v>
      </c>
      <c r="H205" s="63">
        <v>253</v>
      </c>
      <c r="I205" s="28">
        <v>-0.42599999999999999</v>
      </c>
      <c r="J205" s="28">
        <v>0.35680000000000001</v>
      </c>
      <c r="K205" s="27">
        <v>440806393.30000001</v>
      </c>
      <c r="L205" s="10">
        <f t="shared" si="85"/>
        <v>3.3731952190859005E-2</v>
      </c>
      <c r="M205" s="21">
        <v>124.22</v>
      </c>
      <c r="N205" s="21">
        <v>126.22</v>
      </c>
      <c r="O205" s="63">
        <v>252</v>
      </c>
      <c r="P205" s="28">
        <v>-0.72499999999999998</v>
      </c>
      <c r="Q205" s="28">
        <v>1.3310999999999999</v>
      </c>
      <c r="R205" s="81">
        <f t="shared" si="86"/>
        <v>3.6321162200471375E-3</v>
      </c>
      <c r="S205" s="81">
        <f t="shared" si="87"/>
        <v>3.6577608142493142E-3</v>
      </c>
      <c r="T205" s="81">
        <f t="shared" si="88"/>
        <v>-3.952569169960474E-3</v>
      </c>
      <c r="U205" s="81">
        <f t="shared" si="89"/>
        <v>-0.29899999999999999</v>
      </c>
      <c r="V205" s="83">
        <f t="shared" si="90"/>
        <v>0.97429999999999994</v>
      </c>
    </row>
    <row r="206" spans="1:22">
      <c r="A206" s="75">
        <v>11</v>
      </c>
      <c r="B206" s="152" t="s">
        <v>218</v>
      </c>
      <c r="C206" s="153" t="s">
        <v>215</v>
      </c>
      <c r="D206" s="27">
        <v>5280532246.04</v>
      </c>
      <c r="E206" s="10">
        <f t="shared" si="84"/>
        <v>0.4146355727703302</v>
      </c>
      <c r="F206" s="21">
        <v>36.61</v>
      </c>
      <c r="G206" s="21">
        <v>36.61</v>
      </c>
      <c r="H206" s="63">
        <v>265</v>
      </c>
      <c r="I206" s="28">
        <v>0</v>
      </c>
      <c r="J206" s="28">
        <v>0.34810000000000002</v>
      </c>
      <c r="K206" s="27">
        <v>5364778571.0600004</v>
      </c>
      <c r="L206" s="10">
        <f t="shared" si="85"/>
        <v>0.41053046649072011</v>
      </c>
      <c r="M206" s="21">
        <v>37.15</v>
      </c>
      <c r="N206" s="21">
        <v>37.15</v>
      </c>
      <c r="O206" s="63">
        <v>266</v>
      </c>
      <c r="P206" s="28">
        <v>0</v>
      </c>
      <c r="Q206" s="28">
        <v>0.34810000000000002</v>
      </c>
      <c r="R206" s="81">
        <f t="shared" si="86"/>
        <v>1.5954135131582396E-2</v>
      </c>
      <c r="S206" s="81">
        <f t="shared" si="87"/>
        <v>1.4750068287353158E-2</v>
      </c>
      <c r="T206" s="81">
        <f t="shared" si="88"/>
        <v>3.7735849056603774E-3</v>
      </c>
      <c r="U206" s="81">
        <f t="shared" si="89"/>
        <v>0</v>
      </c>
      <c r="V206" s="83">
        <f t="shared" si="90"/>
        <v>0</v>
      </c>
    </row>
    <row r="207" spans="1:22">
      <c r="A207" s="75">
        <v>12</v>
      </c>
      <c r="B207" s="152" t="s">
        <v>219</v>
      </c>
      <c r="C207" s="153" t="s">
        <v>215</v>
      </c>
      <c r="D207" s="29">
        <v>499645844.17000002</v>
      </c>
      <c r="E207" s="10">
        <f t="shared" si="84"/>
        <v>3.9232965755508012E-2</v>
      </c>
      <c r="F207" s="21">
        <v>46.94</v>
      </c>
      <c r="G207" s="21">
        <v>47.14</v>
      </c>
      <c r="H207" s="63">
        <v>58</v>
      </c>
      <c r="I207" s="28">
        <v>0</v>
      </c>
      <c r="J207" s="28">
        <v>0.81130000000000002</v>
      </c>
      <c r="K207" s="29">
        <v>497959911.86000001</v>
      </c>
      <c r="L207" s="10">
        <f t="shared" si="85"/>
        <v>3.810552704119749E-2</v>
      </c>
      <c r="M207" s="21">
        <v>46.78</v>
      </c>
      <c r="N207" s="21">
        <v>46.98</v>
      </c>
      <c r="O207" s="63">
        <v>58</v>
      </c>
      <c r="P207" s="28">
        <v>0</v>
      </c>
      <c r="Q207" s="28">
        <v>0.81130000000000002</v>
      </c>
      <c r="R207" s="81">
        <f t="shared" si="86"/>
        <v>-3.3742546439080941E-3</v>
      </c>
      <c r="S207" s="81">
        <f t="shared" si="87"/>
        <v>-3.3941450997030907E-3</v>
      </c>
      <c r="T207" s="81">
        <f t="shared" si="88"/>
        <v>0</v>
      </c>
      <c r="U207" s="81">
        <f t="shared" si="89"/>
        <v>0</v>
      </c>
      <c r="V207" s="83">
        <f t="shared" si="90"/>
        <v>0</v>
      </c>
    </row>
    <row r="208" spans="1:22">
      <c r="A208" s="43"/>
      <c r="B208" s="43"/>
      <c r="C208" s="74" t="s">
        <v>220</v>
      </c>
      <c r="D208" s="73">
        <f>SUM(D196:D207)</f>
        <v>12735357486.958618</v>
      </c>
      <c r="E208" s="24"/>
      <c r="F208" s="24"/>
      <c r="G208" s="22"/>
      <c r="H208" s="73">
        <f>SUM(H196:H207)</f>
        <v>2080</v>
      </c>
      <c r="I208" s="23"/>
      <c r="J208" s="23"/>
      <c r="K208" s="73">
        <f>SUM(K196:K207)</f>
        <v>13067918239.830002</v>
      </c>
      <c r="L208" s="24"/>
      <c r="M208" s="24"/>
      <c r="N208" s="22"/>
      <c r="O208" s="73">
        <f>SUM(O196:O207)</f>
        <v>2085</v>
      </c>
      <c r="P208" s="23"/>
      <c r="Q208" s="23"/>
      <c r="R208" s="81">
        <f t="shared" si="86"/>
        <v>2.6113185531849867E-2</v>
      </c>
      <c r="S208" s="81" t="e">
        <f t="shared" si="87"/>
        <v>#DIV/0!</v>
      </c>
      <c r="T208" s="81">
        <f t="shared" si="88"/>
        <v>2.403846153846154E-3</v>
      </c>
      <c r="U208" s="81">
        <f t="shared" si="89"/>
        <v>0</v>
      </c>
      <c r="V208" s="83">
        <f t="shared" si="90"/>
        <v>0</v>
      </c>
    </row>
    <row r="209" spans="1:22">
      <c r="A209" s="88"/>
      <c r="B209" s="88"/>
      <c r="C209" s="89" t="s">
        <v>221</v>
      </c>
      <c r="D209" s="90">
        <f>SUM(D188,D193,D208)</f>
        <v>2780280350666.7109</v>
      </c>
      <c r="E209" s="91"/>
      <c r="F209" s="91"/>
      <c r="G209" s="92"/>
      <c r="H209" s="90">
        <f>SUM(H188,H193,H208)</f>
        <v>730349</v>
      </c>
      <c r="I209" s="93"/>
      <c r="J209" s="93"/>
      <c r="K209" s="90">
        <f>SUM(K188,K193,K208)</f>
        <v>2850520175361.0361</v>
      </c>
      <c r="L209" s="91"/>
      <c r="M209" s="91"/>
      <c r="N209" s="92"/>
      <c r="O209" s="90">
        <f>SUM(O188,O193,O208)</f>
        <v>730734</v>
      </c>
      <c r="P209" s="94"/>
      <c r="Q209" s="90"/>
      <c r="R209" s="95"/>
      <c r="S209" s="96"/>
      <c r="T209" s="96"/>
      <c r="U209" s="97"/>
      <c r="V209" s="97"/>
    </row>
    <row r="210" spans="1:22">
      <c r="A210" s="109" t="s">
        <v>250</v>
      </c>
      <c r="B210" s="110" t="s">
        <v>272</v>
      </c>
      <c r="C210" s="111"/>
      <c r="D210" s="111"/>
      <c r="E210" s="111"/>
      <c r="F210" s="111"/>
      <c r="G210" s="111"/>
      <c r="H210" s="111"/>
      <c r="I210" s="111"/>
      <c r="J210" s="111"/>
      <c r="K210" s="111"/>
      <c r="L210" s="111"/>
      <c r="M210" s="111"/>
      <c r="N210" s="111"/>
      <c r="O210" s="111"/>
      <c r="P210" s="111"/>
      <c r="Q210" s="111"/>
      <c r="R210" s="111"/>
      <c r="S210" s="111"/>
      <c r="T210" s="111"/>
      <c r="U210" s="111"/>
      <c r="V210" s="111"/>
    </row>
    <row r="212" spans="1:22">
      <c r="B212" s="113">
        <v>1383.0650000000001</v>
      </c>
      <c r="C212" s="113"/>
      <c r="D212" s="112"/>
      <c r="K212" s="112"/>
    </row>
    <row r="213" spans="1:22">
      <c r="B213" s="113"/>
      <c r="D213" s="112"/>
    </row>
  </sheetData>
  <sheetProtection algorithmName="SHA-512" hashValue="K5aU3yvUoNbrtQ7ctySZzjC2s7iZx7sY8ZqrZtR6vdO7oUou3TJa9bvfahZsnkHb5wP7wErE7lhR0aW3ngWQJw==" saltValue="IZR+yc1l2Oqct12aYNk7GQ==" spinCount="100000" sheet="1" objects="1" scenarios="1"/>
  <mergeCells count="31">
    <mergeCell ref="A194:V194"/>
    <mergeCell ref="A195:V195"/>
    <mergeCell ref="A171:V171"/>
    <mergeCell ref="A174:V174"/>
    <mergeCell ref="A175:V175"/>
    <mergeCell ref="A189:U189"/>
    <mergeCell ref="A190:V190"/>
    <mergeCell ref="A170:V170"/>
    <mergeCell ref="A96:V96"/>
    <mergeCell ref="A97:V97"/>
    <mergeCell ref="A111:V111"/>
    <mergeCell ref="A112:V112"/>
    <mergeCell ref="A126:V126"/>
    <mergeCell ref="A127:V127"/>
    <mergeCell ref="A134:V134"/>
    <mergeCell ref="A135:V135"/>
    <mergeCell ref="A163:V163"/>
    <mergeCell ref="A164:V164"/>
    <mergeCell ref="A169:V169"/>
    <mergeCell ref="A95:V95"/>
    <mergeCell ref="A1:V1"/>
    <mergeCell ref="U2:V2"/>
    <mergeCell ref="A4:V4"/>
    <mergeCell ref="A5:V5"/>
    <mergeCell ref="A24:V24"/>
    <mergeCell ref="A25:V25"/>
    <mergeCell ref="A58:V58"/>
    <mergeCell ref="A59:V59"/>
    <mergeCell ref="R2:T2"/>
    <mergeCell ref="K2:Q2"/>
    <mergeCell ref="D2:J2"/>
  </mergeCells>
  <pageMargins left="0.7" right="0.7" top="0.75" bottom="0.75" header="0.3" footer="0.3"/>
  <pageSetup paperSize="9" orientation="portrait" horizontalDpi="300" verticalDpi="300" r:id="rId1"/>
  <ignoredErrors>
    <ignoredError sqref="L81 E81 E64" formula="1"/>
    <ignoredError sqref="S133 S23 T34 S57 S94 S125 T143 S162 S168 S187 S208 T191:T19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D28"/>
  <sheetViews>
    <sheetView workbookViewId="0">
      <selection activeCell="A7" sqref="A7"/>
    </sheetView>
  </sheetViews>
  <sheetFormatPr defaultRowHeight="15"/>
  <cols>
    <col min="1" max="1" width="34" customWidth="1"/>
    <col min="2" max="2" width="20.7109375" customWidth="1"/>
    <col min="3" max="3" width="17.42578125" customWidth="1"/>
  </cols>
  <sheetData>
    <row r="1" spans="1:4">
      <c r="A1" s="101"/>
      <c r="B1" s="101"/>
      <c r="C1" s="101"/>
      <c r="D1" s="101"/>
    </row>
    <row r="2" spans="1:4" ht="33">
      <c r="A2" s="129" t="s">
        <v>222</v>
      </c>
      <c r="B2" s="130" t="s">
        <v>269</v>
      </c>
      <c r="C2" s="130" t="s">
        <v>273</v>
      </c>
      <c r="D2" s="99"/>
    </row>
    <row r="3" spans="1:4" ht="16.5">
      <c r="A3" s="131" t="s">
        <v>15</v>
      </c>
      <c r="B3" s="132">
        <f t="shared" ref="B3:C10" si="0">B12</f>
        <v>26.264049012868401</v>
      </c>
      <c r="C3" s="132">
        <f t="shared" si="0"/>
        <v>27.319052490226497</v>
      </c>
      <c r="D3" s="99"/>
    </row>
    <row r="4" spans="1:4" ht="17.25" customHeight="1">
      <c r="A4" s="133" t="s">
        <v>47</v>
      </c>
      <c r="B4" s="134">
        <f t="shared" si="0"/>
        <v>929.99815993067284</v>
      </c>
      <c r="C4" s="134">
        <f t="shared" si="0"/>
        <v>943.17306225288905</v>
      </c>
      <c r="D4" s="99"/>
    </row>
    <row r="5" spans="1:4" ht="19.5" customHeight="1">
      <c r="A5" s="133" t="s">
        <v>223</v>
      </c>
      <c r="B5" s="132">
        <f t="shared" si="0"/>
        <v>259.45561209181858</v>
      </c>
      <c r="C5" s="132">
        <f t="shared" si="0"/>
        <v>257.29152816124872</v>
      </c>
      <c r="D5" s="99"/>
    </row>
    <row r="6" spans="1:4" ht="16.5">
      <c r="A6" s="133" t="s">
        <v>128</v>
      </c>
      <c r="B6" s="134">
        <f t="shared" si="0"/>
        <v>1242.7078282264185</v>
      </c>
      <c r="C6" s="134">
        <f t="shared" si="0"/>
        <v>1300.4808572377635</v>
      </c>
      <c r="D6" s="99"/>
    </row>
    <row r="7" spans="1:4" ht="16.5">
      <c r="A7" s="133" t="s">
        <v>224</v>
      </c>
      <c r="B7" s="132">
        <f t="shared" si="0"/>
        <v>100.03787739068518</v>
      </c>
      <c r="C7" s="132">
        <f t="shared" si="0"/>
        <v>99.185326803116425</v>
      </c>
      <c r="D7" s="99"/>
    </row>
    <row r="8" spans="1:4" ht="16.5">
      <c r="A8" s="133" t="s">
        <v>154</v>
      </c>
      <c r="B8" s="135">
        <f t="shared" si="0"/>
        <v>47.381646798600897</v>
      </c>
      <c r="C8" s="135">
        <f t="shared" si="0"/>
        <v>48.298812075103349</v>
      </c>
      <c r="D8" s="99"/>
    </row>
    <row r="9" spans="1:4" ht="16.5">
      <c r="A9" s="133" t="s">
        <v>178</v>
      </c>
      <c r="B9" s="132">
        <f t="shared" si="0"/>
        <v>4.7229558415800001</v>
      </c>
      <c r="C9" s="132">
        <f t="shared" si="0"/>
        <v>4.8079459306199999</v>
      </c>
      <c r="D9" s="99"/>
    </row>
    <row r="10" spans="1:4" ht="16.5">
      <c r="A10" s="133" t="s">
        <v>225</v>
      </c>
      <c r="B10" s="132">
        <f t="shared" si="0"/>
        <v>51.625845610938029</v>
      </c>
      <c r="C10" s="132">
        <f t="shared" si="0"/>
        <v>51.539113968287907</v>
      </c>
      <c r="D10" s="99"/>
    </row>
    <row r="11" spans="1:4">
      <c r="A11" s="99"/>
      <c r="B11" s="99"/>
      <c r="C11" s="99"/>
      <c r="D11" s="99"/>
    </row>
    <row r="12" spans="1:4">
      <c r="A12" s="136" t="s">
        <v>15</v>
      </c>
      <c r="B12" s="137">
        <f>'Weekly Valuation'!D23/1000000000</f>
        <v>26.264049012868401</v>
      </c>
      <c r="C12" s="138">
        <f>'Weekly Valuation'!K23/1000000000</f>
        <v>27.319052490226497</v>
      </c>
      <c r="D12" s="99"/>
    </row>
    <row r="13" spans="1:4">
      <c r="A13" s="139" t="s">
        <v>47</v>
      </c>
      <c r="B13" s="137">
        <f>'Weekly Valuation'!D57/1000000000</f>
        <v>929.99815993067284</v>
      </c>
      <c r="C13" s="140">
        <f>'Weekly Valuation'!K57/1000000000</f>
        <v>943.17306225288905</v>
      </c>
      <c r="D13" s="99"/>
    </row>
    <row r="14" spans="1:4">
      <c r="A14" s="139" t="s">
        <v>223</v>
      </c>
      <c r="B14" s="137">
        <f>'Weekly Valuation'!D94/1000000000</f>
        <v>259.45561209181858</v>
      </c>
      <c r="C14" s="138">
        <f>'Weekly Valuation'!K94/1000000000</f>
        <v>257.29152816124872</v>
      </c>
      <c r="D14" s="99"/>
    </row>
    <row r="15" spans="1:4">
      <c r="A15" s="139" t="s">
        <v>128</v>
      </c>
      <c r="B15" s="137">
        <f>'Weekly Valuation'!D125/1000000000</f>
        <v>1242.7078282264185</v>
      </c>
      <c r="C15" s="140">
        <f>'Weekly Valuation'!K125/1000000000</f>
        <v>1300.4808572377635</v>
      </c>
      <c r="D15" s="99"/>
    </row>
    <row r="16" spans="1:4">
      <c r="A16" s="139" t="s">
        <v>224</v>
      </c>
      <c r="B16" s="137">
        <f>'Weekly Valuation'!D133/1000000000</f>
        <v>100.03787739068518</v>
      </c>
      <c r="C16" s="138">
        <f>'Weekly Valuation'!K133/1000000000</f>
        <v>99.185326803116425</v>
      </c>
      <c r="D16" s="99"/>
    </row>
    <row r="17" spans="1:4">
      <c r="A17" s="139" t="s">
        <v>154</v>
      </c>
      <c r="B17" s="137">
        <f>'Weekly Valuation'!D162/1000000000</f>
        <v>47.381646798600897</v>
      </c>
      <c r="C17" s="141">
        <f>'Weekly Valuation'!K162/1000000000</f>
        <v>48.298812075103349</v>
      </c>
      <c r="D17" s="99"/>
    </row>
    <row r="18" spans="1:4">
      <c r="A18" s="139" t="s">
        <v>178</v>
      </c>
      <c r="B18" s="137">
        <f>'Weekly Valuation'!D168/1000000000</f>
        <v>4.7229558415800001</v>
      </c>
      <c r="C18" s="138">
        <f>'Weekly Valuation'!K168/1000000000</f>
        <v>4.8079459306199999</v>
      </c>
      <c r="D18" s="99"/>
    </row>
    <row r="19" spans="1:4">
      <c r="A19" s="139" t="s">
        <v>225</v>
      </c>
      <c r="B19" s="137">
        <f>'Weekly Valuation'!D187/1000000000</f>
        <v>51.625845610938029</v>
      </c>
      <c r="C19" s="138">
        <f>'Weekly Valuation'!K187/1000000000</f>
        <v>51.539113968287907</v>
      </c>
      <c r="D19" s="99"/>
    </row>
    <row r="20" spans="1:4" ht="16.5">
      <c r="A20" s="142"/>
      <c r="B20" s="99"/>
      <c r="C20" s="143"/>
      <c r="D20" s="99"/>
    </row>
    <row r="21" spans="1:4" ht="16.5">
      <c r="A21" s="142"/>
      <c r="B21" s="99"/>
      <c r="C21" s="144"/>
      <c r="D21" s="99"/>
    </row>
    <row r="22" spans="1:4" ht="16.5">
      <c r="A22" s="115"/>
      <c r="B22" s="106"/>
      <c r="C22" s="124"/>
      <c r="D22" s="101"/>
    </row>
    <row r="23" spans="1:4" ht="16.5">
      <c r="A23" s="115"/>
      <c r="B23" s="106"/>
      <c r="C23" s="106"/>
      <c r="D23" s="99"/>
    </row>
    <row r="24" spans="1:4" ht="16.5">
      <c r="A24" s="115"/>
      <c r="B24" s="106"/>
      <c r="C24" s="106"/>
      <c r="D24" s="99"/>
    </row>
    <row r="25" spans="1:4" ht="16.5">
      <c r="A25" s="115"/>
      <c r="B25" s="106"/>
      <c r="C25" s="106"/>
      <c r="D25" s="99"/>
    </row>
    <row r="26" spans="1:4" ht="16.5">
      <c r="A26" s="115"/>
      <c r="B26" s="106"/>
      <c r="C26" s="106"/>
    </row>
    <row r="27" spans="1:4">
      <c r="B27" s="101"/>
      <c r="C27" s="101"/>
    </row>
    <row r="28" spans="1:4">
      <c r="B28" s="101"/>
      <c r="C28" s="101"/>
    </row>
  </sheetData>
  <sheetProtection algorithmName="SHA-512" hashValue="+9OcBQdaMkEdjq3p6KyT6Xd9DqBVf4N0rv/+MtDCPECVp05aY+gQHsoKU9Jh5saaKymRXItzrGYgu5f4ud+gyQ==" saltValue="bVIRb20JDlRqpjsQLWpqzw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Q33"/>
  <sheetViews>
    <sheetView zoomScale="85" zoomScaleNormal="85" workbookViewId="0">
      <selection activeCell="C3" sqref="C3"/>
    </sheetView>
  </sheetViews>
  <sheetFormatPr defaultRowHeight="15"/>
  <cols>
    <col min="1" max="1" width="26.7109375" customWidth="1"/>
    <col min="2" max="2" width="17.42578125" customWidth="1"/>
  </cols>
  <sheetData>
    <row r="1" spans="1:4" ht="16.5">
      <c r="A1" s="129" t="s">
        <v>222</v>
      </c>
      <c r="B1" s="145">
        <v>45415</v>
      </c>
      <c r="C1" s="99"/>
      <c r="D1" s="99"/>
    </row>
    <row r="2" spans="1:4" ht="16.5">
      <c r="A2" s="133" t="s">
        <v>178</v>
      </c>
      <c r="B2" s="132">
        <f>'Weekly Valuation'!K168</f>
        <v>4807945930.6199999</v>
      </c>
      <c r="C2" s="99"/>
      <c r="D2" s="99"/>
    </row>
    <row r="3" spans="1:4" ht="16.5">
      <c r="A3" s="133" t="s">
        <v>15</v>
      </c>
      <c r="B3" s="132">
        <f>'Weekly Valuation'!K23</f>
        <v>27319052490.226498</v>
      </c>
      <c r="C3" s="99"/>
      <c r="D3" s="99"/>
    </row>
    <row r="4" spans="1:4" ht="16.5">
      <c r="A4" s="133" t="s">
        <v>154</v>
      </c>
      <c r="B4" s="135">
        <f>'Weekly Valuation'!K162</f>
        <v>48298812075.103348</v>
      </c>
      <c r="C4" s="99"/>
      <c r="D4" s="99"/>
    </row>
    <row r="5" spans="1:4" ht="16.5">
      <c r="A5" s="133" t="s">
        <v>225</v>
      </c>
      <c r="B5" s="132">
        <f>'Weekly Valuation'!K187</f>
        <v>51539113968.28791</v>
      </c>
      <c r="C5" s="99"/>
      <c r="D5" s="99"/>
    </row>
    <row r="6" spans="1:4" ht="16.5">
      <c r="A6" s="133" t="s">
        <v>224</v>
      </c>
      <c r="B6" s="132">
        <f>'Weekly Valuation'!K133</f>
        <v>99185326803.116425</v>
      </c>
      <c r="C6" s="99"/>
      <c r="D6" s="99"/>
    </row>
    <row r="7" spans="1:4" ht="16.5">
      <c r="A7" s="133" t="s">
        <v>223</v>
      </c>
      <c r="B7" s="132">
        <f>'Weekly Valuation'!K94</f>
        <v>257291528161.24875</v>
      </c>
      <c r="C7" s="99"/>
      <c r="D7" s="99"/>
    </row>
    <row r="8" spans="1:4" ht="16.5">
      <c r="A8" s="133" t="s">
        <v>47</v>
      </c>
      <c r="B8" s="134">
        <f>'Weekly Valuation'!K57</f>
        <v>943173062252.88904</v>
      </c>
      <c r="C8" s="99"/>
      <c r="D8" s="99"/>
    </row>
    <row r="9" spans="1:4" ht="16.5">
      <c r="A9" s="133" t="s">
        <v>128</v>
      </c>
      <c r="B9" s="134">
        <f>'Weekly Valuation'!K125</f>
        <v>1300480857237.7634</v>
      </c>
      <c r="C9" s="99"/>
      <c r="D9" s="99"/>
    </row>
    <row r="10" spans="1:4">
      <c r="A10" s="99"/>
      <c r="B10" s="99"/>
      <c r="C10" s="99"/>
      <c r="D10" s="99"/>
    </row>
    <row r="11" spans="1:4" ht="16.5">
      <c r="A11" s="146"/>
      <c r="B11" s="99"/>
      <c r="C11" s="99"/>
      <c r="D11" s="99"/>
    </row>
    <row r="12" spans="1:4" ht="16.5">
      <c r="A12" s="144"/>
      <c r="B12" s="99"/>
      <c r="C12" s="99"/>
      <c r="D12" s="99"/>
    </row>
    <row r="13" spans="1:4" ht="16.5">
      <c r="A13" s="106"/>
      <c r="B13" s="106"/>
      <c r="C13" s="101"/>
      <c r="D13" s="101"/>
    </row>
    <row r="14" spans="1:4" ht="16.5">
      <c r="A14" s="106"/>
      <c r="B14" s="106"/>
      <c r="C14" s="101"/>
      <c r="D14" s="101"/>
    </row>
    <row r="15" spans="1:4" ht="16.5" customHeight="1">
      <c r="A15" s="124"/>
      <c r="B15" s="124"/>
      <c r="C15" s="101"/>
    </row>
    <row r="16" spans="1:4" ht="16.5">
      <c r="A16" s="106"/>
      <c r="B16" s="106"/>
      <c r="C16" s="101"/>
    </row>
    <row r="17" spans="1:17" ht="16.5">
      <c r="A17" s="106"/>
      <c r="B17" s="106"/>
      <c r="C17" s="101"/>
    </row>
    <row r="18" spans="1:17" ht="16.5">
      <c r="A18" s="118"/>
      <c r="B18" s="106"/>
      <c r="C18" s="101"/>
    </row>
    <row r="19" spans="1:17" ht="16.5">
      <c r="A19" s="118"/>
      <c r="B19" s="118"/>
      <c r="C19" s="101"/>
    </row>
    <row r="20" spans="1:17" ht="16.5">
      <c r="A20" s="118"/>
      <c r="B20" s="118"/>
      <c r="C20" s="101"/>
    </row>
    <row r="21" spans="1:17" ht="16.5">
      <c r="A21" s="115"/>
      <c r="B21" s="118"/>
      <c r="C21" s="101"/>
    </row>
    <row r="22" spans="1:17" ht="16.5">
      <c r="A22" s="101"/>
      <c r="B22" s="118"/>
      <c r="C22" s="101"/>
    </row>
    <row r="23" spans="1:17">
      <c r="A23" s="101"/>
      <c r="B23" s="101"/>
      <c r="C23" s="101"/>
    </row>
    <row r="24" spans="1:17">
      <c r="A24" s="101"/>
      <c r="B24" s="101"/>
      <c r="C24" s="101"/>
    </row>
    <row r="25" spans="1:17">
      <c r="A25" s="101"/>
      <c r="B25" s="101"/>
      <c r="C25" s="101"/>
    </row>
    <row r="26" spans="1:17">
      <c r="A26" s="101"/>
      <c r="B26" s="101"/>
    </row>
    <row r="32" spans="1:17" ht="16.5" customHeight="1">
      <c r="A32" s="171" t="s">
        <v>274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07"/>
    </row>
    <row r="33" spans="1:17" ht="15" customHeight="1">
      <c r="A33" s="171"/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07"/>
    </row>
  </sheetData>
  <sheetProtection algorithmName="SHA-512" hashValue="WDkcG8OJsMpZ2lDNN4tpF8wmyLOwQ/zZXQMHdvf02QxiQKmKushVfVYmjOzMS4JRykt1TSgX9sjwNhmTEgkeaQ==" saltValue="MOounmMRPUKNT4zuhz2Tfg==" spinCount="100000" sheet="1" objects="1" scenarios="1"/>
  <sortState xmlns:xlrd2="http://schemas.microsoft.com/office/spreadsheetml/2017/richdata2"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M7"/>
  <sheetViews>
    <sheetView zoomScale="110" zoomScaleNormal="110" workbookViewId="0">
      <selection activeCell="G3" sqref="G3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101"/>
      <c r="M1" s="101"/>
    </row>
    <row r="2" spans="1:13">
      <c r="A2" s="147" t="s">
        <v>233</v>
      </c>
      <c r="B2" s="148">
        <v>45366</v>
      </c>
      <c r="C2" s="148">
        <v>45373</v>
      </c>
      <c r="D2" s="148">
        <v>45379</v>
      </c>
      <c r="E2" s="148">
        <v>45387</v>
      </c>
      <c r="F2" s="148">
        <v>45394</v>
      </c>
      <c r="G2" s="148">
        <v>45401</v>
      </c>
      <c r="H2" s="148">
        <v>45408</v>
      </c>
      <c r="I2" s="148">
        <v>45415</v>
      </c>
      <c r="J2" s="99"/>
      <c r="K2" s="99"/>
      <c r="L2" s="101"/>
      <c r="M2" s="101"/>
    </row>
    <row r="3" spans="1:13">
      <c r="A3" s="147" t="s">
        <v>234</v>
      </c>
      <c r="B3" s="149">
        <f t="shared" ref="B3:I3" si="0">B4</f>
        <v>2600.1201124317486</v>
      </c>
      <c r="C3" s="149">
        <f t="shared" si="0"/>
        <v>2726.590314934399</v>
      </c>
      <c r="D3" s="149">
        <f t="shared" si="0"/>
        <v>2644.8482103597744</v>
      </c>
      <c r="E3" s="149">
        <f t="shared" si="0"/>
        <v>2589.6638814860466</v>
      </c>
      <c r="F3" s="149">
        <f t="shared" si="0"/>
        <v>2515.3217074592571</v>
      </c>
      <c r="G3" s="149">
        <f t="shared" si="0"/>
        <v>2510.7979153396032</v>
      </c>
      <c r="H3" s="149">
        <f t="shared" si="0"/>
        <v>2662.1939749035823</v>
      </c>
      <c r="I3" s="149">
        <f t="shared" si="0"/>
        <v>2732.0956989192559</v>
      </c>
      <c r="J3" s="99"/>
      <c r="K3" s="99"/>
      <c r="L3" s="101"/>
      <c r="M3" s="101"/>
    </row>
    <row r="4" spans="1:13">
      <c r="A4" s="99"/>
      <c r="B4" s="150">
        <f>'NAV Trend'!C10/1000000000</f>
        <v>2600.1201124317486</v>
      </c>
      <c r="C4" s="150">
        <f>'NAV Trend'!D10/1000000000</f>
        <v>2726.590314934399</v>
      </c>
      <c r="D4" s="150">
        <f>'NAV Trend'!E10/1000000000</f>
        <v>2644.8482103597744</v>
      </c>
      <c r="E4" s="150">
        <f>'NAV Trend'!F10/1000000000</f>
        <v>2589.6638814860466</v>
      </c>
      <c r="F4" s="150">
        <f>'NAV Trend'!G10/1000000000</f>
        <v>2515.3217074592571</v>
      </c>
      <c r="G4" s="150">
        <f>'NAV Trend'!H10/1000000000</f>
        <v>2510.7979153396032</v>
      </c>
      <c r="H4" s="151">
        <f>'NAV Trend'!I10/1000000000</f>
        <v>2662.1939749035823</v>
      </c>
      <c r="I4" s="151">
        <f>'NAV Trend'!J10/1000000000</f>
        <v>2732.0956989192559</v>
      </c>
      <c r="J4" s="99"/>
      <c r="K4" s="99"/>
      <c r="L4" s="101"/>
      <c r="M4" s="101"/>
    </row>
    <row r="5" spans="1:13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</row>
    <row r="6" spans="1:1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3">
      <c r="A7" s="101"/>
      <c r="B7" s="101"/>
      <c r="C7" s="101"/>
      <c r="D7" s="101"/>
      <c r="E7" s="101"/>
      <c r="F7" s="101"/>
      <c r="G7" s="101"/>
      <c r="H7" s="101"/>
      <c r="I7" s="101"/>
      <c r="J7" s="101"/>
    </row>
  </sheetData>
  <sheetProtection algorithmName="SHA-512" hashValue="e7f4BoYzonOmv4JRwgkRYQ2ns4atq8Rp+hpuLkPsxwWiGVsfCQCvwsvkiQ19+tVjDuPrLknJVTVd5Uoo6I/EsA==" saltValue="1scnRAEgpQaElE306MJOuA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A2AF0-A961-4E58-933E-1EE96F1E7D82}">
  <sheetPr>
    <tabColor rgb="FFFFFF00"/>
  </sheetPr>
  <dimension ref="A1:L6"/>
  <sheetViews>
    <sheetView workbookViewId="0">
      <selection activeCell="H2" sqref="H2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12">
      <c r="A1" s="99"/>
      <c r="B1" s="99"/>
      <c r="C1" s="99"/>
      <c r="D1" s="99"/>
      <c r="E1" s="99"/>
      <c r="F1" s="99"/>
      <c r="G1" s="99"/>
      <c r="H1" s="99"/>
      <c r="I1" s="99"/>
      <c r="J1" s="99"/>
      <c r="K1" s="101"/>
      <c r="L1" s="101"/>
    </row>
    <row r="2" spans="1:12">
      <c r="A2" s="147" t="s">
        <v>233</v>
      </c>
      <c r="B2" s="148">
        <v>45359</v>
      </c>
      <c r="C2" s="148">
        <v>45366</v>
      </c>
      <c r="D2" s="148">
        <v>45373</v>
      </c>
      <c r="E2" s="148">
        <v>45379</v>
      </c>
      <c r="F2" s="148">
        <v>45387</v>
      </c>
      <c r="G2" s="148">
        <v>45394</v>
      </c>
      <c r="H2" s="148">
        <v>45401</v>
      </c>
      <c r="I2" s="148">
        <v>45408</v>
      </c>
      <c r="J2" s="99"/>
      <c r="K2" s="101"/>
      <c r="L2" s="101"/>
    </row>
    <row r="3" spans="1:12">
      <c r="A3" s="147" t="s">
        <v>265</v>
      </c>
      <c r="B3" s="149">
        <f t="shared" ref="B3:I3" si="0">B4</f>
        <v>13.749994436969999</v>
      </c>
      <c r="C3" s="149">
        <f t="shared" si="0"/>
        <v>13.611683369310001</v>
      </c>
      <c r="D3" s="149">
        <f t="shared" si="0"/>
        <v>13.637941626835818</v>
      </c>
      <c r="E3" s="149">
        <f t="shared" si="0"/>
        <v>13.392488443196084</v>
      </c>
      <c r="F3" s="149">
        <f t="shared" si="0"/>
        <v>13.204581677229028</v>
      </c>
      <c r="G3" s="149">
        <f t="shared" si="0"/>
        <v>12.730402807627465</v>
      </c>
      <c r="H3" s="149">
        <f t="shared" si="0"/>
        <v>12.735357486958618</v>
      </c>
      <c r="I3" s="149">
        <f t="shared" si="0"/>
        <v>13.067918239830002</v>
      </c>
      <c r="J3" s="99"/>
      <c r="K3" s="101"/>
      <c r="L3" s="101"/>
    </row>
    <row r="4" spans="1:12">
      <c r="A4" s="99"/>
      <c r="B4" s="150">
        <f>'NAV Trend'!C16/1000000000</f>
        <v>13.749994436969999</v>
      </c>
      <c r="C4" s="150">
        <f>'NAV Trend'!D16/1000000000</f>
        <v>13.611683369310001</v>
      </c>
      <c r="D4" s="150">
        <f>'NAV Trend'!E16/1000000000</f>
        <v>13.637941626835818</v>
      </c>
      <c r="E4" s="150">
        <f>'NAV Trend'!F16/1000000000</f>
        <v>13.392488443196084</v>
      </c>
      <c r="F4" s="150">
        <f>'NAV Trend'!G16/1000000000</f>
        <v>13.204581677229028</v>
      </c>
      <c r="G4" s="150">
        <f>'NAV Trend'!H16/1000000000</f>
        <v>12.730402807627465</v>
      </c>
      <c r="H4" s="150">
        <f>'NAV Trend'!I16/1000000000</f>
        <v>12.735357486958618</v>
      </c>
      <c r="I4" s="151">
        <f>'NAV Trend'!J16/1000000000</f>
        <v>13.067918239830002</v>
      </c>
      <c r="J4" s="99"/>
      <c r="K4" s="101"/>
      <c r="L4" s="101"/>
    </row>
    <row r="5" spans="1:12">
      <c r="A5" s="99"/>
      <c r="B5" s="99"/>
      <c r="C5" s="99"/>
      <c r="D5" s="99"/>
      <c r="E5" s="99"/>
      <c r="F5" s="99"/>
      <c r="G5" s="99"/>
      <c r="H5" s="99"/>
      <c r="I5" s="99"/>
      <c r="J5" s="99"/>
      <c r="K5" s="101"/>
      <c r="L5" s="101"/>
    </row>
    <row r="6" spans="1:12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</sheetData>
  <sheetProtection algorithmName="SHA-512" hashValue="r2Wc53TD9Jdj1MemDdPLKt3pr35M+2EfLtgWwFudhe3w2vtN5oneACdzbiaiun+rploJhM17qMr25skV5CK6Mw==" saltValue="jTyePcdMZDCANMket5I6eA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topLeftCell="E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4" t="s">
        <v>222</v>
      </c>
      <c r="B1" s="45">
        <v>45359</v>
      </c>
      <c r="C1" s="45">
        <v>45366</v>
      </c>
      <c r="D1" s="45">
        <v>45373</v>
      </c>
      <c r="E1" s="45">
        <v>45379</v>
      </c>
      <c r="F1" s="45">
        <v>45387</v>
      </c>
      <c r="G1" s="45">
        <v>45394</v>
      </c>
      <c r="H1" s="45">
        <v>45401</v>
      </c>
      <c r="I1" s="45">
        <v>45408</v>
      </c>
      <c r="J1" s="45">
        <v>45415</v>
      </c>
    </row>
    <row r="2" spans="1:11" ht="16.5">
      <c r="A2" s="46" t="s">
        <v>15</v>
      </c>
      <c r="B2" s="47">
        <v>27049856478.8204</v>
      </c>
      <c r="C2" s="47">
        <v>28276421739.200005</v>
      </c>
      <c r="D2" s="47">
        <v>28214914152.029099</v>
      </c>
      <c r="E2" s="47">
        <v>28499552255.214199</v>
      </c>
      <c r="F2" s="47">
        <v>27852455758.705902</v>
      </c>
      <c r="G2" s="47">
        <v>27759764748.77</v>
      </c>
      <c r="H2" s="47">
        <v>26572100101.452099</v>
      </c>
      <c r="I2" s="47">
        <v>26264049012.868401</v>
      </c>
      <c r="J2" s="47">
        <v>27319052490.226498</v>
      </c>
    </row>
    <row r="3" spans="1:11" ht="16.5">
      <c r="A3" s="46" t="s">
        <v>47</v>
      </c>
      <c r="B3" s="48">
        <v>920625552385.95117</v>
      </c>
      <c r="C3" s="48">
        <v>923190562024.35754</v>
      </c>
      <c r="D3" s="48">
        <v>920023842595.84558</v>
      </c>
      <c r="E3" s="48">
        <v>919496006574.40955</v>
      </c>
      <c r="F3" s="48">
        <v>932135468254.62366</v>
      </c>
      <c r="G3" s="128">
        <v>934334906874.48413</v>
      </c>
      <c r="H3" s="128">
        <v>933193021103.14502</v>
      </c>
      <c r="I3" s="128">
        <v>929998159930.67285</v>
      </c>
      <c r="J3" s="128">
        <v>943173062252.88904</v>
      </c>
    </row>
    <row r="4" spans="1:11" ht="16.5">
      <c r="A4" s="46" t="s">
        <v>223</v>
      </c>
      <c r="B4" s="47">
        <v>279125520198.89612</v>
      </c>
      <c r="C4" s="47">
        <v>278795170732.32147</v>
      </c>
      <c r="D4" s="47">
        <v>270220925639.65829</v>
      </c>
      <c r="E4" s="47">
        <v>271658696513.58481</v>
      </c>
      <c r="F4" s="47">
        <v>269472046413.53357</v>
      </c>
      <c r="G4" s="127">
        <v>268371629137.21021</v>
      </c>
      <c r="H4" s="127">
        <v>263752465697.42932</v>
      </c>
      <c r="I4" s="127">
        <v>259455612091.81857</v>
      </c>
      <c r="J4" s="127">
        <v>257291528161.24875</v>
      </c>
    </row>
    <row r="5" spans="1:11" ht="16.5">
      <c r="A5" s="46" t="s">
        <v>128</v>
      </c>
      <c r="B5" s="48">
        <v>1459704501021.9133</v>
      </c>
      <c r="C5" s="48">
        <v>1165595130957.3054</v>
      </c>
      <c r="D5" s="48">
        <v>1304383952109.4192</v>
      </c>
      <c r="E5" s="48">
        <v>1220986424851.5159</v>
      </c>
      <c r="F5" s="48">
        <v>1156417308460.8564</v>
      </c>
      <c r="G5" s="128">
        <v>1082391359671.3127</v>
      </c>
      <c r="H5" s="128">
        <v>1084163633164.5548</v>
      </c>
      <c r="I5" s="128">
        <v>1242707828226.4185</v>
      </c>
      <c r="J5" s="128">
        <v>1300480857237.7634</v>
      </c>
    </row>
    <row r="6" spans="1:11" ht="16.5">
      <c r="A6" s="46" t="s">
        <v>224</v>
      </c>
      <c r="B6" s="47">
        <v>99778864135.110001</v>
      </c>
      <c r="C6" s="47">
        <v>99792663694.00943</v>
      </c>
      <c r="D6" s="47">
        <v>99828191215.146545</v>
      </c>
      <c r="E6" s="47">
        <v>99892436477.227188</v>
      </c>
      <c r="F6" s="47">
        <v>99837132151.759857</v>
      </c>
      <c r="G6" s="47">
        <v>99870092317.262451</v>
      </c>
      <c r="H6" s="47">
        <v>99918187898.83699</v>
      </c>
      <c r="I6" s="47">
        <v>100037877390.68518</v>
      </c>
      <c r="J6" s="47">
        <v>99185326803.116425</v>
      </c>
    </row>
    <row r="7" spans="1:11" ht="16.5">
      <c r="A7" s="46" t="s">
        <v>154</v>
      </c>
      <c r="B7" s="49">
        <v>48553395375.67646</v>
      </c>
      <c r="C7" s="49">
        <v>50020197377.86998</v>
      </c>
      <c r="D7" s="49">
        <v>49695302922.37442</v>
      </c>
      <c r="E7" s="49">
        <v>49905453494.100525</v>
      </c>
      <c r="F7" s="49">
        <v>49320093297.825478</v>
      </c>
      <c r="G7" s="49">
        <v>48079052440.593132</v>
      </c>
      <c r="H7" s="49">
        <v>47213858445.276672</v>
      </c>
      <c r="I7" s="49">
        <v>47381646798.600899</v>
      </c>
      <c r="J7" s="49">
        <v>48298812075.103348</v>
      </c>
    </row>
    <row r="8" spans="1:11" ht="16.5">
      <c r="A8" s="46" t="s">
        <v>178</v>
      </c>
      <c r="B8" s="47">
        <v>5090348734.1000004</v>
      </c>
      <c r="C8" s="47">
        <v>5200581697.7199993</v>
      </c>
      <c r="D8" s="47">
        <v>5194175729.4800005</v>
      </c>
      <c r="E8" s="47">
        <v>5216241473.6000004</v>
      </c>
      <c r="F8" s="47">
        <v>5149295610.3599997</v>
      </c>
      <c r="G8" s="47">
        <v>5005243623.0900002</v>
      </c>
      <c r="H8" s="47">
        <v>4752808696.8699999</v>
      </c>
      <c r="I8" s="47">
        <v>4722955841.5799999</v>
      </c>
      <c r="J8" s="47">
        <v>4807945930.6199999</v>
      </c>
    </row>
    <row r="9" spans="1:11" ht="16.5">
      <c r="A9" s="46" t="s">
        <v>225</v>
      </c>
      <c r="B9" s="47">
        <v>49747304277.79908</v>
      </c>
      <c r="C9" s="47">
        <v>49249384208.9645</v>
      </c>
      <c r="D9" s="47">
        <v>49029010570.445801</v>
      </c>
      <c r="E9" s="47">
        <v>49193398720.121994</v>
      </c>
      <c r="F9" s="47">
        <v>49480081538.382065</v>
      </c>
      <c r="G9" s="47">
        <v>49509658646.534012</v>
      </c>
      <c r="H9" s="47">
        <v>51231840232.037872</v>
      </c>
      <c r="I9" s="47">
        <v>51625845610.938026</v>
      </c>
      <c r="J9" s="47">
        <v>51539113968.28791</v>
      </c>
    </row>
    <row r="10" spans="1:11" ht="15.75">
      <c r="A10" s="50" t="s">
        <v>226</v>
      </c>
      <c r="B10" s="51">
        <f t="shared" ref="B10:I10" si="0">SUM(B2:B9)</f>
        <v>2889675342608.2666</v>
      </c>
      <c r="C10" s="51">
        <f t="shared" si="0"/>
        <v>2600120112431.7485</v>
      </c>
      <c r="D10" s="51">
        <f t="shared" si="0"/>
        <v>2726590314934.3989</v>
      </c>
      <c r="E10" s="51">
        <f t="shared" si="0"/>
        <v>2644848210359.7744</v>
      </c>
      <c r="F10" s="51">
        <f t="shared" si="0"/>
        <v>2589663881486.0469</v>
      </c>
      <c r="G10" s="51">
        <f t="shared" si="0"/>
        <v>2515321707459.2573</v>
      </c>
      <c r="H10" s="51">
        <f t="shared" si="0"/>
        <v>2510797915339.603</v>
      </c>
      <c r="I10" s="51">
        <f t="shared" si="0"/>
        <v>2662193974903.5825</v>
      </c>
      <c r="J10" s="51">
        <f t="shared" ref="J10" si="1">SUM(J2:J9)</f>
        <v>2732095698919.2559</v>
      </c>
    </row>
    <row r="11" spans="1:11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1" ht="15.75">
      <c r="A12" s="54" t="s">
        <v>227</v>
      </c>
      <c r="B12" s="55" t="s">
        <v>228</v>
      </c>
      <c r="C12" s="56">
        <f>(B10+C10)/2</f>
        <v>2744897727520.0078</v>
      </c>
      <c r="D12" s="57">
        <f t="shared" ref="D12:J12" si="2">(C10+D10)/2</f>
        <v>2663355213683.0737</v>
      </c>
      <c r="E12" s="57">
        <f t="shared" si="2"/>
        <v>2685719262647.0869</v>
      </c>
      <c r="F12" s="57">
        <f t="shared" si="2"/>
        <v>2617256045922.9106</v>
      </c>
      <c r="G12" s="57">
        <f>(F10+G10)/2</f>
        <v>2552492794472.6523</v>
      </c>
      <c r="H12" s="57">
        <f t="shared" si="2"/>
        <v>2513059811399.4302</v>
      </c>
      <c r="I12" s="57">
        <f t="shared" si="2"/>
        <v>2586495945121.5928</v>
      </c>
      <c r="J12" s="57">
        <f t="shared" si="2"/>
        <v>2697144836911.4189</v>
      </c>
    </row>
    <row r="13" spans="1:11"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1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11" ht="16.5">
      <c r="A15" s="101"/>
      <c r="B15" s="45">
        <v>45359</v>
      </c>
      <c r="C15" s="45">
        <v>45366</v>
      </c>
      <c r="D15" s="45">
        <v>45373</v>
      </c>
      <c r="E15" s="45">
        <v>45379</v>
      </c>
      <c r="F15" s="45">
        <v>45387</v>
      </c>
      <c r="G15" s="45">
        <v>45394</v>
      </c>
      <c r="H15" s="45">
        <v>45401</v>
      </c>
      <c r="I15" s="45">
        <v>45408</v>
      </c>
      <c r="J15" s="45">
        <v>45415</v>
      </c>
      <c r="K15" s="101"/>
    </row>
    <row r="16" spans="1:11" ht="16.5">
      <c r="A16" s="123" t="s">
        <v>264</v>
      </c>
      <c r="B16" s="126">
        <v>13605279817.829861</v>
      </c>
      <c r="C16" s="126">
        <v>13749994436.969999</v>
      </c>
      <c r="D16" s="126">
        <v>13611683369.310001</v>
      </c>
      <c r="E16" s="126">
        <v>13637941626.835819</v>
      </c>
      <c r="F16" s="126">
        <v>13392488443.196085</v>
      </c>
      <c r="G16" s="126">
        <v>13204581677.229027</v>
      </c>
      <c r="H16" s="126">
        <v>12730402807.627464</v>
      </c>
      <c r="I16" s="126">
        <v>12735357486.958618</v>
      </c>
      <c r="J16" s="126">
        <v>13067918239.830002</v>
      </c>
      <c r="K16" s="101"/>
    </row>
    <row r="17" spans="1:11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</row>
    <row r="18" spans="1:11">
      <c r="A18" s="101"/>
      <c r="B18" s="101"/>
      <c r="C18" s="125"/>
      <c r="D18" s="125"/>
      <c r="E18" s="125"/>
      <c r="F18" s="125"/>
      <c r="G18" s="125"/>
      <c r="H18" s="125"/>
      <c r="I18" s="125"/>
      <c r="J18" s="125"/>
      <c r="K18" s="101"/>
    </row>
    <row r="19" spans="1:11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</row>
    <row r="20" spans="1:11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</row>
    <row r="21" spans="1:11">
      <c r="B21" s="101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1:11">
      <c r="B22" s="101"/>
      <c r="C22" s="101"/>
      <c r="D22" s="101"/>
      <c r="E22" s="101"/>
      <c r="F22" s="101"/>
      <c r="G22" s="101"/>
      <c r="H22" s="101"/>
      <c r="I22" s="101"/>
      <c r="J22" s="101"/>
      <c r="K22" s="99"/>
    </row>
  </sheetData>
  <sheetProtection algorithmName="SHA-512" hashValue="mut/eEAxh6WDvtXK30dNbdfw4Gv6K+ISGedDV9RiwcOc7p3VlEkNY8LUVF1iGAnMbaUmrxkZO5quTeP2kS5H2Q==" saltValue="Yg4QBsXBEtTt9R9lZQWxoQ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2023-10-09T09:40:10Z</dcterms:created>
  <dcterms:modified xsi:type="dcterms:W3CDTF">2024-05-10T09:55:24Z</dcterms:modified>
</cp:coreProperties>
</file>