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8B1E5A1A-381D-4B06-821B-647D5DB870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5" i="1" l="1"/>
  <c r="I10" i="4"/>
  <c r="H10" i="4"/>
  <c r="G10" i="4"/>
  <c r="F10" i="4"/>
  <c r="E10" i="4"/>
  <c r="D10" i="4"/>
  <c r="C10" i="4"/>
  <c r="B10" i="4"/>
  <c r="N106" i="1"/>
  <c r="M106" i="1"/>
  <c r="K106" i="1"/>
  <c r="N100" i="1"/>
  <c r="M100" i="1"/>
  <c r="K100" i="1"/>
  <c r="N119" i="1"/>
  <c r="M119" i="1"/>
  <c r="N124" i="1"/>
  <c r="M124" i="1"/>
  <c r="K124" i="1"/>
  <c r="N117" i="1" l="1"/>
  <c r="M117" i="1"/>
  <c r="N108" i="1" l="1"/>
  <c r="M108" i="1"/>
  <c r="K108" i="1"/>
  <c r="N101" i="1"/>
  <c r="M101" i="1"/>
  <c r="K101" i="1"/>
  <c r="N123" i="1"/>
  <c r="M123" i="1"/>
  <c r="M107" i="1" l="1"/>
  <c r="K107" i="1"/>
  <c r="N114" i="1"/>
  <c r="M114" i="1"/>
  <c r="K114" i="1"/>
  <c r="N118" i="1"/>
  <c r="M118" i="1"/>
  <c r="K118" i="1"/>
  <c r="N98" i="1"/>
  <c r="M98" i="1"/>
  <c r="N109" i="1"/>
  <c r="M109" i="1"/>
  <c r="K109" i="1"/>
  <c r="N99" i="1"/>
  <c r="M99" i="1"/>
  <c r="K99" i="1"/>
  <c r="N120" i="1"/>
  <c r="M120" i="1"/>
  <c r="N102" i="1"/>
  <c r="M102" i="1"/>
  <c r="K102" i="1"/>
  <c r="G124" i="1"/>
  <c r="F124" i="1"/>
  <c r="G123" i="1"/>
  <c r="F123" i="1"/>
  <c r="G120" i="1"/>
  <c r="F120" i="1"/>
  <c r="G119" i="1"/>
  <c r="F119" i="1"/>
  <c r="G118" i="1"/>
  <c r="F118" i="1"/>
  <c r="G117" i="1"/>
  <c r="F117" i="1"/>
  <c r="G114" i="1"/>
  <c r="F114" i="1"/>
  <c r="D124" i="1"/>
  <c r="D118" i="1"/>
  <c r="D114" i="1"/>
  <c r="G109" i="1"/>
  <c r="F109" i="1"/>
  <c r="G108" i="1"/>
  <c r="F108" i="1"/>
  <c r="G107" i="1"/>
  <c r="F107" i="1"/>
  <c r="G106" i="1"/>
  <c r="F106" i="1"/>
  <c r="G102" i="1"/>
  <c r="F102" i="1"/>
  <c r="G101" i="1"/>
  <c r="F101" i="1"/>
  <c r="G100" i="1"/>
  <c r="F100" i="1"/>
  <c r="G99" i="1"/>
  <c r="F99" i="1"/>
  <c r="G98" i="1"/>
  <c r="F98" i="1"/>
  <c r="D109" i="1"/>
  <c r="D108" i="1"/>
  <c r="D107" i="1"/>
  <c r="D106" i="1"/>
  <c r="D102" i="1"/>
  <c r="D101" i="1"/>
  <c r="D100" i="1"/>
  <c r="D99" i="1"/>
  <c r="R10" i="1"/>
  <c r="S10" i="1"/>
  <c r="T10" i="1"/>
  <c r="U10" i="1"/>
  <c r="V10" i="1"/>
  <c r="R100" i="1"/>
  <c r="S100" i="1"/>
  <c r="T100" i="1"/>
  <c r="U100" i="1"/>
  <c r="V100" i="1"/>
  <c r="R150" i="1" l="1"/>
  <c r="S55" i="1" l="1"/>
  <c r="D133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2" i="1" l="1"/>
  <c r="S102" i="1"/>
  <c r="T102" i="1"/>
  <c r="U102" i="1"/>
  <c r="V102" i="1"/>
  <c r="R103" i="1"/>
  <c r="S103" i="1"/>
  <c r="T103" i="1"/>
  <c r="U103" i="1"/>
  <c r="V103" i="1"/>
  <c r="R198" i="1" l="1"/>
  <c r="R199" i="1"/>
  <c r="V123" i="1" l="1"/>
  <c r="U123" i="1"/>
  <c r="T123" i="1"/>
  <c r="R123" i="1"/>
  <c r="R92" i="1"/>
  <c r="S92" i="1"/>
  <c r="T92" i="1"/>
  <c r="U92" i="1"/>
  <c r="V92" i="1"/>
  <c r="R55" i="1"/>
  <c r="V55" i="1"/>
  <c r="U55" i="1"/>
  <c r="T55" i="1"/>
  <c r="R178" i="1"/>
  <c r="S123" i="1" l="1"/>
  <c r="R139" i="1" l="1"/>
  <c r="R118" i="1" l="1"/>
  <c r="S118" i="1"/>
  <c r="T118" i="1"/>
  <c r="U118" i="1"/>
  <c r="V118" i="1"/>
  <c r="R78" i="1"/>
  <c r="S78" i="1"/>
  <c r="T78" i="1"/>
  <c r="U78" i="1"/>
  <c r="V78" i="1"/>
  <c r="V192" i="1" l="1"/>
  <c r="T155" i="1"/>
  <c r="S155" i="1"/>
  <c r="R121" i="1" l="1"/>
  <c r="V151" i="1" l="1"/>
  <c r="T143" i="1" l="1"/>
  <c r="R137" i="1"/>
  <c r="S137" i="1"/>
  <c r="T137" i="1"/>
  <c r="U137" i="1"/>
  <c r="V137" i="1"/>
  <c r="R157" i="1"/>
  <c r="S157" i="1"/>
  <c r="T157" i="1"/>
  <c r="U157" i="1"/>
  <c r="V157" i="1"/>
  <c r="R117" i="1" l="1"/>
  <c r="S117" i="1"/>
  <c r="S179" i="1" l="1"/>
  <c r="V117" i="1"/>
  <c r="U117" i="1"/>
  <c r="T117" i="1"/>
  <c r="R67" i="1" l="1"/>
  <c r="V75" i="1" l="1"/>
  <c r="U75" i="1"/>
  <c r="T75" i="1"/>
  <c r="S75" i="1"/>
  <c r="R75" i="1"/>
  <c r="V81" i="1" l="1"/>
  <c r="U81" i="1"/>
  <c r="T81" i="1"/>
  <c r="S81" i="1"/>
  <c r="R81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0" i="1"/>
  <c r="U180" i="1"/>
  <c r="T180" i="1"/>
  <c r="S180" i="1"/>
  <c r="R180" i="1"/>
  <c r="T33" i="1" l="1"/>
  <c r="S22" i="1" l="1"/>
  <c r="T22" i="1"/>
  <c r="V101" i="1" l="1"/>
  <c r="R101" i="1"/>
  <c r="S101" i="1"/>
  <c r="T101" i="1"/>
  <c r="U101" i="1"/>
  <c r="R13" i="1" l="1"/>
  <c r="R49" i="1" l="1"/>
  <c r="V49" i="1"/>
  <c r="U49" i="1"/>
  <c r="T49" i="1"/>
  <c r="S49" i="1"/>
  <c r="V129" i="1" l="1"/>
  <c r="U129" i="1"/>
  <c r="T129" i="1"/>
  <c r="S129" i="1"/>
  <c r="R129" i="1"/>
  <c r="R72" i="1" l="1"/>
  <c r="V185" i="1" l="1"/>
  <c r="U185" i="1"/>
  <c r="T185" i="1"/>
  <c r="S185" i="1"/>
  <c r="R185" i="1"/>
  <c r="S173" i="1" l="1"/>
  <c r="D168" i="1" l="1"/>
  <c r="B18" i="2" s="1"/>
  <c r="B9" i="2" s="1"/>
  <c r="D125" i="1"/>
  <c r="E100" i="1" s="1"/>
  <c r="E123" i="1" l="1"/>
  <c r="B15" i="2"/>
  <c r="B6" i="2" s="1"/>
  <c r="E114" i="1"/>
  <c r="E118" i="1"/>
  <c r="E102" i="1"/>
  <c r="E117" i="1"/>
  <c r="R91" i="1"/>
  <c r="S91" i="1"/>
  <c r="T91" i="1"/>
  <c r="U91" i="1"/>
  <c r="V91" i="1"/>
  <c r="D208" i="1"/>
  <c r="D187" i="1"/>
  <c r="B19" i="2" s="1"/>
  <c r="B10" i="2" s="1"/>
  <c r="D57" i="1"/>
  <c r="B13" i="2" s="1"/>
  <c r="B4" i="2" s="1"/>
  <c r="E129" i="1" l="1"/>
  <c r="B16" i="2"/>
  <c r="B7" i="2" s="1"/>
  <c r="E177" i="1"/>
  <c r="E178" i="1"/>
  <c r="E179" i="1"/>
  <c r="E180" i="1"/>
  <c r="E181" i="1"/>
  <c r="E182" i="1"/>
  <c r="E183" i="1"/>
  <c r="E184" i="1"/>
  <c r="E185" i="1"/>
  <c r="E186" i="1"/>
  <c r="R166" i="1"/>
  <c r="R83" i="1" l="1"/>
  <c r="S83" i="1"/>
  <c r="T83" i="1"/>
  <c r="V83" i="1"/>
  <c r="U83" i="1"/>
  <c r="D23" i="1" l="1"/>
  <c r="B12" i="2" l="1"/>
  <c r="B3" i="2" s="1"/>
  <c r="E10" i="1"/>
  <c r="R115" i="1"/>
  <c r="R20" i="1" l="1"/>
  <c r="R197" i="1" l="1"/>
  <c r="S197" i="1"/>
  <c r="T197" i="1"/>
  <c r="U197" i="1"/>
  <c r="V197" i="1"/>
  <c r="S198" i="1"/>
  <c r="T198" i="1"/>
  <c r="U198" i="1"/>
  <c r="V198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S208" i="1"/>
  <c r="U208" i="1"/>
  <c r="V208" i="1"/>
  <c r="V196" i="1"/>
  <c r="U196" i="1"/>
  <c r="T196" i="1"/>
  <c r="S196" i="1"/>
  <c r="R196" i="1"/>
  <c r="U192" i="1"/>
  <c r="T192" i="1"/>
  <c r="S192" i="1"/>
  <c r="R192" i="1"/>
  <c r="V191" i="1"/>
  <c r="U191" i="1"/>
  <c r="T191" i="1"/>
  <c r="S191" i="1"/>
  <c r="R191" i="1"/>
  <c r="R177" i="1"/>
  <c r="S177" i="1"/>
  <c r="T177" i="1"/>
  <c r="U177" i="1"/>
  <c r="V177" i="1"/>
  <c r="S178" i="1"/>
  <c r="T178" i="1"/>
  <c r="U178" i="1"/>
  <c r="V178" i="1"/>
  <c r="R179" i="1"/>
  <c r="T179" i="1"/>
  <c r="U179" i="1"/>
  <c r="V179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6" i="1"/>
  <c r="S186" i="1"/>
  <c r="T186" i="1"/>
  <c r="U186" i="1"/>
  <c r="V186" i="1"/>
  <c r="S187" i="1"/>
  <c r="U187" i="1"/>
  <c r="V187" i="1"/>
  <c r="V176" i="1"/>
  <c r="U176" i="1"/>
  <c r="T176" i="1"/>
  <c r="S176" i="1"/>
  <c r="R176" i="1"/>
  <c r="V173" i="1"/>
  <c r="U173" i="1"/>
  <c r="T173" i="1"/>
  <c r="R173" i="1"/>
  <c r="V172" i="1"/>
  <c r="U172" i="1"/>
  <c r="T172" i="1"/>
  <c r="S172" i="1"/>
  <c r="R172" i="1"/>
  <c r="S166" i="1"/>
  <c r="T166" i="1"/>
  <c r="U166" i="1"/>
  <c r="V166" i="1"/>
  <c r="R167" i="1"/>
  <c r="S167" i="1"/>
  <c r="T167" i="1"/>
  <c r="U167" i="1"/>
  <c r="V167" i="1"/>
  <c r="S168" i="1"/>
  <c r="U168" i="1"/>
  <c r="V168" i="1"/>
  <c r="V165" i="1"/>
  <c r="U165" i="1"/>
  <c r="T165" i="1"/>
  <c r="S165" i="1"/>
  <c r="R165" i="1"/>
  <c r="R138" i="1"/>
  <c r="S138" i="1"/>
  <c r="T138" i="1"/>
  <c r="U138" i="1"/>
  <c r="V138" i="1"/>
  <c r="S139" i="1"/>
  <c r="T139" i="1"/>
  <c r="U139" i="1"/>
  <c r="V139" i="1"/>
  <c r="R140" i="1"/>
  <c r="S140" i="1"/>
  <c r="T140" i="1"/>
  <c r="U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S150" i="1"/>
  <c r="T150" i="1"/>
  <c r="U150" i="1"/>
  <c r="V150" i="1"/>
  <c r="R151" i="1"/>
  <c r="S151" i="1"/>
  <c r="T151" i="1"/>
  <c r="U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U155" i="1"/>
  <c r="V155" i="1"/>
  <c r="R156" i="1"/>
  <c r="S156" i="1"/>
  <c r="T156" i="1"/>
  <c r="U156" i="1"/>
  <c r="V156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S162" i="1"/>
  <c r="U162" i="1"/>
  <c r="V162" i="1"/>
  <c r="V136" i="1"/>
  <c r="U136" i="1"/>
  <c r="T136" i="1"/>
  <c r="S136" i="1"/>
  <c r="R136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S133" i="1"/>
  <c r="U133" i="1"/>
  <c r="V133" i="1"/>
  <c r="V128" i="1"/>
  <c r="U128" i="1"/>
  <c r="T128" i="1"/>
  <c r="S128" i="1"/>
  <c r="R128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9" i="1"/>
  <c r="S119" i="1"/>
  <c r="T119" i="1"/>
  <c r="U119" i="1"/>
  <c r="V119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4" i="1"/>
  <c r="S124" i="1"/>
  <c r="T124" i="1"/>
  <c r="U124" i="1"/>
  <c r="V124" i="1"/>
  <c r="S125" i="1"/>
  <c r="U125" i="1"/>
  <c r="V125" i="1"/>
  <c r="V113" i="1"/>
  <c r="U113" i="1"/>
  <c r="T113" i="1"/>
  <c r="S113" i="1"/>
  <c r="R113" i="1"/>
  <c r="R99" i="1"/>
  <c r="S99" i="1"/>
  <c r="T99" i="1"/>
  <c r="U99" i="1"/>
  <c r="V99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V98" i="1"/>
  <c r="U98" i="1"/>
  <c r="T98" i="1"/>
  <c r="S98" i="1"/>
  <c r="R98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R65" i="1"/>
  <c r="S65" i="1"/>
  <c r="T65" i="1"/>
  <c r="U65" i="1"/>
  <c r="R66" i="1"/>
  <c r="S66" i="1"/>
  <c r="T66" i="1"/>
  <c r="U66" i="1"/>
  <c r="V66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3" i="1"/>
  <c r="S93" i="1"/>
  <c r="T93" i="1"/>
  <c r="U93" i="1"/>
  <c r="V93" i="1"/>
  <c r="S94" i="1"/>
  <c r="U94" i="1"/>
  <c r="V94" i="1"/>
  <c r="V60" i="1"/>
  <c r="U60" i="1"/>
  <c r="T60" i="1"/>
  <c r="S60" i="1"/>
  <c r="R60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6" i="1"/>
  <c r="S56" i="1"/>
  <c r="T56" i="1"/>
  <c r="U56" i="1"/>
  <c r="V56" i="1"/>
  <c r="S57" i="1"/>
  <c r="U57" i="1"/>
  <c r="V57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5" i="1" l="1"/>
  <c r="V140" i="1"/>
  <c r="O187" i="1" l="1"/>
  <c r="O208" i="1"/>
  <c r="K208" i="1"/>
  <c r="H208" i="1"/>
  <c r="K193" i="1"/>
  <c r="H193" i="1"/>
  <c r="D193" i="1"/>
  <c r="H187" i="1"/>
  <c r="K187" i="1"/>
  <c r="B5" i="3" s="1"/>
  <c r="H168" i="1"/>
  <c r="O168" i="1"/>
  <c r="K168" i="1"/>
  <c r="O162" i="1"/>
  <c r="K162" i="1"/>
  <c r="H162" i="1"/>
  <c r="D162" i="1"/>
  <c r="B17" i="2" s="1"/>
  <c r="B8" i="2" s="1"/>
  <c r="O133" i="1"/>
  <c r="K133" i="1"/>
  <c r="H133" i="1"/>
  <c r="T133" i="1" s="1"/>
  <c r="H125" i="1"/>
  <c r="K125" i="1"/>
  <c r="O94" i="1"/>
  <c r="K94" i="1"/>
  <c r="H94" i="1"/>
  <c r="D94" i="1"/>
  <c r="O57" i="1"/>
  <c r="K57" i="1"/>
  <c r="H57" i="1"/>
  <c r="O23" i="1"/>
  <c r="H23" i="1"/>
  <c r="C17" i="2" l="1"/>
  <c r="C8" i="2" s="1"/>
  <c r="B4" i="3"/>
  <c r="C15" i="2"/>
  <c r="C6" i="2" s="1"/>
  <c r="L100" i="1"/>
  <c r="L129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2" i="1"/>
  <c r="B14" i="2"/>
  <c r="B5" i="2" s="1"/>
  <c r="L157" i="1"/>
  <c r="L123" i="1"/>
  <c r="B9" i="3"/>
  <c r="L78" i="1"/>
  <c r="L92" i="1"/>
  <c r="E55" i="1"/>
  <c r="L55" i="1"/>
  <c r="L177" i="1"/>
  <c r="L178" i="1"/>
  <c r="L179" i="1"/>
  <c r="L180" i="1"/>
  <c r="L181" i="1"/>
  <c r="L182" i="1"/>
  <c r="L183" i="1"/>
  <c r="L184" i="1"/>
  <c r="L185" i="1"/>
  <c r="L186" i="1"/>
  <c r="L117" i="1"/>
  <c r="L118" i="1"/>
  <c r="E75" i="1"/>
  <c r="E78" i="1"/>
  <c r="E156" i="1"/>
  <c r="E157" i="1"/>
  <c r="L85" i="1"/>
  <c r="L93" i="1"/>
  <c r="L75" i="1"/>
  <c r="L137" i="1"/>
  <c r="E137" i="1"/>
  <c r="L102" i="1"/>
  <c r="L115" i="1"/>
  <c r="L176" i="1"/>
  <c r="E81" i="1"/>
  <c r="L81" i="1"/>
  <c r="L53" i="1"/>
  <c r="L36" i="1"/>
  <c r="L206" i="1"/>
  <c r="L207" i="1"/>
  <c r="E49" i="1"/>
  <c r="L48" i="1"/>
  <c r="L50" i="1"/>
  <c r="L49" i="1"/>
  <c r="L51" i="1"/>
  <c r="L98" i="1"/>
  <c r="L113" i="1"/>
  <c r="L152" i="1"/>
  <c r="L158" i="1"/>
  <c r="L86" i="1"/>
  <c r="L63" i="1"/>
  <c r="L156" i="1"/>
  <c r="L101" i="1"/>
  <c r="L26" i="1"/>
  <c r="L39" i="1"/>
  <c r="T187" i="1"/>
  <c r="L90" i="1"/>
  <c r="L91" i="1"/>
  <c r="E83" i="1"/>
  <c r="E91" i="1"/>
  <c r="T208" i="1"/>
  <c r="L83" i="1"/>
  <c r="T57" i="1"/>
  <c r="T168" i="1"/>
  <c r="R168" i="1"/>
  <c r="T94" i="1"/>
  <c r="T162" i="1"/>
  <c r="T23" i="1"/>
  <c r="R133" i="1"/>
  <c r="R208" i="1"/>
  <c r="T125" i="1"/>
  <c r="O188" i="1"/>
  <c r="O209" i="1" s="1"/>
  <c r="R162" i="1"/>
  <c r="L151" i="1"/>
  <c r="R125" i="1"/>
  <c r="R94" i="1"/>
  <c r="L62" i="1"/>
  <c r="L64" i="1"/>
  <c r="L66" i="1"/>
  <c r="L68" i="1"/>
  <c r="L70" i="1"/>
  <c r="L72" i="1"/>
  <c r="L74" i="1"/>
  <c r="L77" i="1"/>
  <c r="L80" i="1"/>
  <c r="L84" i="1"/>
  <c r="L88" i="1"/>
  <c r="L61" i="1"/>
  <c r="L65" i="1"/>
  <c r="L67" i="1"/>
  <c r="L69" i="1"/>
  <c r="L71" i="1"/>
  <c r="L73" i="1"/>
  <c r="L76" i="1"/>
  <c r="L79" i="1"/>
  <c r="L82" i="1"/>
  <c r="L87" i="1"/>
  <c r="L89" i="1"/>
  <c r="E28" i="1"/>
  <c r="E30" i="1"/>
  <c r="E32" i="1"/>
  <c r="E34" i="1"/>
  <c r="E36" i="1"/>
  <c r="E38" i="1"/>
  <c r="E40" i="1"/>
  <c r="E42" i="1"/>
  <c r="E44" i="1"/>
  <c r="E46" i="1"/>
  <c r="E48" i="1"/>
  <c r="E51" i="1"/>
  <c r="E53" i="1"/>
  <c r="E5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R187" i="1"/>
  <c r="H188" i="1"/>
  <c r="H209" i="1" s="1"/>
  <c r="J10" i="4"/>
  <c r="I12" i="4"/>
  <c r="H12" i="4"/>
  <c r="G12" i="4"/>
  <c r="F12" i="4"/>
  <c r="E12" i="4"/>
  <c r="C12" i="4"/>
  <c r="E204" i="1"/>
  <c r="L205" i="1"/>
  <c r="L204" i="1"/>
  <c r="L202" i="1"/>
  <c r="L201" i="1"/>
  <c r="L200" i="1"/>
  <c r="L198" i="1"/>
  <c r="L197" i="1"/>
  <c r="L196" i="1"/>
  <c r="L191" i="1"/>
  <c r="E191" i="1"/>
  <c r="L173" i="1"/>
  <c r="L165" i="1"/>
  <c r="E167" i="1"/>
  <c r="E161" i="1"/>
  <c r="E158" i="1"/>
  <c r="L150" i="1"/>
  <c r="L148" i="1"/>
  <c r="L145" i="1"/>
  <c r="L142" i="1"/>
  <c r="L140" i="1"/>
  <c r="L136" i="1"/>
  <c r="L131" i="1"/>
  <c r="E132" i="1"/>
  <c r="L132" i="1"/>
  <c r="E90" i="1"/>
  <c r="E89" i="1"/>
  <c r="E87" i="1"/>
  <c r="E85" i="1"/>
  <c r="E82" i="1"/>
  <c r="E79" i="1"/>
  <c r="E76" i="1"/>
  <c r="E73" i="1"/>
  <c r="E71" i="1"/>
  <c r="E69" i="1"/>
  <c r="E67" i="1"/>
  <c r="E65" i="1"/>
  <c r="E63" i="1"/>
  <c r="E61" i="1"/>
  <c r="L52" i="1"/>
  <c r="R57" i="1"/>
  <c r="L33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1" i="1"/>
  <c r="L128" i="1"/>
  <c r="L138" i="1"/>
  <c r="L141" i="1"/>
  <c r="L144" i="1"/>
  <c r="L146" i="1"/>
  <c r="L149" i="1"/>
  <c r="L153" i="1"/>
  <c r="E19" i="1"/>
  <c r="L60" i="1"/>
  <c r="E64" i="1"/>
  <c r="E128" i="1"/>
  <c r="E136" i="1"/>
  <c r="E138" i="1"/>
  <c r="E139" i="1"/>
  <c r="E144" i="1"/>
  <c r="E145" i="1"/>
  <c r="E146" i="1"/>
  <c r="E147" i="1"/>
  <c r="E152" i="1"/>
  <c r="E155" i="1"/>
  <c r="E160" i="1"/>
  <c r="E12" i="1"/>
  <c r="E14" i="1"/>
  <c r="E17" i="1"/>
  <c r="E21" i="1"/>
  <c r="L30" i="1"/>
  <c r="L38" i="1"/>
  <c r="L44" i="1"/>
  <c r="K188" i="1"/>
  <c r="L130" i="1"/>
  <c r="E140" i="1"/>
  <c r="E141" i="1"/>
  <c r="E142" i="1"/>
  <c r="E143" i="1"/>
  <c r="E148" i="1"/>
  <c r="E149" i="1"/>
  <c r="E150" i="1"/>
  <c r="E151" i="1"/>
  <c r="E153" i="1"/>
  <c r="E154" i="1"/>
  <c r="E159" i="1"/>
  <c r="L172" i="1"/>
  <c r="L106" i="1"/>
  <c r="L105" i="1"/>
  <c r="L34" i="1"/>
  <c r="L45" i="1"/>
  <c r="L54" i="1"/>
  <c r="E131" i="1"/>
  <c r="L155" i="1"/>
  <c r="L160" i="1"/>
  <c r="L167" i="1"/>
  <c r="E199" i="1"/>
  <c r="E203" i="1"/>
  <c r="E207" i="1"/>
  <c r="D12" i="4"/>
  <c r="E99" i="1"/>
  <c r="L37" i="1"/>
  <c r="L40" i="1"/>
  <c r="L31" i="1"/>
  <c r="L42" i="1"/>
  <c r="L139" i="1"/>
  <c r="L143" i="1"/>
  <c r="L147" i="1"/>
  <c r="E166" i="1"/>
  <c r="E176" i="1"/>
  <c r="E192" i="1"/>
  <c r="L199" i="1"/>
  <c r="L203" i="1"/>
  <c r="L29" i="1"/>
  <c r="E7" i="1"/>
  <c r="E18" i="1"/>
  <c r="E22" i="1"/>
  <c r="L28" i="1"/>
  <c r="L47" i="1"/>
  <c r="E60" i="1"/>
  <c r="E68" i="1"/>
  <c r="E72" i="1"/>
  <c r="E77" i="1"/>
  <c r="E84" i="1"/>
  <c r="E88" i="1"/>
  <c r="E93" i="1"/>
  <c r="E130" i="1"/>
  <c r="L154" i="1"/>
  <c r="L159" i="1"/>
  <c r="L166" i="1"/>
  <c r="L192" i="1"/>
  <c r="R193" i="1"/>
  <c r="E198" i="1"/>
  <c r="E202" i="1"/>
  <c r="E206" i="1"/>
  <c r="E165" i="1"/>
  <c r="E173" i="1"/>
  <c r="E197" i="1"/>
  <c r="E201" i="1"/>
  <c r="E205" i="1"/>
  <c r="L46" i="1"/>
  <c r="L56" i="1"/>
  <c r="L27" i="1"/>
  <c r="L35" i="1"/>
  <c r="E172" i="1"/>
  <c r="E13" i="1"/>
  <c r="E16" i="1"/>
  <c r="L32" i="1"/>
  <c r="L43" i="1"/>
  <c r="E62" i="1"/>
  <c r="E66" i="1"/>
  <c r="E70" i="1"/>
  <c r="E74" i="1"/>
  <c r="E80" i="1"/>
  <c r="E86" i="1"/>
  <c r="L161" i="1"/>
  <c r="E196" i="1"/>
  <c r="E200" i="1"/>
  <c r="L116" i="1" l="1"/>
  <c r="L99" i="1"/>
  <c r="L103" i="1"/>
  <c r="L109" i="1"/>
  <c r="L120" i="1"/>
  <c r="L104" i="1"/>
  <c r="K209" i="1"/>
  <c r="L23" i="1"/>
  <c r="L162" i="1"/>
  <c r="L57" i="1"/>
  <c r="L133" i="1"/>
  <c r="L94" i="1"/>
  <c r="L125" i="1"/>
  <c r="L187" i="1"/>
  <c r="L168" i="1"/>
  <c r="L108" i="1"/>
  <c r="L107" i="1"/>
  <c r="L124" i="1"/>
  <c r="L119" i="1"/>
  <c r="L121" i="1"/>
  <c r="L110" i="1"/>
  <c r="L122" i="1"/>
  <c r="L114" i="1"/>
  <c r="E122" i="1"/>
  <c r="E119" i="1"/>
  <c r="E110" i="1"/>
  <c r="E107" i="1"/>
  <c r="E104" i="1"/>
  <c r="E109" i="1"/>
  <c r="E105" i="1"/>
  <c r="E115" i="1"/>
  <c r="E106" i="1"/>
  <c r="D188" i="1"/>
  <c r="E124" i="1"/>
  <c r="E98" i="1"/>
  <c r="E108" i="1"/>
  <c r="E103" i="1"/>
  <c r="E121" i="1"/>
  <c r="E120" i="1"/>
  <c r="E116" i="1"/>
  <c r="E113" i="1"/>
  <c r="E125" i="1" l="1"/>
  <c r="R188" i="1"/>
  <c r="E57" i="1"/>
  <c r="E162" i="1"/>
  <c r="D209" i="1"/>
  <c r="E94" i="1"/>
  <c r="E23" i="1"/>
  <c r="E187" i="1"/>
  <c r="E133" i="1"/>
  <c r="E168" i="1"/>
</calcChain>
</file>

<file path=xl/sharedStrings.xml><?xml version="1.0" encoding="utf-8"?>
<sst xmlns="http://schemas.openxmlformats.org/spreadsheetml/2006/main" count="437" uniqueCount="275">
  <si>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</si>
  <si>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</si>
  <si>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</si>
  <si>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</si>
  <si>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</si>
  <si>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</si>
  <si>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</si>
  <si>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</si>
  <si>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</si>
  <si>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</si>
  <si>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</si>
  <si>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</si>
  <si>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</si>
  <si>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</si>
  <si>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</si>
  <si>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</si>
  <si>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</si>
  <si>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</si>
  <si>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</si>
  <si>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</si>
  <si>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</si>
  <si>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</si>
  <si>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</si>
  <si>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</si>
  <si>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</si>
  <si>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</si>
  <si>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</si>
  <si>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</si>
  <si>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</si>
  <si>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</si>
  <si>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</si>
  <si>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</si>
  <si>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</si>
  <si>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</si>
  <si>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</si>
  <si>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</si>
  <si>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</si>
  <si>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</si>
  <si>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</si>
  <si>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</si>
  <si>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</si>
  <si>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</si>
  <si>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</si>
  <si>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</si>
  <si>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</si>
  <si>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</si>
  <si>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</si>
  <si>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</si>
  <si>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</si>
  <si>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</si>
  <si>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</si>
  <si>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</si>
  <si>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</si>
  <si>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</si>
  <si>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</si>
  <si>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</si>
  <si>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</si>
  <si>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</si>
  <si>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</si>
  <si>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</si>
  <si>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</si>
  <si>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</si>
  <si>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</si>
  <si>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</si>
  <si>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</si>
  <si>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</si>
  <si>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</si>
  <si>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</si>
  <si>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</si>
  <si>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</si>
  <si>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</si>
  <si>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</si>
  <si>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</si>
  <si>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</si>
  <si>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</si>
  <si>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</si>
  <si>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</si>
  <si>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</si>
  <si>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</si>
  <si>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</si>
  <si>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</si>
  <si>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</si>
  <si>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</si>
  <si>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</si>
  <si>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</si>
  <si>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</si>
  <si>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</si>
  <si>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</si>
  <si>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</si>
  <si>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</si>
  <si>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</si>
  <si>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</si>
  <si>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</si>
  <si>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</si>
  <si>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</si>
  <si>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</si>
  <si>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</si>
  <si>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</si>
  <si>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</si>
  <si>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</si>
  <si>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</si>
  <si>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</si>
  <si>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</si>
  <si>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</si>
  <si>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</si>
  <si>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</si>
  <si>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</si>
  <si>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</si>
  <si>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</si>
  <si>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</si>
  <si>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</si>
  <si>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</si>
  <si>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</si>
  <si>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</si>
  <si>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</si>
  <si>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</si>
  <si>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</si>
  <si>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</si>
  <si>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</si>
  <si>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</si>
  <si>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</si>
  <si>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</si>
  <si>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</si>
  <si>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</si>
  <si>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</si>
  <si>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</si>
  <si>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</si>
  <si>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</si>
  <si>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</si>
  <si>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</si>
  <si>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</si>
  <si>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</si>
  <si>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</si>
  <si>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</si>
  <si>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</si>
  <si>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</si>
  <si>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</si>
  <si>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</si>
  <si>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</si>
  <si>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</si>
  <si>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</si>
  <si>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</si>
  <si>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</si>
  <si>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</si>
  <si>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</si>
  <si>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</si>
  <si>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</si>
  <si>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</si>
  <si>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</si>
  <si>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</si>
  <si>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</si>
  <si>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</si>
  <si>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</si>
  <si>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</si>
  <si>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</si>
  <si>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</si>
  <si>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</si>
  <si>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</si>
  <si>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</si>
  <si>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</si>
  <si>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</si>
  <si>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</si>
  <si>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</si>
  <si>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</si>
  <si>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</si>
  <si>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</si>
  <si>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</si>
  <si>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</si>
  <si>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</si>
  <si>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</si>
  <si>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</si>
  <si>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</si>
  <si>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</si>
  <si>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</si>
  <si>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</si>
  <si>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</si>
  <si>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</si>
  <si>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</si>
  <si>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</si>
  <si>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</si>
  <si>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</si>
  <si>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</si>
  <si>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</si>
  <si>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</si>
  <si>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</si>
  <si>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</si>
  <si>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</si>
  <si>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</si>
  <si>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</si>
  <si>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</si>
  <si>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</si>
  <si>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</si>
  <si>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</si>
  <si>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</si>
  <si>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</si>
  <si>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</si>
  <si>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</si>
  <si>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</si>
  <si>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</si>
  <si>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</si>
  <si>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</si>
  <si>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</si>
  <si>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</si>
  <si>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</si>
  <si>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</si>
  <si>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</si>
  <si>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</si>
  <si>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</si>
  <si>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</si>
  <si>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</si>
  <si>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</si>
  <si>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</si>
  <si>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</si>
  <si>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</si>
  <si>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</si>
  <si>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</si>
  <si>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</si>
  <si>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</si>
  <si>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</si>
  <si>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</si>
  <si>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</si>
  <si>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</si>
  <si>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</si>
  <si>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</si>
  <si>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</si>
  <si>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</si>
  <si>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</si>
  <si>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</si>
  <si>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</si>
  <si>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</si>
  <si>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</si>
  <si>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</si>
  <si>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</si>
  <si>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</si>
  <si>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</si>
  <si>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</si>
  <si>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</si>
  <si>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</si>
  <si>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</si>
  <si>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</si>
  <si>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</si>
  <si>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</si>
  <si>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</si>
  <si>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</si>
  <si>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</si>
  <si>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</si>
  <si>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</si>
  <si>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</si>
  <si>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</si>
  <si>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</si>
  <si>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</si>
  <si>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</si>
  <si>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</si>
  <si>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</si>
  <si>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</si>
  <si>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</si>
  <si>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</si>
  <si>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</si>
  <si>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</si>
  <si>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</si>
  <si>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</si>
  <si>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</si>
  <si>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</si>
  <si>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</si>
  <si>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</si>
  <si>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</si>
  <si>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NAV, Unit Price and Yield as at Week Ended April 12, 2024</t>
  </si>
  <si>
    <t>CardinalStone Equity Fund</t>
  </si>
  <si>
    <t>CardinalStone Dollar Fund</t>
  </si>
  <si>
    <t>Week Ended April 12, 2024</t>
  </si>
  <si>
    <t>WEEKLY VALUATION REPORT OF COLLECTIVE INVESTMENT SCHEMES AS AT WEEK ENDED FRIDAY, APRIL 19, 2024</t>
  </si>
  <si>
    <t>NAV, Unit Price and Yield as at Week Ended April 19,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</si>
  <si>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19th April, 2024 = N1,150.66</t>
    </r>
  </si>
  <si>
    <t>Week Ended April 19, 2024</t>
  </si>
  <si>
    <t>The chart above shows that the Dollar Fund category (Eurobonds and Fixed Income) has the highest share of the Aggregate Net Asset Value (NAV) at 43.18%, followed by Money Market Fund with 37.17%, Bond/Fixed Income Fund at 10.50%, Real Estate Investment Trust at 3.98%.  Next is Shari'ah Compliant Fund at 2.04%, Balanced Fund at 1.88%, Equity Fund at 1.06%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</si>
</sst>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5" fontId="6" fillId="5" borderId="5" xfId="2" applyNumberFormat="1" applyFont="1" applyFill="1" applyBorder="1" applyAlignment="1">
      <alignment horizontal="center"/>
    </xf>
    <xf numFmtId="0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6" fillId="0" borderId="5" xfId="0" applyNumberFormat="1" applyFont="1" applyBorder="1" applyAlignment="1">
      <alignment wrapText="1"/>
    </xf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16" fontId="49" fillId="3" borderId="5" xfId="0" applyNumberFormat="1" applyFont="1" applyFill="1" applyBorder="1" applyAlignment="1">
      <alignment wrapText="1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12,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27.759764748769999</c:v>
                </c:pt>
                <c:pt idx="1">
                  <c:v>934.33490687448409</c:v>
                </c:pt>
                <c:pt idx="2">
                  <c:v>268.37162913721022</c:v>
                </c:pt>
                <c:pt idx="3">
                  <c:v>1082.3913596713128</c:v>
                </c:pt>
                <c:pt idx="4">
                  <c:v>99.870092317262447</c:v>
                </c:pt>
                <c:pt idx="5" formatCode="_-* #,##0.00_-;\-* #,##0.00_-;_-* &quot;-&quot;??_-;_-@_-">
                  <c:v>48.079052440593131</c:v>
                </c:pt>
                <c:pt idx="6">
                  <c:v>5.0052436230900001</c:v>
                </c:pt>
                <c:pt idx="7">
                  <c:v>49.509658646534014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19,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26.572100101452097</c:v>
                </c:pt>
                <c:pt idx="1">
                  <c:v>933.19302110314504</c:v>
                </c:pt>
                <c:pt idx="2">
                  <c:v>263.75246569742933</c:v>
                </c:pt>
                <c:pt idx="3">
                  <c:v>1084.1636331645548</c:v>
                </c:pt>
                <c:pt idx="4">
                  <c:v>99.91818789883699</c:v>
                </c:pt>
                <c:pt idx="5" formatCode="_-* #,##0.00_-;\-* #,##0.00_-;_-* &quot;-&quot;??_-;_-@_-">
                  <c:v>47.213858445276671</c:v>
                </c:pt>
                <c:pt idx="6">
                  <c:v>4.7528086968699998</c:v>
                </c:pt>
                <c:pt idx="7">
                  <c:v>51.231840232037875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19TH APRIL,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19-Apr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4752808696.8699999</c:v>
                </c:pt>
                <c:pt idx="1">
                  <c:v>26572100101.452099</c:v>
                </c:pt>
                <c:pt idx="2" formatCode="_-* #,##0.00_-;\-* #,##0.00_-;_-* &quot;-&quot;??_-;_-@_-">
                  <c:v>47213858445.276672</c:v>
                </c:pt>
                <c:pt idx="3">
                  <c:v>51231840232.037872</c:v>
                </c:pt>
                <c:pt idx="4">
                  <c:v>99918187898.83699</c:v>
                </c:pt>
                <c:pt idx="5">
                  <c:v>263752465697.42932</c:v>
                </c:pt>
                <c:pt idx="6">
                  <c:v>933193021103.14502</c:v>
                </c:pt>
                <c:pt idx="7">
                  <c:v>1084163633164.5548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45352</c:v>
                </c:pt>
                <c:pt idx="1">
                  <c:v>45359</c:v>
                </c:pt>
                <c:pt idx="2">
                  <c:v>45366</c:v>
                </c:pt>
                <c:pt idx="3">
                  <c:v>45373</c:v>
                </c:pt>
                <c:pt idx="4">
                  <c:v>45379</c:v>
                </c:pt>
                <c:pt idx="5">
                  <c:v>45387</c:v>
                </c:pt>
                <c:pt idx="6">
                  <c:v>45394</c:v>
                </c:pt>
                <c:pt idx="7">
                  <c:v>45401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2842.1269159614767</c:v>
                </c:pt>
                <c:pt idx="1">
                  <c:v>2889.6753426082664</c:v>
                </c:pt>
                <c:pt idx="2">
                  <c:v>2600.1201124317486</c:v>
                </c:pt>
                <c:pt idx="3">
                  <c:v>2726.590314934399</c:v>
                </c:pt>
                <c:pt idx="4">
                  <c:v>2644.8482103597744</c:v>
                </c:pt>
                <c:pt idx="5">
                  <c:v>2589.6638814860466</c:v>
                </c:pt>
                <c:pt idx="6">
                  <c:v>2515.3217074592571</c:v>
                </c:pt>
                <c:pt idx="7">
                  <c:v>2510.7979153396032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45352</c:v>
                </c:pt>
                <c:pt idx="1">
                  <c:v>45359</c:v>
                </c:pt>
                <c:pt idx="2">
                  <c:v>45366</c:v>
                </c:pt>
                <c:pt idx="3">
                  <c:v>45373</c:v>
                </c:pt>
                <c:pt idx="4">
                  <c:v>45379</c:v>
                </c:pt>
                <c:pt idx="5">
                  <c:v>45387</c:v>
                </c:pt>
                <c:pt idx="6">
                  <c:v>45394</c:v>
                </c:pt>
                <c:pt idx="7">
                  <c:v>45401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13.410122858662769</c:v>
                </c:pt>
                <c:pt idx="1">
                  <c:v>13.60527981782986</c:v>
                </c:pt>
                <c:pt idx="2">
                  <c:v>13.749994436969999</c:v>
                </c:pt>
                <c:pt idx="3">
                  <c:v>13.611683369310001</c:v>
                </c:pt>
                <c:pt idx="4">
                  <c:v>13.637941626835818</c:v>
                </c:pt>
                <c:pt idx="5">
                  <c:v>13.392488443196084</c:v>
                </c:pt>
                <c:pt idx="6">
                  <c:v>13.204581677229028</c:v>
                </c:pt>
                <c:pt idx="7">
                  <c:v>12.730402807627465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9" t="s">
        <v>270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25" ht="15" customHeight="1">
      <c r="A2" s="1"/>
      <c r="B2" s="1"/>
      <c r="C2" s="1"/>
      <c r="D2" s="166" t="s">
        <v>266</v>
      </c>
      <c r="E2" s="167"/>
      <c r="F2" s="167"/>
      <c r="G2" s="167"/>
      <c r="H2" s="167"/>
      <c r="I2" s="167"/>
      <c r="J2" s="168"/>
      <c r="K2" s="166" t="s">
        <v>271</v>
      </c>
      <c r="L2" s="167"/>
      <c r="M2" s="167"/>
      <c r="N2" s="167"/>
      <c r="O2" s="167"/>
      <c r="P2" s="167"/>
      <c r="Q2" s="168"/>
      <c r="R2" s="166" t="s">
        <v>0</v>
      </c>
      <c r="S2" s="167"/>
      <c r="T2" s="168"/>
      <c r="U2" s="163" t="s">
        <v>1</v>
      </c>
      <c r="V2" s="163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5" ht="15" customHeight="1">
      <c r="A5" s="165" t="s">
        <v>15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5">
      <c r="A6" s="75">
        <v>1</v>
      </c>
      <c r="B6" s="122" t="s">
        <v>16</v>
      </c>
      <c r="C6" s="123" t="s">
        <v>17</v>
      </c>
      <c r="D6" s="2">
        <v>1220386922.76</v>
      </c>
      <c r="E6" s="3">
        <f t="shared" ref="E6:E22" si="0">(D6/$D$23)</f>
        <v>4.3962437499189315E-2</v>
      </c>
      <c r="F6" s="8">
        <v>340.04750000000001</v>
      </c>
      <c r="G6" s="8">
        <v>340.04750000000001</v>
      </c>
      <c r="H6" s="60">
        <v>1739</v>
      </c>
      <c r="I6" s="5">
        <v>-3.5900000000000001E-2</v>
      </c>
      <c r="J6" s="5">
        <v>9.74E-2</v>
      </c>
      <c r="K6" s="2">
        <v>1099894983.73</v>
      </c>
      <c r="L6" s="3">
        <f>(K6/$K$23)</f>
        <v>4.1392851130720131E-2</v>
      </c>
      <c r="M6" s="8">
        <v>323.3329</v>
      </c>
      <c r="N6" s="8">
        <v>323.3329</v>
      </c>
      <c r="O6" s="60">
        <v>1739</v>
      </c>
      <c r="P6" s="5">
        <v>-4.9200000000000001E-2</v>
      </c>
      <c r="Q6" s="5">
        <v>4.3400000000000001E-2</v>
      </c>
      <c r="R6" s="80">
        <f>((K6-D6)/D6)</f>
        <v>-9.8732571435211774E-2</v>
      </c>
      <c r="S6" s="80">
        <f>((N6-G6)/G6)</f>
        <v>-4.9153721171307001E-2</v>
      </c>
      <c r="T6" s="80">
        <f>((O6-H6)/H6)</f>
        <v>0</v>
      </c>
      <c r="U6" s="81">
        <f>P6-I6</f>
        <v>-1.3299999999999999E-2</v>
      </c>
      <c r="V6" s="83">
        <f>Q6-J6</f>
        <v>-5.3999999999999999E-2</v>
      </c>
    </row>
    <row r="7" spans="1:25">
      <c r="A7" s="75">
        <v>2</v>
      </c>
      <c r="B7" s="122" t="s">
        <v>18</v>
      </c>
      <c r="C7" s="123" t="s">
        <v>19</v>
      </c>
      <c r="D7" s="4">
        <v>612652578.25999999</v>
      </c>
      <c r="E7" s="3">
        <f t="shared" si="0"/>
        <v>2.2069804402328225E-2</v>
      </c>
      <c r="F7" s="4">
        <v>224.09690000000001</v>
      </c>
      <c r="G7" s="4">
        <v>226.77330000000001</v>
      </c>
      <c r="H7" s="60">
        <v>390</v>
      </c>
      <c r="I7" s="5">
        <v>-1.3339999999999999E-2</v>
      </c>
      <c r="J7" s="5">
        <v>0.15840000000000001</v>
      </c>
      <c r="K7" s="4">
        <v>591114296.67999995</v>
      </c>
      <c r="L7" s="3">
        <f t="shared" ref="L7:L22" si="1">(K7/$K$23)</f>
        <v>2.2245674765002749E-2</v>
      </c>
      <c r="M7" s="4">
        <v>215.7637</v>
      </c>
      <c r="N7" s="4">
        <v>218.30869999999999</v>
      </c>
      <c r="O7" s="60">
        <v>392</v>
      </c>
      <c r="P7" s="5">
        <v>-1.25E-3</v>
      </c>
      <c r="Q7" s="5">
        <v>0.1153</v>
      </c>
      <c r="R7" s="80">
        <f t="shared" ref="R7:R23" si="2">((K7-D7)/D7)</f>
        <v>-3.5155783790498538E-2</v>
      </c>
      <c r="S7" s="80">
        <f t="shared" ref="S7:S23" si="3">((N7-G7)/G7)</f>
        <v>-3.7326263717995099E-2</v>
      </c>
      <c r="T7" s="80">
        <f t="shared" ref="T7:T23" si="4">((O7-H7)/H7)</f>
        <v>5.1282051282051282E-3</v>
      </c>
      <c r="U7" s="81">
        <f t="shared" ref="U7:U23" si="5">P7-I7</f>
        <v>1.209E-2</v>
      </c>
      <c r="V7" s="83">
        <f t="shared" ref="V7:V23" si="6">Q7-J7</f>
        <v>-4.3100000000000013E-2</v>
      </c>
    </row>
    <row r="8" spans="1:25">
      <c r="A8" s="75">
        <v>3</v>
      </c>
      <c r="B8" s="122" t="s">
        <v>20</v>
      </c>
      <c r="C8" s="123" t="s">
        <v>21</v>
      </c>
      <c r="D8" s="4">
        <v>3975445301.1999998</v>
      </c>
      <c r="E8" s="3">
        <f t="shared" si="0"/>
        <v>0.14320889738001641</v>
      </c>
      <c r="F8" s="4">
        <v>36.975099999999998</v>
      </c>
      <c r="G8" s="4">
        <v>38.0899</v>
      </c>
      <c r="H8" s="62">
        <v>6413</v>
      </c>
      <c r="I8" s="6">
        <v>-0.30890000000000001</v>
      </c>
      <c r="J8" s="6">
        <v>0.74739999999999995</v>
      </c>
      <c r="K8" s="4">
        <v>3879160618.27</v>
      </c>
      <c r="L8" s="3">
        <f t="shared" si="1"/>
        <v>0.14598622628468924</v>
      </c>
      <c r="M8" s="4">
        <v>36.1892</v>
      </c>
      <c r="N8" s="4">
        <v>37.2804</v>
      </c>
      <c r="O8" s="62">
        <v>6421</v>
      </c>
      <c r="P8" s="6">
        <v>-1.1112</v>
      </c>
      <c r="Q8" s="6">
        <v>0.61429999999999996</v>
      </c>
      <c r="R8" s="80">
        <f t="shared" si="2"/>
        <v>-2.4219848503747747E-2</v>
      </c>
      <c r="S8" s="80">
        <f t="shared" si="3"/>
        <v>-2.1252352985962154E-2</v>
      </c>
      <c r="T8" s="80">
        <f t="shared" si="4"/>
        <v>1.2474660845158273E-3</v>
      </c>
      <c r="U8" s="81">
        <f t="shared" si="5"/>
        <v>-0.80230000000000001</v>
      </c>
      <c r="V8" s="83">
        <f t="shared" si="6"/>
        <v>-0.1331</v>
      </c>
      <c r="X8" s="102"/>
      <c r="Y8" s="102"/>
    </row>
    <row r="9" spans="1:25">
      <c r="A9" s="75">
        <v>4</v>
      </c>
      <c r="B9" s="122" t="s">
        <v>22</v>
      </c>
      <c r="C9" s="123" t="s">
        <v>23</v>
      </c>
      <c r="D9" s="4">
        <v>703580556.46000004</v>
      </c>
      <c r="E9" s="3">
        <f t="shared" si="0"/>
        <v>2.5345335698177155E-2</v>
      </c>
      <c r="F9" s="4">
        <v>232.48</v>
      </c>
      <c r="G9" s="4">
        <v>232.48</v>
      </c>
      <c r="H9" s="60">
        <v>1796</v>
      </c>
      <c r="I9" s="5">
        <v>-1.7100000000000001E-2</v>
      </c>
      <c r="J9" s="5">
        <v>0.14099999999999999</v>
      </c>
      <c r="K9" s="4">
        <v>658719432.30999994</v>
      </c>
      <c r="L9" s="3">
        <f t="shared" si="1"/>
        <v>2.4789889763888198E-2</v>
      </c>
      <c r="M9" s="4">
        <v>223.66409999999999</v>
      </c>
      <c r="N9" s="4">
        <v>223.66409999999999</v>
      </c>
      <c r="O9" s="60">
        <v>1772</v>
      </c>
      <c r="P9" s="5">
        <v>-5.4399999999999997E-2</v>
      </c>
      <c r="Q9" s="5">
        <v>9.7699999999999995E-2</v>
      </c>
      <c r="R9" s="80">
        <f t="shared" si="2"/>
        <v>-6.3761176652911866E-2</v>
      </c>
      <c r="S9" s="80">
        <f t="shared" si="3"/>
        <v>-3.79211114934618E-2</v>
      </c>
      <c r="T9" s="80">
        <f t="shared" si="4"/>
        <v>-1.3363028953229399E-2</v>
      </c>
      <c r="U9" s="81">
        <f t="shared" si="5"/>
        <v>-3.73E-2</v>
      </c>
      <c r="V9" s="83">
        <f t="shared" si="6"/>
        <v>-4.3299999999999991E-2</v>
      </c>
    </row>
    <row r="10" spans="1:25">
      <c r="A10" s="75">
        <v>5</v>
      </c>
      <c r="B10" s="122" t="s">
        <v>267</v>
      </c>
      <c r="C10" s="123" t="s">
        <v>99</v>
      </c>
      <c r="D10" s="4">
        <v>631374878.85000002</v>
      </c>
      <c r="E10" s="3">
        <f t="shared" si="0"/>
        <v>2.2744244577143812E-2</v>
      </c>
      <c r="F10" s="4">
        <v>0.91920000000000002</v>
      </c>
      <c r="G10" s="4">
        <v>0.92749999999999999</v>
      </c>
      <c r="H10" s="60">
        <v>556</v>
      </c>
      <c r="I10" s="5">
        <v>-3.61E-2</v>
      </c>
      <c r="J10" s="5">
        <v>-7.5899999999999995E-2</v>
      </c>
      <c r="K10" s="4">
        <v>579466612.84000003</v>
      </c>
      <c r="L10" s="3">
        <f t="shared" si="1"/>
        <v>2.1807332150172564E-2</v>
      </c>
      <c r="M10" s="4">
        <v>0.84379999999999999</v>
      </c>
      <c r="N10" s="4">
        <v>0.85099999999999998</v>
      </c>
      <c r="O10" s="60">
        <v>556</v>
      </c>
      <c r="P10" s="5">
        <v>-8.2199999999999995E-2</v>
      </c>
      <c r="Q10" s="5">
        <v>-0.15190000000000001</v>
      </c>
      <c r="R10" s="80">
        <f t="shared" ref="R10" si="7">((K10-D10)/D10)</f>
        <v>-8.2214652101057356E-2</v>
      </c>
      <c r="S10" s="80">
        <f t="shared" ref="S10" si="8">((N10-G10)/G10)</f>
        <v>-8.2479784366576839E-2</v>
      </c>
      <c r="T10" s="80">
        <f t="shared" ref="T10" si="9">((O10-H10)/H10)</f>
        <v>0</v>
      </c>
      <c r="U10" s="81">
        <f t="shared" ref="U10" si="10">P10-I10</f>
        <v>-4.6099999999999995E-2</v>
      </c>
      <c r="V10" s="83">
        <f t="shared" ref="V10" si="11">Q10-J10</f>
        <v>-7.6000000000000012E-2</v>
      </c>
    </row>
    <row r="11" spans="1:25">
      <c r="A11" s="75">
        <v>6</v>
      </c>
      <c r="B11" s="122" t="s">
        <v>24</v>
      </c>
      <c r="C11" s="123" t="s">
        <v>25</v>
      </c>
      <c r="D11" s="7">
        <v>85923926.909999996</v>
      </c>
      <c r="E11" s="3">
        <f t="shared" si="0"/>
        <v>3.0952685546013921E-3</v>
      </c>
      <c r="F11" s="4">
        <v>151.30609999999999</v>
      </c>
      <c r="G11" s="4">
        <v>151.83840000000001</v>
      </c>
      <c r="H11" s="62">
        <v>89</v>
      </c>
      <c r="I11" s="6">
        <v>-2.0337999999999998E-2</v>
      </c>
      <c r="J11" s="6">
        <v>0.29580000000000001</v>
      </c>
      <c r="K11" s="7">
        <v>85101340.920000002</v>
      </c>
      <c r="L11" s="3">
        <f t="shared" si="1"/>
        <v>3.2026576971742413E-3</v>
      </c>
      <c r="M11" s="4">
        <v>150.7439</v>
      </c>
      <c r="N11" s="4">
        <v>151.25319999999999</v>
      </c>
      <c r="O11" s="62">
        <v>89</v>
      </c>
      <c r="P11" s="6">
        <v>-3.8539999999999998E-3</v>
      </c>
      <c r="Q11" s="6">
        <v>0.28870000000000001</v>
      </c>
      <c r="R11" s="80">
        <f t="shared" si="2"/>
        <v>-9.5734217415552082E-3</v>
      </c>
      <c r="S11" s="80">
        <f t="shared" si="3"/>
        <v>-3.8540975141994026E-3</v>
      </c>
      <c r="T11" s="80">
        <f t="shared" si="4"/>
        <v>0</v>
      </c>
      <c r="U11" s="81">
        <f t="shared" si="5"/>
        <v>1.6483999999999999E-2</v>
      </c>
      <c r="V11" s="83">
        <f t="shared" si="6"/>
        <v>-7.0999999999999952E-3</v>
      </c>
    </row>
    <row r="12" spans="1:25">
      <c r="A12" s="75">
        <v>7</v>
      </c>
      <c r="B12" s="122" t="s">
        <v>26</v>
      </c>
      <c r="C12" s="123" t="s">
        <v>27</v>
      </c>
      <c r="D12" s="4">
        <v>1015115369.12</v>
      </c>
      <c r="E12" s="3">
        <f t="shared" si="0"/>
        <v>3.6567866417707248E-2</v>
      </c>
      <c r="F12" s="4">
        <v>271.95999999999998</v>
      </c>
      <c r="G12" s="4">
        <v>275.72000000000003</v>
      </c>
      <c r="H12" s="62">
        <v>1622</v>
      </c>
      <c r="I12" s="6">
        <v>-1.8499999999999999E-2</v>
      </c>
      <c r="J12" s="6">
        <v>9.3600000000000003E-2</v>
      </c>
      <c r="K12" s="4">
        <v>973929699.82000005</v>
      </c>
      <c r="L12" s="3">
        <f t="shared" si="1"/>
        <v>3.665234197152438E-2</v>
      </c>
      <c r="M12" s="4">
        <v>260.92</v>
      </c>
      <c r="N12" s="4">
        <v>264.49</v>
      </c>
      <c r="O12" s="62">
        <v>1622</v>
      </c>
      <c r="P12" s="6">
        <v>-4.07E-2</v>
      </c>
      <c r="Q12" s="6">
        <v>4.9200000000000001E-2</v>
      </c>
      <c r="R12" s="80">
        <f t="shared" si="2"/>
        <v>-4.0572402460720962E-2</v>
      </c>
      <c r="S12" s="80">
        <f t="shared" si="3"/>
        <v>-4.0729725808791591E-2</v>
      </c>
      <c r="T12" s="80">
        <f t="shared" si="4"/>
        <v>0</v>
      </c>
      <c r="U12" s="81">
        <f t="shared" si="5"/>
        <v>-2.2200000000000001E-2</v>
      </c>
      <c r="V12" s="83">
        <f t="shared" si="6"/>
        <v>-4.4400000000000002E-2</v>
      </c>
    </row>
    <row r="13" spans="1:25">
      <c r="A13" s="75">
        <v>8</v>
      </c>
      <c r="B13" s="122" t="s">
        <v>28</v>
      </c>
      <c r="C13" s="123" t="s">
        <v>29</v>
      </c>
      <c r="D13" s="2">
        <v>323096058.29000002</v>
      </c>
      <c r="E13" s="3">
        <f t="shared" si="0"/>
        <v>1.1639005633299396E-2</v>
      </c>
      <c r="F13" s="4">
        <v>162.30000000000001</v>
      </c>
      <c r="G13" s="4">
        <v>165.61</v>
      </c>
      <c r="H13" s="60">
        <v>2381</v>
      </c>
      <c r="I13" s="5">
        <v>7.1999999999999998E-3</v>
      </c>
      <c r="J13" s="5">
        <v>-3.2800000000000003E-2</v>
      </c>
      <c r="K13" s="2">
        <v>314103171.29000002</v>
      </c>
      <c r="L13" s="3">
        <f t="shared" si="1"/>
        <v>1.1820788349086305E-2</v>
      </c>
      <c r="M13" s="4">
        <v>157.78</v>
      </c>
      <c r="N13" s="4">
        <v>160.74</v>
      </c>
      <c r="O13" s="60">
        <v>2381</v>
      </c>
      <c r="P13" s="5">
        <v>-2.785E-2</v>
      </c>
      <c r="Q13" s="5">
        <v>-5.9659999999999998E-2</v>
      </c>
      <c r="R13" s="80">
        <f t="shared" si="2"/>
        <v>-2.7833477906215404E-2</v>
      </c>
      <c r="S13" s="80">
        <f t="shared" si="3"/>
        <v>-2.9406436809371439E-2</v>
      </c>
      <c r="T13" s="80">
        <f t="shared" si="4"/>
        <v>0</v>
      </c>
      <c r="U13" s="81">
        <f t="shared" si="5"/>
        <v>-3.5049999999999998E-2</v>
      </c>
      <c r="V13" s="83">
        <f t="shared" si="6"/>
        <v>-2.6859999999999995E-2</v>
      </c>
    </row>
    <row r="14" spans="1:25">
      <c r="A14" s="75">
        <v>9</v>
      </c>
      <c r="B14" s="122" t="s">
        <v>30</v>
      </c>
      <c r="C14" s="123" t="s">
        <v>31</v>
      </c>
      <c r="D14" s="7">
        <v>50722542.149999999</v>
      </c>
      <c r="E14" s="3">
        <f t="shared" si="0"/>
        <v>1.8271963977017295E-3</v>
      </c>
      <c r="F14" s="4">
        <v>182.91</v>
      </c>
      <c r="G14" s="4">
        <v>188.06</v>
      </c>
      <c r="H14" s="60">
        <v>7</v>
      </c>
      <c r="I14" s="5">
        <v>-1.26E-2</v>
      </c>
      <c r="J14" s="5">
        <v>1.35E-2</v>
      </c>
      <c r="K14" s="7">
        <v>49716187.159999996</v>
      </c>
      <c r="L14" s="3">
        <f t="shared" si="1"/>
        <v>1.8709920168215508E-3</v>
      </c>
      <c r="M14" s="4">
        <v>179.32</v>
      </c>
      <c r="N14" s="4">
        <v>184.3</v>
      </c>
      <c r="O14" s="60">
        <v>7</v>
      </c>
      <c r="P14" s="5">
        <v>-1.9800000000000002E-2</v>
      </c>
      <c r="Q14" s="5">
        <v>-6.6E-3</v>
      </c>
      <c r="R14" s="80">
        <f t="shared" si="2"/>
        <v>-1.9840389447041983E-2</v>
      </c>
      <c r="S14" s="80">
        <f t="shared" si="3"/>
        <v>-1.9993619057747478E-2</v>
      </c>
      <c r="T14" s="80">
        <f t="shared" si="4"/>
        <v>0</v>
      </c>
      <c r="U14" s="81">
        <f t="shared" si="5"/>
        <v>-7.2000000000000015E-3</v>
      </c>
      <c r="V14" s="83">
        <f t="shared" si="6"/>
        <v>-2.01E-2</v>
      </c>
    </row>
    <row r="15" spans="1:25" ht="14.25" customHeight="1">
      <c r="A15" s="75">
        <v>10</v>
      </c>
      <c r="B15" s="122" t="s">
        <v>238</v>
      </c>
      <c r="C15" s="123" t="s">
        <v>32</v>
      </c>
      <c r="D15" s="2">
        <v>494132152.11000001</v>
      </c>
      <c r="E15" s="3">
        <f t="shared" si="0"/>
        <v>1.7800300419761099E-2</v>
      </c>
      <c r="F15" s="4">
        <v>1.5703</v>
      </c>
      <c r="G15" s="4">
        <v>1.6204000000000001</v>
      </c>
      <c r="H15" s="60">
        <v>445</v>
      </c>
      <c r="I15" s="5">
        <v>-3.8695762496828712E-3</v>
      </c>
      <c r="J15" s="5">
        <v>-7.3405322475954438E-2</v>
      </c>
      <c r="K15" s="2">
        <v>482393136.41210002</v>
      </c>
      <c r="L15" s="3">
        <f t="shared" si="1"/>
        <v>1.8154121600111633E-2</v>
      </c>
      <c r="M15" s="4">
        <v>1.5335000000000001</v>
      </c>
      <c r="N15" s="4">
        <v>1.5820000000000001</v>
      </c>
      <c r="O15" s="60">
        <v>445</v>
      </c>
      <c r="P15" s="5">
        <v>-2.3435012418009271E-2</v>
      </c>
      <c r="Q15" s="5">
        <v>-9.5120080250191807E-2</v>
      </c>
      <c r="R15" s="80">
        <f t="shared" si="2"/>
        <v>-2.3756834376741275E-2</v>
      </c>
      <c r="S15" s="80">
        <f t="shared" si="3"/>
        <v>-2.3697852382127862E-2</v>
      </c>
      <c r="T15" s="80">
        <f t="shared" si="4"/>
        <v>0</v>
      </c>
      <c r="U15" s="81">
        <f t="shared" si="5"/>
        <v>-1.95654361683264E-2</v>
      </c>
      <c r="V15" s="83">
        <f t="shared" si="6"/>
        <v>-2.171475777423737E-2</v>
      </c>
    </row>
    <row r="16" spans="1:25">
      <c r="A16" s="75">
        <v>11</v>
      </c>
      <c r="B16" s="122" t="s">
        <v>33</v>
      </c>
      <c r="C16" s="123" t="s">
        <v>34</v>
      </c>
      <c r="D16" s="2">
        <v>1605552026.46</v>
      </c>
      <c r="E16" s="3">
        <f t="shared" si="0"/>
        <v>5.7837378702250711E-2</v>
      </c>
      <c r="F16" s="4">
        <v>3.25</v>
      </c>
      <c r="G16" s="4">
        <v>3.32</v>
      </c>
      <c r="H16" s="60">
        <v>3669</v>
      </c>
      <c r="I16" s="5">
        <v>-2.9399999999999999E-2</v>
      </c>
      <c r="J16" s="5">
        <v>0.17319999999999999</v>
      </c>
      <c r="K16" s="2">
        <v>1547168623.72</v>
      </c>
      <c r="L16" s="3">
        <f t="shared" si="1"/>
        <v>5.8225304654615957E-2</v>
      </c>
      <c r="M16" s="4">
        <v>3.14</v>
      </c>
      <c r="N16" s="4">
        <v>3.19</v>
      </c>
      <c r="O16" s="60">
        <v>3669</v>
      </c>
      <c r="P16" s="5">
        <v>-4.53E-2</v>
      </c>
      <c r="Q16" s="5">
        <v>0.13070000000000001</v>
      </c>
      <c r="R16" s="80">
        <f t="shared" si="2"/>
        <v>-3.6363444957138266E-2</v>
      </c>
      <c r="S16" s="80">
        <f t="shared" si="3"/>
        <v>-3.9156626506024063E-2</v>
      </c>
      <c r="T16" s="80">
        <f t="shared" si="4"/>
        <v>0</v>
      </c>
      <c r="U16" s="81">
        <f t="shared" si="5"/>
        <v>-1.5900000000000001E-2</v>
      </c>
      <c r="V16" s="83">
        <f t="shared" si="6"/>
        <v>-4.2499999999999982E-2</v>
      </c>
    </row>
    <row r="17" spans="1:22">
      <c r="A17" s="75">
        <v>12</v>
      </c>
      <c r="B17" s="122" t="s">
        <v>35</v>
      </c>
      <c r="C17" s="123" t="s">
        <v>36</v>
      </c>
      <c r="D17" s="4">
        <v>628334448.41999996</v>
      </c>
      <c r="E17" s="3">
        <f t="shared" si="0"/>
        <v>2.2634718057106037E-2</v>
      </c>
      <c r="F17" s="4">
        <v>19.570893999999999</v>
      </c>
      <c r="G17" s="4">
        <v>19.701688999999998</v>
      </c>
      <c r="H17" s="60">
        <v>329</v>
      </c>
      <c r="I17" s="5">
        <v>5.7579970039338679E-3</v>
      </c>
      <c r="J17" s="5">
        <v>6.5971237085084677E-2</v>
      </c>
      <c r="K17" s="4">
        <v>574180571.06000006</v>
      </c>
      <c r="L17" s="3">
        <f t="shared" si="1"/>
        <v>2.1608400121472617E-2</v>
      </c>
      <c r="M17" s="4">
        <v>18.926822999999999</v>
      </c>
      <c r="N17" s="4">
        <v>19.068066000000002</v>
      </c>
      <c r="O17" s="60">
        <v>327</v>
      </c>
      <c r="P17" s="5">
        <v>-3.290963611575437E-2</v>
      </c>
      <c r="Q17" s="5">
        <v>3.0890511562754019E-2</v>
      </c>
      <c r="R17" s="80">
        <f t="shared" si="2"/>
        <v>-8.6186389264784696E-2</v>
      </c>
      <c r="S17" s="80">
        <f t="shared" si="3"/>
        <v>-3.2160846717253354E-2</v>
      </c>
      <c r="T17" s="80">
        <f t="shared" si="4"/>
        <v>-6.0790273556231003E-3</v>
      </c>
      <c r="U17" s="81">
        <f t="shared" si="5"/>
        <v>-3.8667633119688238E-2</v>
      </c>
      <c r="V17" s="83">
        <f t="shared" si="6"/>
        <v>-3.5080725522330658E-2</v>
      </c>
    </row>
    <row r="18" spans="1:22">
      <c r="A18" s="75">
        <v>13</v>
      </c>
      <c r="B18" s="122" t="s">
        <v>37</v>
      </c>
      <c r="C18" s="123" t="s">
        <v>38</v>
      </c>
      <c r="D18" s="4">
        <v>326624456.25</v>
      </c>
      <c r="E18" s="3">
        <f t="shared" si="0"/>
        <v>1.1766110383355188E-2</v>
      </c>
      <c r="F18" s="4">
        <v>2.35</v>
      </c>
      <c r="G18" s="4">
        <v>2.38</v>
      </c>
      <c r="H18" s="60">
        <v>20</v>
      </c>
      <c r="I18" s="5">
        <v>4.8000000000000001E-2</v>
      </c>
      <c r="J18" s="5">
        <v>8.9499999999999996E-2</v>
      </c>
      <c r="K18" s="4">
        <v>325587071.79000002</v>
      </c>
      <c r="L18" s="3">
        <f t="shared" si="1"/>
        <v>1.2252967230550494E-2</v>
      </c>
      <c r="M18" s="4">
        <v>2.3412449999999998</v>
      </c>
      <c r="N18" s="4">
        <v>2.374701</v>
      </c>
      <c r="O18" s="60">
        <v>20</v>
      </c>
      <c r="P18" s="5">
        <v>3.0000000000000001E-3</v>
      </c>
      <c r="Q18" s="5">
        <v>8.6300000000000002E-2</v>
      </c>
      <c r="R18" s="80">
        <f t="shared" si="2"/>
        <v>-3.1760771128722808E-3</v>
      </c>
      <c r="S18" s="80">
        <f t="shared" si="3"/>
        <v>-2.2264705882352703E-3</v>
      </c>
      <c r="T18" s="80">
        <f t="shared" si="4"/>
        <v>0</v>
      </c>
      <c r="U18" s="81">
        <f t="shared" si="5"/>
        <v>-4.4999999999999998E-2</v>
      </c>
      <c r="V18" s="83">
        <f t="shared" si="6"/>
        <v>-3.1999999999999945E-3</v>
      </c>
    </row>
    <row r="19" spans="1:22">
      <c r="A19" s="75">
        <v>14</v>
      </c>
      <c r="B19" s="122" t="s">
        <v>39</v>
      </c>
      <c r="C19" s="123" t="s">
        <v>40</v>
      </c>
      <c r="D19" s="2">
        <v>1206117276.6199999</v>
      </c>
      <c r="E19" s="3">
        <f t="shared" si="0"/>
        <v>4.3448396898732415E-2</v>
      </c>
      <c r="F19" s="4">
        <v>25.8</v>
      </c>
      <c r="G19" s="4">
        <v>26.37</v>
      </c>
      <c r="H19" s="60">
        <v>8834</v>
      </c>
      <c r="I19" s="5">
        <v>-3.6200000000000003E-2</v>
      </c>
      <c r="J19" s="5">
        <v>2.6100000000000002E-2</v>
      </c>
      <c r="K19" s="2">
        <v>1149756132.47</v>
      </c>
      <c r="L19" s="3">
        <f t="shared" si="1"/>
        <v>4.3269298553002544E-2</v>
      </c>
      <c r="M19" s="4">
        <v>24.52</v>
      </c>
      <c r="N19" s="4">
        <v>25.06</v>
      </c>
      <c r="O19" s="60">
        <v>8834</v>
      </c>
      <c r="P19" s="5">
        <v>-8.3099999999999993E-2</v>
      </c>
      <c r="Q19" s="5">
        <v>-2.4899999999999999E-2</v>
      </c>
      <c r="R19" s="80">
        <f t="shared" si="2"/>
        <v>-4.6729406204963131E-2</v>
      </c>
      <c r="S19" s="80">
        <f t="shared" si="3"/>
        <v>-4.9677664012135088E-2</v>
      </c>
      <c r="T19" s="80">
        <f t="shared" si="4"/>
        <v>0</v>
      </c>
      <c r="U19" s="81">
        <f t="shared" si="5"/>
        <v>-4.689999999999999E-2</v>
      </c>
      <c r="V19" s="83">
        <f t="shared" si="6"/>
        <v>-5.1000000000000004E-2</v>
      </c>
    </row>
    <row r="20" spans="1:22" ht="12.75" customHeight="1">
      <c r="A20" s="75">
        <v>15</v>
      </c>
      <c r="B20" s="122" t="s">
        <v>41</v>
      </c>
      <c r="C20" s="123" t="s">
        <v>42</v>
      </c>
      <c r="D20" s="2">
        <v>601094236.33000004</v>
      </c>
      <c r="E20" s="3">
        <f t="shared" si="0"/>
        <v>2.1653434089589457E-2</v>
      </c>
      <c r="F20" s="4">
        <v>5769.21</v>
      </c>
      <c r="G20" s="4">
        <v>5839.68</v>
      </c>
      <c r="H20" s="60">
        <v>22</v>
      </c>
      <c r="I20" s="5">
        <v>-2.3199999999999998E-2</v>
      </c>
      <c r="J20" s="5">
        <v>7.1999999999999995E-2</v>
      </c>
      <c r="K20" s="2">
        <v>577181912.85000002</v>
      </c>
      <c r="L20" s="3">
        <f t="shared" si="1"/>
        <v>2.1721350990186072E-2</v>
      </c>
      <c r="M20" s="4">
        <v>5540.73</v>
      </c>
      <c r="N20" s="4">
        <v>5606.67</v>
      </c>
      <c r="O20" s="60">
        <v>22</v>
      </c>
      <c r="P20" s="5">
        <v>-3.9899999999999998E-2</v>
      </c>
      <c r="Q20" s="5">
        <v>2.92E-2</v>
      </c>
      <c r="R20" s="80">
        <f t="shared" si="2"/>
        <v>-3.978132218667986E-2</v>
      </c>
      <c r="S20" s="80">
        <f t="shared" si="3"/>
        <v>-3.9901158967614696E-2</v>
      </c>
      <c r="T20" s="80">
        <f t="shared" si="4"/>
        <v>0</v>
      </c>
      <c r="U20" s="81">
        <f t="shared" si="5"/>
        <v>-1.67E-2</v>
      </c>
      <c r="V20" s="83">
        <f t="shared" si="6"/>
        <v>-4.2799999999999991E-2</v>
      </c>
    </row>
    <row r="21" spans="1:22">
      <c r="A21" s="75">
        <v>16</v>
      </c>
      <c r="B21" s="122" t="s">
        <v>43</v>
      </c>
      <c r="C21" s="123" t="s">
        <v>42</v>
      </c>
      <c r="D21" s="4">
        <v>11234384823.559999</v>
      </c>
      <c r="E21" s="3">
        <f t="shared" si="0"/>
        <v>0.40470028925795493</v>
      </c>
      <c r="F21" s="4">
        <v>18712.72</v>
      </c>
      <c r="G21" s="4">
        <v>18967.830000000002</v>
      </c>
      <c r="H21" s="60">
        <v>17934</v>
      </c>
      <c r="I21" s="5">
        <v>-2.92E-2</v>
      </c>
      <c r="J21" s="5">
        <v>3.2899999999999999E-2</v>
      </c>
      <c r="K21" s="4">
        <v>10631065447.629999</v>
      </c>
      <c r="L21" s="3">
        <f t="shared" si="1"/>
        <v>0.40008374976161698</v>
      </c>
      <c r="M21" s="4">
        <v>17809.830000000002</v>
      </c>
      <c r="N21" s="4">
        <v>18043.87</v>
      </c>
      <c r="O21" s="60">
        <v>17388</v>
      </c>
      <c r="P21" s="5">
        <v>-4.87E-2</v>
      </c>
      <c r="Q21" s="5">
        <v>-1.7399999999999999E-2</v>
      </c>
      <c r="R21" s="80">
        <f t="shared" si="2"/>
        <v>-5.3702929479926602E-2</v>
      </c>
      <c r="S21" s="80">
        <f t="shared" si="3"/>
        <v>-4.871195070812015E-2</v>
      </c>
      <c r="T21" s="80">
        <f t="shared" si="4"/>
        <v>-3.0444964871194378E-2</v>
      </c>
      <c r="U21" s="81">
        <f t="shared" si="5"/>
        <v>-1.95E-2</v>
      </c>
      <c r="V21" s="83">
        <f t="shared" si="6"/>
        <v>-5.0299999999999997E-2</v>
      </c>
    </row>
    <row r="22" spans="1:22">
      <c r="A22" s="75">
        <v>17</v>
      </c>
      <c r="B22" s="123" t="s">
        <v>44</v>
      </c>
      <c r="C22" s="123" t="s">
        <v>45</v>
      </c>
      <c r="D22" s="4">
        <v>3045227195.02</v>
      </c>
      <c r="E22" s="3">
        <f t="shared" si="0"/>
        <v>0.10969931563108545</v>
      </c>
      <c r="F22" s="4">
        <v>1.4846999999999999</v>
      </c>
      <c r="G22" s="8">
        <v>1.5008999999999999</v>
      </c>
      <c r="H22" s="60">
        <v>3253</v>
      </c>
      <c r="I22" s="5">
        <v>-1.7000000000000001E-2</v>
      </c>
      <c r="J22" s="5">
        <v>9.2499999999999999E-2</v>
      </c>
      <c r="K22" s="4">
        <v>3053560862.5</v>
      </c>
      <c r="L22" s="3">
        <f t="shared" si="1"/>
        <v>0.11491605295936434</v>
      </c>
      <c r="M22" s="4">
        <v>1.4898</v>
      </c>
      <c r="N22" s="8">
        <v>1.5054000000000001</v>
      </c>
      <c r="O22" s="60">
        <v>3757</v>
      </c>
      <c r="P22" s="5">
        <v>3.3999999999999998E-3</v>
      </c>
      <c r="Q22" s="5">
        <v>9.6199999999999994E-2</v>
      </c>
      <c r="R22" s="80">
        <f t="shared" si="2"/>
        <v>2.7366324238889132E-3</v>
      </c>
      <c r="S22" s="80">
        <f t="shared" si="3"/>
        <v>2.9982010793525023E-3</v>
      </c>
      <c r="T22" s="80">
        <f t="shared" si="4"/>
        <v>0.15493390716261912</v>
      </c>
      <c r="U22" s="81">
        <f t="shared" si="5"/>
        <v>2.0400000000000001E-2</v>
      </c>
      <c r="V22" s="83">
        <f t="shared" si="6"/>
        <v>3.699999999999995E-3</v>
      </c>
    </row>
    <row r="23" spans="1:22">
      <c r="A23" s="75"/>
      <c r="B23" s="19"/>
      <c r="C23" s="71" t="s">
        <v>46</v>
      </c>
      <c r="D23" s="58">
        <f>SUM(D6:D22)</f>
        <v>27759764748.77</v>
      </c>
      <c r="E23" s="100">
        <f>(D23/$D$188)</f>
        <v>1.1036268110932942E-2</v>
      </c>
      <c r="F23" s="30"/>
      <c r="G23" s="31"/>
      <c r="H23" s="65">
        <f>SUM(H6:H22)</f>
        <v>49499</v>
      </c>
      <c r="I23" s="28"/>
      <c r="J23" s="60">
        <v>0</v>
      </c>
      <c r="K23" s="58">
        <f>SUM(K6:K22)</f>
        <v>26572100101.452099</v>
      </c>
      <c r="L23" s="100">
        <f>(K23/$K$188)</f>
        <v>1.0583129744975129E-2</v>
      </c>
      <c r="M23" s="30"/>
      <c r="N23" s="31"/>
      <c r="O23" s="65">
        <f>SUM(O6:O22)</f>
        <v>49441</v>
      </c>
      <c r="P23" s="28"/>
      <c r="Q23" s="65"/>
      <c r="R23" s="80">
        <f t="shared" si="2"/>
        <v>-4.2783671189811703E-2</v>
      </c>
      <c r="S23" s="80" t="e">
        <f t="shared" si="3"/>
        <v>#DIV/0!</v>
      </c>
      <c r="T23" s="80">
        <f t="shared" si="4"/>
        <v>-1.1717408432493585E-3</v>
      </c>
      <c r="U23" s="81">
        <f t="shared" si="5"/>
        <v>0</v>
      </c>
      <c r="V23" s="83">
        <f t="shared" si="6"/>
        <v>0</v>
      </c>
    </row>
    <row r="24" spans="1:22" ht="9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</row>
    <row r="25" spans="1:22" ht="15" customHeight="1">
      <c r="A25" s="165" t="s">
        <v>47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2">
      <c r="A26" s="75">
        <v>18</v>
      </c>
      <c r="B26" s="122" t="s">
        <v>48</v>
      </c>
      <c r="C26" s="123" t="s">
        <v>17</v>
      </c>
      <c r="D26" s="9">
        <v>864367036.11000001</v>
      </c>
      <c r="E26" s="3">
        <f>(D26/$K$57)</f>
        <v>9.2624678556662958E-4</v>
      </c>
      <c r="F26" s="8">
        <v>100</v>
      </c>
      <c r="G26" s="8">
        <v>100</v>
      </c>
      <c r="H26" s="60">
        <v>773</v>
      </c>
      <c r="I26" s="5">
        <v>0.16719999999999999</v>
      </c>
      <c r="J26" s="5">
        <v>0.16719999999999999</v>
      </c>
      <c r="K26" s="9">
        <v>910426954.83000004</v>
      </c>
      <c r="L26" s="3">
        <f t="shared" ref="L26:L56" si="12">(K26/$K$57)</f>
        <v>9.7560411859249361E-4</v>
      </c>
      <c r="M26" s="8">
        <v>100</v>
      </c>
      <c r="N26" s="8">
        <v>100</v>
      </c>
      <c r="O26" s="60">
        <v>773</v>
      </c>
      <c r="P26" s="5">
        <v>0.14649999999999999</v>
      </c>
      <c r="Q26" s="5">
        <v>0.14649999999999999</v>
      </c>
      <c r="R26" s="80">
        <f>((K26-D26)/D26)</f>
        <v>5.3287454051103363E-2</v>
      </c>
      <c r="S26" s="80">
        <f>((N26-G26)/G26)</f>
        <v>0</v>
      </c>
      <c r="T26" s="80">
        <f>((O26-H26)/H26)</f>
        <v>0</v>
      </c>
      <c r="U26" s="81">
        <f>P26-I26</f>
        <v>-2.0699999999999996E-2</v>
      </c>
      <c r="V26" s="83">
        <f>Q26-J26</f>
        <v>-2.0699999999999996E-2</v>
      </c>
    </row>
    <row r="27" spans="1:22">
      <c r="A27" s="75">
        <v>19</v>
      </c>
      <c r="B27" s="122" t="s">
        <v>49</v>
      </c>
      <c r="C27" s="123" t="s">
        <v>50</v>
      </c>
      <c r="D27" s="9">
        <v>5000003286.7700005</v>
      </c>
      <c r="E27" s="3">
        <f t="shared" ref="E27:E56" si="13">(D27/$K$57)</f>
        <v>5.3579518638699232E-3</v>
      </c>
      <c r="F27" s="8">
        <v>100</v>
      </c>
      <c r="G27" s="8">
        <v>100</v>
      </c>
      <c r="H27" s="60">
        <v>1386</v>
      </c>
      <c r="I27" s="5">
        <v>0.1532</v>
      </c>
      <c r="J27" s="5">
        <v>0.1532</v>
      </c>
      <c r="K27" s="9">
        <v>5157172113.0600004</v>
      </c>
      <c r="L27" s="3">
        <f t="shared" si="12"/>
        <v>5.5263723543105912E-3</v>
      </c>
      <c r="M27" s="8">
        <v>100</v>
      </c>
      <c r="N27" s="8">
        <v>100</v>
      </c>
      <c r="O27" s="60">
        <v>1395</v>
      </c>
      <c r="P27" s="5">
        <v>5.8E-4</v>
      </c>
      <c r="Q27" s="5">
        <v>2.7682999999999999E-2</v>
      </c>
      <c r="R27" s="80">
        <f t="shared" ref="R27:R57" si="14">((K27-D27)/D27)</f>
        <v>3.1433744594902245E-2</v>
      </c>
      <c r="S27" s="80">
        <f t="shared" ref="S27:S57" si="15">((N27-G27)/G27)</f>
        <v>0</v>
      </c>
      <c r="T27" s="80">
        <f t="shared" ref="T27:T57" si="16">((O27-H27)/H27)</f>
        <v>6.4935064935064939E-3</v>
      </c>
      <c r="U27" s="81">
        <f t="shared" ref="U27:U57" si="17">P27-I27</f>
        <v>-0.15262000000000001</v>
      </c>
      <c r="V27" s="83">
        <f t="shared" ref="V27:V57" si="18">Q27-J27</f>
        <v>-0.12551699999999999</v>
      </c>
    </row>
    <row r="28" spans="1:22">
      <c r="A28" s="75">
        <v>20</v>
      </c>
      <c r="B28" s="122" t="s">
        <v>51</v>
      </c>
      <c r="C28" s="123" t="s">
        <v>19</v>
      </c>
      <c r="D28" s="9">
        <v>341111635.82999998</v>
      </c>
      <c r="E28" s="3">
        <f t="shared" si="13"/>
        <v>3.655317047128851E-4</v>
      </c>
      <c r="F28" s="8">
        <v>100</v>
      </c>
      <c r="G28" s="8">
        <v>100</v>
      </c>
      <c r="H28" s="60">
        <v>1402</v>
      </c>
      <c r="I28" s="5">
        <v>0.1244</v>
      </c>
      <c r="J28" s="5">
        <v>0.1244</v>
      </c>
      <c r="K28" s="9">
        <v>341538971.19999999</v>
      </c>
      <c r="L28" s="3">
        <f t="shared" si="12"/>
        <v>3.6598963288030203E-4</v>
      </c>
      <c r="M28" s="8">
        <v>100</v>
      </c>
      <c r="N28" s="8">
        <v>100</v>
      </c>
      <c r="O28" s="60">
        <v>1403</v>
      </c>
      <c r="P28" s="5">
        <v>0.13880000000000001</v>
      </c>
      <c r="Q28" s="5">
        <v>0.13880000000000001</v>
      </c>
      <c r="R28" s="80">
        <f t="shared" si="14"/>
        <v>1.2527727732306855E-3</v>
      </c>
      <c r="S28" s="80">
        <f t="shared" si="15"/>
        <v>0</v>
      </c>
      <c r="T28" s="80">
        <f t="shared" si="16"/>
        <v>7.1326676176890159E-4</v>
      </c>
      <c r="U28" s="81">
        <f t="shared" si="17"/>
        <v>1.440000000000001E-2</v>
      </c>
      <c r="V28" s="83">
        <f t="shared" si="18"/>
        <v>1.440000000000001E-2</v>
      </c>
    </row>
    <row r="29" spans="1:22">
      <c r="A29" s="75">
        <v>21</v>
      </c>
      <c r="B29" s="122" t="s">
        <v>52</v>
      </c>
      <c r="C29" s="123" t="s">
        <v>21</v>
      </c>
      <c r="D29" s="9">
        <v>86107272807.619995</v>
      </c>
      <c r="E29" s="3">
        <f t="shared" si="13"/>
        <v>9.2271663911321342E-2</v>
      </c>
      <c r="F29" s="8">
        <v>1</v>
      </c>
      <c r="G29" s="8">
        <v>1</v>
      </c>
      <c r="H29" s="60">
        <v>57030</v>
      </c>
      <c r="I29" s="5">
        <v>0.1229</v>
      </c>
      <c r="J29" s="5">
        <v>0.1229</v>
      </c>
      <c r="K29" s="9">
        <v>85829820994.330002</v>
      </c>
      <c r="L29" s="3">
        <f t="shared" si="12"/>
        <v>9.1974349414731968E-2</v>
      </c>
      <c r="M29" s="8">
        <v>1</v>
      </c>
      <c r="N29" s="8">
        <v>1</v>
      </c>
      <c r="O29" s="60">
        <v>57154</v>
      </c>
      <c r="P29" s="5">
        <v>0.13200000000000001</v>
      </c>
      <c r="Q29" s="5">
        <v>0.13200000000000001</v>
      </c>
      <c r="R29" s="80">
        <f t="shared" si="14"/>
        <v>-3.2221646818367286E-3</v>
      </c>
      <c r="S29" s="80">
        <f t="shared" si="15"/>
        <v>0</v>
      </c>
      <c r="T29" s="80">
        <f t="shared" si="16"/>
        <v>2.174294231106435E-3</v>
      </c>
      <c r="U29" s="81">
        <f t="shared" si="17"/>
        <v>9.1000000000000109E-3</v>
      </c>
      <c r="V29" s="83">
        <f t="shared" si="18"/>
        <v>9.1000000000000109E-3</v>
      </c>
    </row>
    <row r="30" spans="1:22">
      <c r="A30" s="75">
        <v>22</v>
      </c>
      <c r="B30" s="122" t="s">
        <v>53</v>
      </c>
      <c r="C30" s="123" t="s">
        <v>23</v>
      </c>
      <c r="D30" s="9">
        <v>48970464033.760002</v>
      </c>
      <c r="E30" s="3">
        <f t="shared" si="13"/>
        <v>5.2476243313383436E-2</v>
      </c>
      <c r="F30" s="8">
        <v>1</v>
      </c>
      <c r="G30" s="8">
        <v>1</v>
      </c>
      <c r="H30" s="60">
        <v>27177</v>
      </c>
      <c r="I30" s="5">
        <v>0.16800000000000001</v>
      </c>
      <c r="J30" s="5">
        <v>0.16800000000000001</v>
      </c>
      <c r="K30" s="9">
        <v>48044292382.800003</v>
      </c>
      <c r="L30" s="3">
        <f t="shared" si="12"/>
        <v>5.1483767341086561E-2</v>
      </c>
      <c r="M30" s="8">
        <v>1</v>
      </c>
      <c r="N30" s="8">
        <v>1</v>
      </c>
      <c r="O30" s="60">
        <v>27226</v>
      </c>
      <c r="P30" s="5">
        <v>0.16350000000000001</v>
      </c>
      <c r="Q30" s="5">
        <v>0.16350000000000001</v>
      </c>
      <c r="R30" s="80">
        <f t="shared" si="14"/>
        <v>-1.891286246177902E-2</v>
      </c>
      <c r="S30" s="80">
        <f t="shared" si="15"/>
        <v>0</v>
      </c>
      <c r="T30" s="80">
        <f t="shared" si="16"/>
        <v>1.8029951797475807E-3</v>
      </c>
      <c r="U30" s="81">
        <f t="shared" si="17"/>
        <v>-4.500000000000004E-3</v>
      </c>
      <c r="V30" s="83">
        <f t="shared" si="18"/>
        <v>-4.500000000000004E-3</v>
      </c>
    </row>
    <row r="31" spans="1:22" ht="15" customHeight="1">
      <c r="A31" s="75">
        <v>23</v>
      </c>
      <c r="B31" s="122" t="s">
        <v>54</v>
      </c>
      <c r="C31" s="123" t="s">
        <v>40</v>
      </c>
      <c r="D31" s="9">
        <v>8585258545.0200005</v>
      </c>
      <c r="E31" s="3">
        <f t="shared" si="13"/>
        <v>9.1998743570448106E-3</v>
      </c>
      <c r="F31" s="8">
        <v>100</v>
      </c>
      <c r="G31" s="8">
        <v>100</v>
      </c>
      <c r="H31" s="60">
        <v>2891</v>
      </c>
      <c r="I31" s="5">
        <v>0.16900000000000001</v>
      </c>
      <c r="J31" s="5">
        <v>0.16900000000000001</v>
      </c>
      <c r="K31" s="9">
        <v>8386292588</v>
      </c>
      <c r="L31" s="3">
        <f t="shared" si="12"/>
        <v>8.9866644931467718E-3</v>
      </c>
      <c r="M31" s="8">
        <v>100</v>
      </c>
      <c r="N31" s="8">
        <v>100</v>
      </c>
      <c r="O31" s="60">
        <v>2891</v>
      </c>
      <c r="P31" s="5">
        <v>0.182</v>
      </c>
      <c r="Q31" s="5">
        <v>0.182</v>
      </c>
      <c r="R31" s="80">
        <f t="shared" si="14"/>
        <v>-2.3175301707764346E-2</v>
      </c>
      <c r="S31" s="80">
        <f t="shared" si="15"/>
        <v>0</v>
      </c>
      <c r="T31" s="80">
        <f t="shared" si="16"/>
        <v>0</v>
      </c>
      <c r="U31" s="81">
        <f t="shared" si="17"/>
        <v>1.2999999999999984E-2</v>
      </c>
      <c r="V31" s="83">
        <f t="shared" si="18"/>
        <v>1.2999999999999984E-2</v>
      </c>
    </row>
    <row r="32" spans="1:22">
      <c r="A32" s="75">
        <v>24</v>
      </c>
      <c r="B32" s="122" t="s">
        <v>55</v>
      </c>
      <c r="C32" s="123" t="s">
        <v>56</v>
      </c>
      <c r="D32" s="9">
        <v>15063959978.420002</v>
      </c>
      <c r="E32" s="3">
        <f t="shared" si="13"/>
        <v>1.6142383877466863E-2</v>
      </c>
      <c r="F32" s="8">
        <v>100</v>
      </c>
      <c r="G32" s="8">
        <v>100</v>
      </c>
      <c r="H32" s="60">
        <v>2117</v>
      </c>
      <c r="I32" s="5">
        <v>0.16262756665016401</v>
      </c>
      <c r="J32" s="5">
        <v>0.16262756665016401</v>
      </c>
      <c r="K32" s="9">
        <v>15706837640.119999</v>
      </c>
      <c r="L32" s="3">
        <f t="shared" si="12"/>
        <v>1.6831284937764163E-2</v>
      </c>
      <c r="M32" s="8">
        <v>100</v>
      </c>
      <c r="N32" s="8">
        <v>100</v>
      </c>
      <c r="O32" s="60">
        <v>2148</v>
      </c>
      <c r="P32" s="5">
        <v>0.18598210745479399</v>
      </c>
      <c r="Q32" s="5">
        <v>0.18598210745479399</v>
      </c>
      <c r="R32" s="80">
        <f t="shared" si="14"/>
        <v>4.2676538083011147E-2</v>
      </c>
      <c r="S32" s="80">
        <f t="shared" si="15"/>
        <v>0</v>
      </c>
      <c r="T32" s="80">
        <f t="shared" si="16"/>
        <v>1.4643363249881908E-2</v>
      </c>
      <c r="U32" s="81">
        <f t="shared" si="17"/>
        <v>2.3354540804629981E-2</v>
      </c>
      <c r="V32" s="83">
        <f t="shared" si="18"/>
        <v>2.3354540804629981E-2</v>
      </c>
    </row>
    <row r="33" spans="1:22">
      <c r="A33" s="75">
        <v>25</v>
      </c>
      <c r="B33" s="122" t="s">
        <v>57</v>
      </c>
      <c r="C33" s="123" t="s">
        <v>58</v>
      </c>
      <c r="D33" s="9">
        <v>5764316874.5600004</v>
      </c>
      <c r="E33" s="3">
        <f t="shared" si="13"/>
        <v>6.1769824079330269E-3</v>
      </c>
      <c r="F33" s="8">
        <v>100</v>
      </c>
      <c r="G33" s="8">
        <v>100</v>
      </c>
      <c r="H33" s="60">
        <v>5884</v>
      </c>
      <c r="I33" s="5">
        <v>0.15429999999999999</v>
      </c>
      <c r="J33" s="5">
        <v>0.15429999999999999</v>
      </c>
      <c r="K33" s="9">
        <v>6246515300.2700005</v>
      </c>
      <c r="L33" s="3">
        <f t="shared" si="12"/>
        <v>6.6937012590234301E-3</v>
      </c>
      <c r="M33" s="8">
        <v>100</v>
      </c>
      <c r="N33" s="8">
        <v>100</v>
      </c>
      <c r="O33" s="60">
        <v>5900</v>
      </c>
      <c r="P33" s="5">
        <v>0.1618</v>
      </c>
      <c r="Q33" s="5">
        <v>0.1618</v>
      </c>
      <c r="R33" s="80">
        <f t="shared" si="14"/>
        <v>8.3652310621248949E-2</v>
      </c>
      <c r="S33" s="80">
        <f t="shared" si="15"/>
        <v>0</v>
      </c>
      <c r="T33" s="80">
        <f t="shared" si="16"/>
        <v>2.7192386131883071E-3</v>
      </c>
      <c r="U33" s="81">
        <f t="shared" si="17"/>
        <v>7.5000000000000067E-3</v>
      </c>
      <c r="V33" s="83">
        <f t="shared" si="18"/>
        <v>7.5000000000000067E-3</v>
      </c>
    </row>
    <row r="34" spans="1:22">
      <c r="A34" s="75">
        <v>26</v>
      </c>
      <c r="B34" s="122" t="s">
        <v>59</v>
      </c>
      <c r="C34" s="123" t="s">
        <v>60</v>
      </c>
      <c r="D34" s="9">
        <v>44514190.369999997</v>
      </c>
      <c r="E34" s="3">
        <f t="shared" si="13"/>
        <v>4.7700946495912429E-5</v>
      </c>
      <c r="F34" s="8">
        <v>100</v>
      </c>
      <c r="G34" s="8">
        <v>100</v>
      </c>
      <c r="H34" s="60">
        <v>0</v>
      </c>
      <c r="I34" s="5">
        <v>0</v>
      </c>
      <c r="J34" s="5">
        <v>0</v>
      </c>
      <c r="K34" s="9">
        <v>44514190.369999997</v>
      </c>
      <c r="L34" s="3">
        <f t="shared" si="12"/>
        <v>4.7700946495912429E-5</v>
      </c>
      <c r="M34" s="8">
        <v>100</v>
      </c>
      <c r="N34" s="8">
        <v>100</v>
      </c>
      <c r="O34" s="60">
        <v>0</v>
      </c>
      <c r="P34" s="5">
        <v>0</v>
      </c>
      <c r="Q34" s="5">
        <v>0</v>
      </c>
      <c r="R34" s="80">
        <f t="shared" si="14"/>
        <v>0</v>
      </c>
      <c r="S34" s="80">
        <f t="shared" si="15"/>
        <v>0</v>
      </c>
      <c r="T34" s="80" t="e">
        <f t="shared" si="16"/>
        <v>#DIV/0!</v>
      </c>
      <c r="U34" s="81">
        <f t="shared" si="17"/>
        <v>0</v>
      </c>
      <c r="V34" s="83">
        <f t="shared" si="18"/>
        <v>0</v>
      </c>
    </row>
    <row r="35" spans="1:22">
      <c r="A35" s="75">
        <v>27</v>
      </c>
      <c r="B35" s="122" t="s">
        <v>61</v>
      </c>
      <c r="C35" s="123" t="s">
        <v>62</v>
      </c>
      <c r="D35" s="9">
        <v>5284451808.2200003</v>
      </c>
      <c r="E35" s="3">
        <f t="shared" si="13"/>
        <v>5.6627639606360858E-3</v>
      </c>
      <c r="F35" s="8">
        <v>1</v>
      </c>
      <c r="G35" s="8">
        <v>1</v>
      </c>
      <c r="H35" s="60">
        <v>2181</v>
      </c>
      <c r="I35" s="5">
        <v>0.15</v>
      </c>
      <c r="J35" s="5">
        <v>0.15</v>
      </c>
      <c r="K35" s="9">
        <v>5336025855</v>
      </c>
      <c r="L35" s="3">
        <f t="shared" si="12"/>
        <v>5.7180301763210609E-3</v>
      </c>
      <c r="M35" s="8">
        <v>1</v>
      </c>
      <c r="N35" s="8">
        <v>1</v>
      </c>
      <c r="O35" s="60">
        <v>2184</v>
      </c>
      <c r="P35" s="5">
        <v>0.1593</v>
      </c>
      <c r="Q35" s="5">
        <v>0.1593</v>
      </c>
      <c r="R35" s="80">
        <f t="shared" si="14"/>
        <v>9.759583141580732E-3</v>
      </c>
      <c r="S35" s="80">
        <f t="shared" si="15"/>
        <v>0</v>
      </c>
      <c r="T35" s="80">
        <f t="shared" si="16"/>
        <v>1.375515818431912E-3</v>
      </c>
      <c r="U35" s="81">
        <f t="shared" si="17"/>
        <v>9.3000000000000027E-3</v>
      </c>
      <c r="V35" s="83">
        <f t="shared" si="18"/>
        <v>9.3000000000000027E-3</v>
      </c>
    </row>
    <row r="36" spans="1:22">
      <c r="A36" s="75">
        <v>28</v>
      </c>
      <c r="B36" s="122" t="s">
        <v>63</v>
      </c>
      <c r="C36" s="123" t="s">
        <v>64</v>
      </c>
      <c r="D36" s="9">
        <v>12581979352.809999</v>
      </c>
      <c r="E36" s="3">
        <f t="shared" si="13"/>
        <v>1.3482719081992925E-2</v>
      </c>
      <c r="F36" s="11">
        <v>100</v>
      </c>
      <c r="G36" s="11">
        <v>100</v>
      </c>
      <c r="H36" s="60">
        <v>2619</v>
      </c>
      <c r="I36" s="5">
        <v>0.16270000000000001</v>
      </c>
      <c r="J36" s="5">
        <v>0.16270000000000001</v>
      </c>
      <c r="K36" s="9">
        <v>12774090236.41</v>
      </c>
      <c r="L36" s="3">
        <f t="shared" si="12"/>
        <v>1.368858312003824E-2</v>
      </c>
      <c r="M36" s="11">
        <v>100</v>
      </c>
      <c r="N36" s="11">
        <v>100</v>
      </c>
      <c r="O36" s="60">
        <v>2619</v>
      </c>
      <c r="P36" s="5">
        <v>0.1515</v>
      </c>
      <c r="Q36" s="5">
        <v>0.1515</v>
      </c>
      <c r="R36" s="80">
        <f t="shared" si="14"/>
        <v>1.5268733019903998E-2</v>
      </c>
      <c r="S36" s="80">
        <f t="shared" si="15"/>
        <v>0</v>
      </c>
      <c r="T36" s="80">
        <f t="shared" si="16"/>
        <v>0</v>
      </c>
      <c r="U36" s="81">
        <f t="shared" si="17"/>
        <v>-1.1200000000000015E-2</v>
      </c>
      <c r="V36" s="83">
        <f t="shared" si="18"/>
        <v>-1.1200000000000015E-2</v>
      </c>
    </row>
    <row r="37" spans="1:22">
      <c r="A37" s="75">
        <v>29</v>
      </c>
      <c r="B37" s="122" t="s">
        <v>65</v>
      </c>
      <c r="C37" s="123" t="s">
        <v>64</v>
      </c>
      <c r="D37" s="9">
        <v>907154127.41999996</v>
      </c>
      <c r="E37" s="3">
        <f t="shared" si="13"/>
        <v>9.7209699055361134E-4</v>
      </c>
      <c r="F37" s="11">
        <v>1000000</v>
      </c>
      <c r="G37" s="11">
        <v>1000000</v>
      </c>
      <c r="H37" s="60">
        <v>5</v>
      </c>
      <c r="I37" s="5">
        <v>8.7999999999999995E-2</v>
      </c>
      <c r="J37" s="5">
        <v>8.7999999999999995E-2</v>
      </c>
      <c r="K37" s="9">
        <v>606805147.07000005</v>
      </c>
      <c r="L37" s="3">
        <f t="shared" si="12"/>
        <v>6.5024612630802171E-4</v>
      </c>
      <c r="M37" s="11">
        <v>1000000</v>
      </c>
      <c r="N37" s="11">
        <v>1000000</v>
      </c>
      <c r="O37" s="60">
        <v>5</v>
      </c>
      <c r="P37" s="5">
        <v>0.14879999999999999</v>
      </c>
      <c r="Q37" s="5">
        <v>0.14879999999999999</v>
      </c>
      <c r="R37" s="80">
        <f t="shared" si="14"/>
        <v>-0.33108925073648748</v>
      </c>
      <c r="S37" s="80">
        <f t="shared" si="15"/>
        <v>0</v>
      </c>
      <c r="T37" s="80">
        <f t="shared" si="16"/>
        <v>0</v>
      </c>
      <c r="U37" s="81">
        <f t="shared" si="17"/>
        <v>6.0799999999999993E-2</v>
      </c>
      <c r="V37" s="83">
        <f t="shared" si="18"/>
        <v>6.0799999999999993E-2</v>
      </c>
    </row>
    <row r="38" spans="1:22">
      <c r="A38" s="75">
        <v>30</v>
      </c>
      <c r="B38" s="122" t="s">
        <v>66</v>
      </c>
      <c r="C38" s="123" t="s">
        <v>67</v>
      </c>
      <c r="D38" s="9">
        <v>3420684499.8400002</v>
      </c>
      <c r="E38" s="3">
        <f t="shared" si="13"/>
        <v>3.6655701687485238E-3</v>
      </c>
      <c r="F38" s="8">
        <v>1</v>
      </c>
      <c r="G38" s="8">
        <v>1</v>
      </c>
      <c r="H38" s="60">
        <v>475</v>
      </c>
      <c r="I38" s="5">
        <v>0.1779</v>
      </c>
      <c r="J38" s="5">
        <v>0.1779</v>
      </c>
      <c r="K38" s="9">
        <v>3421110629.23</v>
      </c>
      <c r="L38" s="3">
        <f t="shared" si="12"/>
        <v>3.6660268046002325E-3</v>
      </c>
      <c r="M38" s="8">
        <v>1</v>
      </c>
      <c r="N38" s="8">
        <v>1</v>
      </c>
      <c r="O38" s="60">
        <v>480</v>
      </c>
      <c r="P38" s="5">
        <v>0.1807</v>
      </c>
      <c r="Q38" s="5">
        <v>0.1807</v>
      </c>
      <c r="R38" s="80">
        <f t="shared" si="14"/>
        <v>1.2457430377452183E-4</v>
      </c>
      <c r="S38" s="80">
        <f t="shared" si="15"/>
        <v>0</v>
      </c>
      <c r="T38" s="80">
        <f t="shared" si="16"/>
        <v>1.0526315789473684E-2</v>
      </c>
      <c r="U38" s="81">
        <f t="shared" si="17"/>
        <v>2.7999999999999969E-3</v>
      </c>
      <c r="V38" s="83">
        <f t="shared" si="18"/>
        <v>2.7999999999999969E-3</v>
      </c>
    </row>
    <row r="39" spans="1:22">
      <c r="A39" s="75">
        <v>31</v>
      </c>
      <c r="B39" s="122" t="s">
        <v>68</v>
      </c>
      <c r="C39" s="123" t="s">
        <v>27</v>
      </c>
      <c r="D39" s="9">
        <v>211881413626.12</v>
      </c>
      <c r="E39" s="3">
        <f t="shared" si="13"/>
        <v>0.22704993375931057</v>
      </c>
      <c r="F39" s="8">
        <v>100</v>
      </c>
      <c r="G39" s="8">
        <v>100</v>
      </c>
      <c r="H39" s="60">
        <v>14686</v>
      </c>
      <c r="I39" s="5">
        <v>0.16070000000000001</v>
      </c>
      <c r="J39" s="5">
        <v>0.16070000000000001</v>
      </c>
      <c r="K39" s="9">
        <v>210688346717.57999</v>
      </c>
      <c r="L39" s="3">
        <f t="shared" si="12"/>
        <v>0.22577145558645662</v>
      </c>
      <c r="M39" s="8">
        <v>100</v>
      </c>
      <c r="N39" s="8">
        <v>100</v>
      </c>
      <c r="O39" s="60">
        <v>14822</v>
      </c>
      <c r="P39" s="5">
        <v>0.16470000000000001</v>
      </c>
      <c r="Q39" s="5">
        <v>0.16470000000000001</v>
      </c>
      <c r="R39" s="80">
        <f t="shared" si="14"/>
        <v>-5.6308238090447185E-3</v>
      </c>
      <c r="S39" s="80">
        <f t="shared" si="15"/>
        <v>0</v>
      </c>
      <c r="T39" s="80">
        <f t="shared" si="16"/>
        <v>9.260520223341959E-3</v>
      </c>
      <c r="U39" s="81">
        <f t="shared" si="17"/>
        <v>4.0000000000000036E-3</v>
      </c>
      <c r="V39" s="83">
        <f t="shared" si="18"/>
        <v>4.0000000000000036E-3</v>
      </c>
    </row>
    <row r="40" spans="1:22">
      <c r="A40" s="75">
        <v>32</v>
      </c>
      <c r="B40" s="122" t="s">
        <v>69</v>
      </c>
      <c r="C40" s="123" t="s">
        <v>70</v>
      </c>
      <c r="D40" s="9">
        <v>288942217.19999999</v>
      </c>
      <c r="E40" s="3">
        <f t="shared" si="13"/>
        <v>3.0962749470461742E-4</v>
      </c>
      <c r="F40" s="8">
        <v>1</v>
      </c>
      <c r="G40" s="8">
        <v>1</v>
      </c>
      <c r="H40" s="61">
        <v>480</v>
      </c>
      <c r="I40" s="12">
        <v>0.1971</v>
      </c>
      <c r="J40" s="12">
        <v>0.1971</v>
      </c>
      <c r="K40" s="9">
        <v>291283559.27999997</v>
      </c>
      <c r="L40" s="3">
        <f t="shared" si="12"/>
        <v>3.1213645268764249E-4</v>
      </c>
      <c r="M40" s="8">
        <v>1</v>
      </c>
      <c r="N40" s="8">
        <v>1</v>
      </c>
      <c r="O40" s="61">
        <v>487</v>
      </c>
      <c r="P40" s="12">
        <v>0.1341</v>
      </c>
      <c r="Q40" s="12">
        <v>0.1341</v>
      </c>
      <c r="R40" s="80">
        <f t="shared" si="14"/>
        <v>8.1031498362849255E-3</v>
      </c>
      <c r="S40" s="80">
        <f t="shared" si="15"/>
        <v>0</v>
      </c>
      <c r="T40" s="80">
        <f t="shared" si="16"/>
        <v>1.4583333333333334E-2</v>
      </c>
      <c r="U40" s="81">
        <f t="shared" si="17"/>
        <v>-6.3E-2</v>
      </c>
      <c r="V40" s="83">
        <f t="shared" si="18"/>
        <v>-6.3E-2</v>
      </c>
    </row>
    <row r="41" spans="1:22">
      <c r="A41" s="75">
        <v>33</v>
      </c>
      <c r="B41" s="122" t="s">
        <v>71</v>
      </c>
      <c r="C41" s="123" t="s">
        <v>72</v>
      </c>
      <c r="D41" s="9">
        <v>643840626.97000003</v>
      </c>
      <c r="E41" s="3">
        <f t="shared" si="13"/>
        <v>6.8993296393162471E-4</v>
      </c>
      <c r="F41" s="8">
        <v>10</v>
      </c>
      <c r="G41" s="8">
        <v>10</v>
      </c>
      <c r="H41" s="60">
        <v>360</v>
      </c>
      <c r="I41" s="5">
        <v>0.1135</v>
      </c>
      <c r="J41" s="5">
        <v>0.1135</v>
      </c>
      <c r="K41" s="9">
        <v>641455921.9000001</v>
      </c>
      <c r="L41" s="3">
        <f t="shared" si="12"/>
        <v>6.8737753861652646E-4</v>
      </c>
      <c r="M41" s="8">
        <v>10</v>
      </c>
      <c r="N41" s="8">
        <v>10</v>
      </c>
      <c r="O41" s="60">
        <v>360</v>
      </c>
      <c r="P41" s="5">
        <v>0.10730000000000001</v>
      </c>
      <c r="Q41" s="5">
        <v>0.10730000000000001</v>
      </c>
      <c r="R41" s="80">
        <f t="shared" si="14"/>
        <v>-3.7038747946408317E-3</v>
      </c>
      <c r="S41" s="80">
        <f t="shared" si="15"/>
        <v>0</v>
      </c>
      <c r="T41" s="80">
        <f t="shared" si="16"/>
        <v>0</v>
      </c>
      <c r="U41" s="81">
        <f t="shared" si="17"/>
        <v>-6.1999999999999972E-3</v>
      </c>
      <c r="V41" s="83">
        <f t="shared" si="18"/>
        <v>-6.1999999999999972E-3</v>
      </c>
    </row>
    <row r="42" spans="1:22">
      <c r="A42" s="75">
        <v>34</v>
      </c>
      <c r="B42" s="122" t="s">
        <v>73</v>
      </c>
      <c r="C42" s="123" t="s">
        <v>74</v>
      </c>
      <c r="D42" s="9">
        <v>3206606127.0443931</v>
      </c>
      <c r="E42" s="3">
        <f t="shared" si="13"/>
        <v>3.4361659962413816E-3</v>
      </c>
      <c r="F42" s="8">
        <v>100</v>
      </c>
      <c r="G42" s="8">
        <v>100</v>
      </c>
      <c r="H42" s="60">
        <v>1417</v>
      </c>
      <c r="I42" s="5">
        <v>0.13869999999999999</v>
      </c>
      <c r="J42" s="5">
        <v>0.13869999999999999</v>
      </c>
      <c r="K42" s="9">
        <v>3128593368.2468262</v>
      </c>
      <c r="L42" s="3">
        <f t="shared" si="12"/>
        <v>3.3525683299136305E-3</v>
      </c>
      <c r="M42" s="8">
        <v>100</v>
      </c>
      <c r="N42" s="8">
        <v>100</v>
      </c>
      <c r="O42" s="60">
        <v>1417</v>
      </c>
      <c r="P42" s="5">
        <v>0.14392254895081885</v>
      </c>
      <c r="Q42" s="5">
        <v>0.14392254895081885</v>
      </c>
      <c r="R42" s="80">
        <f t="shared" si="14"/>
        <v>-2.4328762469331758E-2</v>
      </c>
      <c r="S42" s="80">
        <f t="shared" si="15"/>
        <v>0</v>
      </c>
      <c r="T42" s="80">
        <f t="shared" si="16"/>
        <v>0</v>
      </c>
      <c r="U42" s="81">
        <f t="shared" si="17"/>
        <v>5.2225489508188616E-3</v>
      </c>
      <c r="V42" s="83">
        <f t="shared" si="18"/>
        <v>5.2225489508188616E-3</v>
      </c>
    </row>
    <row r="43" spans="1:22" ht="15.75" customHeight="1">
      <c r="A43" s="75">
        <v>35</v>
      </c>
      <c r="B43" s="122" t="s">
        <v>239</v>
      </c>
      <c r="C43" s="123" t="s">
        <v>32</v>
      </c>
      <c r="D43" s="9">
        <v>20949508010.639999</v>
      </c>
      <c r="E43" s="3">
        <f t="shared" si="13"/>
        <v>2.2449276341431693E-2</v>
      </c>
      <c r="F43" s="8">
        <v>1</v>
      </c>
      <c r="G43" s="8">
        <v>1</v>
      </c>
      <c r="H43" s="60">
        <v>11785</v>
      </c>
      <c r="I43" s="5">
        <v>0.1550487958485933</v>
      </c>
      <c r="J43" s="5">
        <v>0.1550487958485933</v>
      </c>
      <c r="K43" s="9">
        <v>21475393736.618301</v>
      </c>
      <c r="L43" s="3">
        <f t="shared" si="12"/>
        <v>2.3012810052128161E-2</v>
      </c>
      <c r="M43" s="8">
        <v>1</v>
      </c>
      <c r="N43" s="8">
        <v>1</v>
      </c>
      <c r="O43" s="60">
        <v>11803</v>
      </c>
      <c r="P43" s="5">
        <v>0.16807042028935046</v>
      </c>
      <c r="Q43" s="5">
        <v>0.16807042028935046</v>
      </c>
      <c r="R43" s="80">
        <f t="shared" si="14"/>
        <v>2.5102533468146893E-2</v>
      </c>
      <c r="S43" s="80">
        <f t="shared" si="15"/>
        <v>0</v>
      </c>
      <c r="T43" s="80">
        <f t="shared" si="16"/>
        <v>1.5273652948663554E-3</v>
      </c>
      <c r="U43" s="81">
        <f t="shared" si="17"/>
        <v>1.3021624440757162E-2</v>
      </c>
      <c r="V43" s="83">
        <f t="shared" si="18"/>
        <v>1.3021624440757162E-2</v>
      </c>
    </row>
    <row r="44" spans="1:22">
      <c r="A44" s="75">
        <v>36</v>
      </c>
      <c r="B44" s="122" t="s">
        <v>75</v>
      </c>
      <c r="C44" s="123" t="s">
        <v>34</v>
      </c>
      <c r="D44" s="9">
        <v>3394760470.3899999</v>
      </c>
      <c r="E44" s="3">
        <f t="shared" si="13"/>
        <v>3.6377902466276373E-3</v>
      </c>
      <c r="F44" s="8">
        <v>1</v>
      </c>
      <c r="G44" s="8">
        <v>1</v>
      </c>
      <c r="H44" s="60">
        <v>875</v>
      </c>
      <c r="I44" s="5">
        <v>0.107</v>
      </c>
      <c r="J44" s="5">
        <v>0.107</v>
      </c>
      <c r="K44" s="9">
        <v>3292743987.75</v>
      </c>
      <c r="L44" s="3">
        <f t="shared" si="12"/>
        <v>3.5284704378281627E-3</v>
      </c>
      <c r="M44" s="8">
        <v>1</v>
      </c>
      <c r="N44" s="8">
        <v>1</v>
      </c>
      <c r="O44" s="60">
        <v>874</v>
      </c>
      <c r="P44" s="5">
        <v>0.1125</v>
      </c>
      <c r="Q44" s="5">
        <v>0.1125</v>
      </c>
      <c r="R44" s="80">
        <f t="shared" si="14"/>
        <v>-3.0051157815054894E-2</v>
      </c>
      <c r="S44" s="80">
        <f t="shared" si="15"/>
        <v>0</v>
      </c>
      <c r="T44" s="80">
        <f t="shared" si="16"/>
        <v>-1.1428571428571429E-3</v>
      </c>
      <c r="U44" s="81">
        <f t="shared" si="17"/>
        <v>5.5000000000000049E-3</v>
      </c>
      <c r="V44" s="83">
        <f t="shared" si="18"/>
        <v>5.5000000000000049E-3</v>
      </c>
    </row>
    <row r="45" spans="1:22">
      <c r="A45" s="75">
        <v>37</v>
      </c>
      <c r="B45" s="122" t="s">
        <v>76</v>
      </c>
      <c r="C45" s="123" t="s">
        <v>36</v>
      </c>
      <c r="D45" s="13">
        <v>4134689840.8200002</v>
      </c>
      <c r="E45" s="3">
        <f t="shared" si="13"/>
        <v>4.4306909152967153E-3</v>
      </c>
      <c r="F45" s="8">
        <v>10</v>
      </c>
      <c r="G45" s="8">
        <v>10</v>
      </c>
      <c r="H45" s="60">
        <v>1965</v>
      </c>
      <c r="I45" s="5">
        <v>0.1865</v>
      </c>
      <c r="J45" s="5">
        <v>0.1865</v>
      </c>
      <c r="K45" s="13">
        <v>4163023325.27</v>
      </c>
      <c r="L45" s="3">
        <f t="shared" si="12"/>
        <v>4.4610527845019799E-3</v>
      </c>
      <c r="M45" s="8">
        <v>10</v>
      </c>
      <c r="N45" s="8">
        <v>10</v>
      </c>
      <c r="O45" s="60">
        <v>1974</v>
      </c>
      <c r="P45" s="5">
        <v>0.18690000000000001</v>
      </c>
      <c r="Q45" s="5">
        <v>0.18690000000000001</v>
      </c>
      <c r="R45" s="80">
        <f t="shared" si="14"/>
        <v>6.8526263252628051E-3</v>
      </c>
      <c r="S45" s="80">
        <f t="shared" si="15"/>
        <v>0</v>
      </c>
      <c r="T45" s="80">
        <f t="shared" si="16"/>
        <v>4.5801526717557254E-3</v>
      </c>
      <c r="U45" s="81">
        <f t="shared" si="17"/>
        <v>4.0000000000001146E-4</v>
      </c>
      <c r="V45" s="83">
        <f t="shared" si="18"/>
        <v>4.0000000000001146E-4</v>
      </c>
    </row>
    <row r="46" spans="1:22">
      <c r="A46" s="75">
        <v>38</v>
      </c>
      <c r="B46" s="122" t="s">
        <v>77</v>
      </c>
      <c r="C46" s="123" t="s">
        <v>78</v>
      </c>
      <c r="D46" s="9">
        <v>4260252739.6100001</v>
      </c>
      <c r="E46" s="3">
        <f t="shared" si="13"/>
        <v>4.5652428203694397E-3</v>
      </c>
      <c r="F46" s="8">
        <v>100</v>
      </c>
      <c r="G46" s="8">
        <v>100</v>
      </c>
      <c r="H46" s="60">
        <v>2123</v>
      </c>
      <c r="I46" s="5">
        <v>0.14269999999999999</v>
      </c>
      <c r="J46" s="5">
        <v>0.14269999999999999</v>
      </c>
      <c r="K46" s="9">
        <v>4240979649.71</v>
      </c>
      <c r="L46" s="3">
        <f t="shared" si="12"/>
        <v>4.5445899763552223E-3</v>
      </c>
      <c r="M46" s="8">
        <v>100</v>
      </c>
      <c r="N46" s="8">
        <v>100</v>
      </c>
      <c r="O46" s="60">
        <v>2145</v>
      </c>
      <c r="P46" s="5">
        <v>0.15290000000000001</v>
      </c>
      <c r="Q46" s="5">
        <v>0.15290000000000001</v>
      </c>
      <c r="R46" s="80">
        <f t="shared" si="14"/>
        <v>-4.5239311087830972E-3</v>
      </c>
      <c r="S46" s="80">
        <f t="shared" si="15"/>
        <v>0</v>
      </c>
      <c r="T46" s="80">
        <f t="shared" si="16"/>
        <v>1.0362694300518135E-2</v>
      </c>
      <c r="U46" s="81">
        <f t="shared" si="17"/>
        <v>1.0200000000000015E-2</v>
      </c>
      <c r="V46" s="83">
        <f t="shared" si="18"/>
        <v>1.0200000000000015E-2</v>
      </c>
    </row>
    <row r="47" spans="1:22">
      <c r="A47" s="75">
        <v>39</v>
      </c>
      <c r="B47" s="122" t="s">
        <v>79</v>
      </c>
      <c r="C47" s="123" t="s">
        <v>80</v>
      </c>
      <c r="D47" s="9">
        <v>154661386.22999999</v>
      </c>
      <c r="E47" s="3">
        <f t="shared" si="13"/>
        <v>1.6573354357833907E-4</v>
      </c>
      <c r="F47" s="8">
        <v>1</v>
      </c>
      <c r="G47" s="8">
        <v>1</v>
      </c>
      <c r="H47" s="60">
        <v>72</v>
      </c>
      <c r="I47" s="5">
        <v>0.1123</v>
      </c>
      <c r="J47" s="5">
        <v>0.1123</v>
      </c>
      <c r="K47" s="9">
        <v>154811386.31999999</v>
      </c>
      <c r="L47" s="3">
        <f t="shared" si="12"/>
        <v>1.658942821250362E-4</v>
      </c>
      <c r="M47" s="8">
        <v>1</v>
      </c>
      <c r="N47" s="8">
        <v>1</v>
      </c>
      <c r="O47" s="60">
        <v>73</v>
      </c>
      <c r="P47" s="5">
        <v>0.1268</v>
      </c>
      <c r="Q47" s="5">
        <v>0.1268</v>
      </c>
      <c r="R47" s="80">
        <f t="shared" si="14"/>
        <v>9.6986127989914361E-4</v>
      </c>
      <c r="S47" s="80">
        <f t="shared" si="15"/>
        <v>0</v>
      </c>
      <c r="T47" s="80">
        <f t="shared" si="16"/>
        <v>1.3888888888888888E-2</v>
      </c>
      <c r="U47" s="81">
        <f t="shared" si="17"/>
        <v>1.4499999999999999E-2</v>
      </c>
      <c r="V47" s="83">
        <f t="shared" si="18"/>
        <v>1.4499999999999999E-2</v>
      </c>
    </row>
    <row r="48" spans="1:22">
      <c r="A48" s="75">
        <v>40</v>
      </c>
      <c r="B48" s="122" t="s">
        <v>81</v>
      </c>
      <c r="C48" s="123" t="s">
        <v>38</v>
      </c>
      <c r="D48" s="13">
        <v>718927163.75999999</v>
      </c>
      <c r="E48" s="3">
        <f t="shared" si="13"/>
        <v>7.7039492098873892E-4</v>
      </c>
      <c r="F48" s="8">
        <v>10</v>
      </c>
      <c r="G48" s="8">
        <v>10</v>
      </c>
      <c r="H48" s="60">
        <v>652</v>
      </c>
      <c r="I48" s="5">
        <v>0</v>
      </c>
      <c r="J48" s="5">
        <v>0</v>
      </c>
      <c r="K48" s="13">
        <v>684132737.94000006</v>
      </c>
      <c r="L48" s="3">
        <f t="shared" si="12"/>
        <v>7.331095737635006E-4</v>
      </c>
      <c r="M48" s="8">
        <v>10</v>
      </c>
      <c r="N48" s="8">
        <v>10</v>
      </c>
      <c r="O48" s="60">
        <v>652</v>
      </c>
      <c r="P48" s="5">
        <v>0</v>
      </c>
      <c r="Q48" s="5">
        <v>0</v>
      </c>
      <c r="R48" s="80">
        <f t="shared" si="14"/>
        <v>-4.8397706435273025E-2</v>
      </c>
      <c r="S48" s="80">
        <f t="shared" si="15"/>
        <v>0</v>
      </c>
      <c r="T48" s="80">
        <f t="shared" si="16"/>
        <v>0</v>
      </c>
      <c r="U48" s="81">
        <f t="shared" si="17"/>
        <v>0</v>
      </c>
      <c r="V48" s="83">
        <f t="shared" si="18"/>
        <v>0</v>
      </c>
    </row>
    <row r="49" spans="1:22">
      <c r="A49" s="75">
        <v>41</v>
      </c>
      <c r="B49" s="122" t="s">
        <v>247</v>
      </c>
      <c r="C49" s="123" t="s">
        <v>248</v>
      </c>
      <c r="D49" s="13">
        <v>569638516.5</v>
      </c>
      <c r="E49" s="3">
        <f t="shared" si="13"/>
        <v>6.104187489814482E-4</v>
      </c>
      <c r="F49" s="8">
        <v>1</v>
      </c>
      <c r="G49" s="8">
        <v>1</v>
      </c>
      <c r="H49" s="60">
        <v>39</v>
      </c>
      <c r="I49" s="5">
        <v>0.1744</v>
      </c>
      <c r="J49" s="5">
        <v>0.1744</v>
      </c>
      <c r="K49" s="13">
        <v>570822789.52999997</v>
      </c>
      <c r="L49" s="3">
        <f t="shared" si="12"/>
        <v>6.1168780372491385E-4</v>
      </c>
      <c r="M49" s="8">
        <v>1</v>
      </c>
      <c r="N49" s="8">
        <v>1</v>
      </c>
      <c r="O49" s="60">
        <v>39</v>
      </c>
      <c r="P49" s="5">
        <v>0.18429999999999999</v>
      </c>
      <c r="Q49" s="5">
        <v>0.18429999999999999</v>
      </c>
      <c r="R49" s="80">
        <f t="shared" si="14"/>
        <v>2.0789904398958799E-3</v>
      </c>
      <c r="S49" s="80">
        <f t="shared" si="15"/>
        <v>0</v>
      </c>
      <c r="T49" s="80">
        <f t="shared" si="16"/>
        <v>0</v>
      </c>
      <c r="U49" s="81">
        <f t="shared" si="17"/>
        <v>9.8999999999999921E-3</v>
      </c>
      <c r="V49" s="83">
        <f t="shared" si="18"/>
        <v>9.8999999999999921E-3</v>
      </c>
    </row>
    <row r="50" spans="1:22">
      <c r="A50" s="75">
        <v>42</v>
      </c>
      <c r="B50" s="122" t="s">
        <v>82</v>
      </c>
      <c r="C50" s="123" t="s">
        <v>42</v>
      </c>
      <c r="D50" s="9">
        <v>418701947246.03998</v>
      </c>
      <c r="E50" s="3">
        <f t="shared" si="13"/>
        <v>0.44867668079116635</v>
      </c>
      <c r="F50" s="8">
        <v>100</v>
      </c>
      <c r="G50" s="8">
        <v>100</v>
      </c>
      <c r="H50" s="60">
        <v>117972</v>
      </c>
      <c r="I50" s="5">
        <v>0.1646</v>
      </c>
      <c r="J50" s="5">
        <v>0.1646</v>
      </c>
      <c r="K50" s="9">
        <v>420978124226.47998</v>
      </c>
      <c r="L50" s="3">
        <f t="shared" si="12"/>
        <v>0.45111580852676525</v>
      </c>
      <c r="M50" s="8">
        <v>100</v>
      </c>
      <c r="N50" s="8">
        <v>100</v>
      </c>
      <c r="O50" s="60">
        <v>118284</v>
      </c>
      <c r="P50" s="5">
        <v>0.17219999999999999</v>
      </c>
      <c r="Q50" s="5">
        <v>0.17219999999999999</v>
      </c>
      <c r="R50" s="80">
        <f t="shared" si="14"/>
        <v>5.4362703479438621E-3</v>
      </c>
      <c r="S50" s="80">
        <f t="shared" si="15"/>
        <v>0</v>
      </c>
      <c r="T50" s="80">
        <f t="shared" si="16"/>
        <v>2.6446953514393245E-3</v>
      </c>
      <c r="U50" s="81">
        <f t="shared" si="17"/>
        <v>7.5999999999999956E-3</v>
      </c>
      <c r="V50" s="83">
        <f t="shared" si="18"/>
        <v>7.5999999999999956E-3</v>
      </c>
    </row>
    <row r="51" spans="1:22">
      <c r="A51" s="75">
        <v>43</v>
      </c>
      <c r="B51" s="122" t="s">
        <v>83</v>
      </c>
      <c r="C51" s="123" t="s">
        <v>84</v>
      </c>
      <c r="D51" s="9">
        <v>2962408730.4400001</v>
      </c>
      <c r="E51" s="3">
        <f t="shared" si="13"/>
        <v>3.1744865889996488E-3</v>
      </c>
      <c r="F51" s="8">
        <v>1</v>
      </c>
      <c r="G51" s="8">
        <v>1</v>
      </c>
      <c r="H51" s="60">
        <v>330</v>
      </c>
      <c r="I51" s="5">
        <v>0.15672033823269016</v>
      </c>
      <c r="J51" s="5">
        <v>0.15672033823269016</v>
      </c>
      <c r="K51" s="9">
        <v>2962408730.4400001</v>
      </c>
      <c r="L51" s="3">
        <f t="shared" si="12"/>
        <v>3.1744865889996488E-3</v>
      </c>
      <c r="M51" s="8">
        <v>1</v>
      </c>
      <c r="N51" s="8">
        <v>1</v>
      </c>
      <c r="O51" s="60">
        <v>329</v>
      </c>
      <c r="P51" s="5">
        <v>0.1551176192</v>
      </c>
      <c r="Q51" s="5">
        <v>0.1551176192</v>
      </c>
      <c r="R51" s="80">
        <f t="shared" si="14"/>
        <v>0</v>
      </c>
      <c r="S51" s="80">
        <f t="shared" si="15"/>
        <v>0</v>
      </c>
      <c r="T51" s="80">
        <f t="shared" si="16"/>
        <v>-3.0303030303030303E-3</v>
      </c>
      <c r="U51" s="81">
        <f t="shared" si="17"/>
        <v>-1.6027190326901586E-3</v>
      </c>
      <c r="V51" s="83">
        <f t="shared" si="18"/>
        <v>-1.6027190326901586E-3</v>
      </c>
    </row>
    <row r="52" spans="1:22">
      <c r="A52" s="75">
        <v>44</v>
      </c>
      <c r="B52" s="122" t="s">
        <v>85</v>
      </c>
      <c r="C52" s="123" t="s">
        <v>45</v>
      </c>
      <c r="D52" s="9">
        <v>39424611228.599998</v>
      </c>
      <c r="E52" s="3">
        <f t="shared" si="13"/>
        <v>4.2247006071686459E-2</v>
      </c>
      <c r="F52" s="8">
        <v>1</v>
      </c>
      <c r="G52" s="8">
        <v>1</v>
      </c>
      <c r="H52" s="60">
        <v>20821</v>
      </c>
      <c r="I52" s="5">
        <v>0.12</v>
      </c>
      <c r="J52" s="5">
        <v>0.12</v>
      </c>
      <c r="K52" s="9">
        <v>36577863095.040001</v>
      </c>
      <c r="L52" s="3">
        <f t="shared" si="12"/>
        <v>3.9196460183339797E-2</v>
      </c>
      <c r="M52" s="8">
        <v>1</v>
      </c>
      <c r="N52" s="8">
        <v>1</v>
      </c>
      <c r="O52" s="60">
        <v>21025</v>
      </c>
      <c r="P52" s="5">
        <v>0.1303</v>
      </c>
      <c r="Q52" s="5">
        <v>0.1303</v>
      </c>
      <c r="R52" s="80">
        <f t="shared" si="14"/>
        <v>-7.2207386321538822E-2</v>
      </c>
      <c r="S52" s="80">
        <f t="shared" si="15"/>
        <v>0</v>
      </c>
      <c r="T52" s="80">
        <f t="shared" si="16"/>
        <v>9.7978002977762834E-3</v>
      </c>
      <c r="U52" s="81">
        <f t="shared" si="17"/>
        <v>1.0300000000000004E-2</v>
      </c>
      <c r="V52" s="83">
        <f t="shared" si="18"/>
        <v>1.0300000000000004E-2</v>
      </c>
    </row>
    <row r="53" spans="1:22">
      <c r="A53" s="75">
        <v>45</v>
      </c>
      <c r="B53" s="122" t="s">
        <v>86</v>
      </c>
      <c r="C53" s="123" t="s">
        <v>87</v>
      </c>
      <c r="D53" s="9">
        <v>1299218595.9499996</v>
      </c>
      <c r="E53" s="3">
        <f t="shared" si="13"/>
        <v>1.3922292243615034E-3</v>
      </c>
      <c r="F53" s="8">
        <v>1</v>
      </c>
      <c r="G53" s="8">
        <v>1</v>
      </c>
      <c r="H53" s="60">
        <v>78</v>
      </c>
      <c r="I53" s="5">
        <v>0.12790000000000001</v>
      </c>
      <c r="J53" s="5">
        <v>0.12790000000000001</v>
      </c>
      <c r="K53" s="9">
        <v>1290597628.26</v>
      </c>
      <c r="L53" s="3">
        <f t="shared" si="12"/>
        <v>1.3829910844536323E-3</v>
      </c>
      <c r="M53" s="8">
        <v>1</v>
      </c>
      <c r="N53" s="8">
        <v>1</v>
      </c>
      <c r="O53" s="60">
        <v>78</v>
      </c>
      <c r="P53" s="5">
        <v>0.11940000000000001</v>
      </c>
      <c r="Q53" s="5">
        <v>0.11940000000000001</v>
      </c>
      <c r="R53" s="80">
        <f t="shared" si="14"/>
        <v>-6.6355020755347613E-3</v>
      </c>
      <c r="S53" s="80">
        <f t="shared" si="15"/>
        <v>0</v>
      </c>
      <c r="T53" s="80">
        <f t="shared" si="16"/>
        <v>0</v>
      </c>
      <c r="U53" s="81">
        <f t="shared" si="17"/>
        <v>-8.5000000000000075E-3</v>
      </c>
      <c r="V53" s="83">
        <f t="shared" si="18"/>
        <v>-8.5000000000000075E-3</v>
      </c>
    </row>
    <row r="54" spans="1:22">
      <c r="A54" s="75">
        <v>46</v>
      </c>
      <c r="B54" s="122" t="s">
        <v>88</v>
      </c>
      <c r="C54" s="123" t="s">
        <v>89</v>
      </c>
      <c r="D54" s="9">
        <v>883991074.75</v>
      </c>
      <c r="E54" s="3">
        <f t="shared" si="13"/>
        <v>9.472757026247555E-4</v>
      </c>
      <c r="F54" s="8">
        <v>1</v>
      </c>
      <c r="G54" s="8">
        <v>1</v>
      </c>
      <c r="H54" s="60">
        <v>212</v>
      </c>
      <c r="I54" s="5">
        <v>0.15140000000000001</v>
      </c>
      <c r="J54" s="5">
        <v>0.1108</v>
      </c>
      <c r="K54" s="9">
        <v>888250995.94000006</v>
      </c>
      <c r="L54" s="3">
        <f t="shared" si="12"/>
        <v>9.5184059015998839E-4</v>
      </c>
      <c r="M54" s="8">
        <v>1</v>
      </c>
      <c r="N54" s="8">
        <v>1</v>
      </c>
      <c r="O54" s="60">
        <v>212</v>
      </c>
      <c r="P54" s="5">
        <v>0.16109999999999999</v>
      </c>
      <c r="Q54" s="5">
        <v>0.16109999999999999</v>
      </c>
      <c r="R54" s="80">
        <f t="shared" si="14"/>
        <v>4.8189640276682637E-3</v>
      </c>
      <c r="S54" s="80">
        <f t="shared" si="15"/>
        <v>0</v>
      </c>
      <c r="T54" s="80">
        <f t="shared" si="16"/>
        <v>0</v>
      </c>
      <c r="U54" s="81">
        <f t="shared" si="17"/>
        <v>9.6999999999999864E-3</v>
      </c>
      <c r="V54" s="83">
        <f t="shared" si="18"/>
        <v>5.0299999999999997E-2</v>
      </c>
    </row>
    <row r="55" spans="1:22">
      <c r="A55" s="75">
        <v>47</v>
      </c>
      <c r="B55" s="122" t="s">
        <v>260</v>
      </c>
      <c r="C55" s="123" t="s">
        <v>261</v>
      </c>
      <c r="D55" s="9">
        <v>581178601.71000004</v>
      </c>
      <c r="E55" s="3">
        <f t="shared" si="13"/>
        <v>6.2278498506448097E-4</v>
      </c>
      <c r="F55" s="8">
        <v>1</v>
      </c>
      <c r="G55" s="8">
        <v>1</v>
      </c>
      <c r="H55" s="60">
        <v>477</v>
      </c>
      <c r="I55" s="5">
        <v>0.15329999999999999</v>
      </c>
      <c r="J55" s="5">
        <v>0.15329999999999999</v>
      </c>
      <c r="K55" s="9">
        <v>581178601.71000004</v>
      </c>
      <c r="L55" s="3">
        <f t="shared" si="12"/>
        <v>6.2278498506448097E-4</v>
      </c>
      <c r="M55" s="8">
        <v>1</v>
      </c>
      <c r="N55" s="8">
        <v>1</v>
      </c>
      <c r="O55" s="60">
        <v>477</v>
      </c>
      <c r="P55" s="5">
        <v>0.15329999999999999</v>
      </c>
      <c r="Q55" s="5">
        <v>0.15329999999999999</v>
      </c>
      <c r="R55" s="80">
        <f t="shared" si="14"/>
        <v>0</v>
      </c>
      <c r="S55" s="80">
        <f t="shared" si="15"/>
        <v>0</v>
      </c>
      <c r="T55" s="80">
        <f t="shared" si="16"/>
        <v>0</v>
      </c>
      <c r="U55" s="81">
        <f t="shared" si="17"/>
        <v>0</v>
      </c>
      <c r="V55" s="83">
        <f t="shared" si="18"/>
        <v>0</v>
      </c>
    </row>
    <row r="56" spans="1:22">
      <c r="A56" s="75">
        <v>48</v>
      </c>
      <c r="B56" s="122" t="s">
        <v>90</v>
      </c>
      <c r="C56" s="123" t="s">
        <v>91</v>
      </c>
      <c r="D56" s="9">
        <v>27342772494.959999</v>
      </c>
      <c r="E56" s="3">
        <f t="shared" si="13"/>
        <v>2.9300232509923394E-2</v>
      </c>
      <c r="F56" s="8">
        <v>1</v>
      </c>
      <c r="G56" s="8">
        <v>1</v>
      </c>
      <c r="H56" s="60">
        <v>3354</v>
      </c>
      <c r="I56" s="5">
        <v>0.15609999999999999</v>
      </c>
      <c r="J56" s="5">
        <v>0.15609999999999999</v>
      </c>
      <c r="K56" s="9">
        <v>27777567642.439999</v>
      </c>
      <c r="L56" s="3">
        <f t="shared" si="12"/>
        <v>2.9766154497816125E-2</v>
      </c>
      <c r="M56" s="8">
        <v>1</v>
      </c>
      <c r="N56" s="8">
        <v>1</v>
      </c>
      <c r="O56" s="60">
        <v>3368</v>
      </c>
      <c r="P56" s="5">
        <v>0.1608</v>
      </c>
      <c r="Q56" s="5">
        <v>0.1608</v>
      </c>
      <c r="R56" s="80">
        <f t="shared" si="14"/>
        <v>1.5901648143404033E-2</v>
      </c>
      <c r="S56" s="80">
        <f t="shared" si="15"/>
        <v>0</v>
      </c>
      <c r="T56" s="80">
        <f t="shared" si="16"/>
        <v>4.1741204531902205E-3</v>
      </c>
      <c r="U56" s="81">
        <f t="shared" si="17"/>
        <v>4.7000000000000097E-3</v>
      </c>
      <c r="V56" s="83">
        <f t="shared" si="18"/>
        <v>4.7000000000000097E-3</v>
      </c>
    </row>
    <row r="57" spans="1:22">
      <c r="A57" s="75"/>
      <c r="B57" s="19"/>
      <c r="C57" s="71" t="s">
        <v>46</v>
      </c>
      <c r="D57" s="59">
        <f>SUM(D26:D56)</f>
        <v>934334906874.48413</v>
      </c>
      <c r="E57" s="100">
        <f>(D57/$D$188)</f>
        <v>0.37145741799296988</v>
      </c>
      <c r="F57" s="30"/>
      <c r="G57" s="11"/>
      <c r="H57" s="65">
        <f>SUM(H26:H56)</f>
        <v>281638</v>
      </c>
      <c r="I57" s="32"/>
      <c r="J57" s="32"/>
      <c r="K57" s="59">
        <f>SUM(K26:K56)</f>
        <v>933193021103.14502</v>
      </c>
      <c r="L57" s="100">
        <f>(K57/$K$188)</f>
        <v>0.37167189577538107</v>
      </c>
      <c r="M57" s="30"/>
      <c r="N57" s="11"/>
      <c r="O57" s="65">
        <f>SUM(O26:O56)</f>
        <v>282597</v>
      </c>
      <c r="P57" s="32"/>
      <c r="Q57" s="32"/>
      <c r="R57" s="80">
        <f t="shared" si="14"/>
        <v>-1.2221375471873589E-3</v>
      </c>
      <c r="S57" s="80" t="e">
        <f t="shared" si="15"/>
        <v>#DIV/0!</v>
      </c>
      <c r="T57" s="80">
        <f t="shared" si="16"/>
        <v>3.4050802803598946E-3</v>
      </c>
      <c r="U57" s="81">
        <f t="shared" si="17"/>
        <v>0</v>
      </c>
      <c r="V57" s="83">
        <f t="shared" si="18"/>
        <v>0</v>
      </c>
    </row>
    <row r="58" spans="1:22" ht="9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</row>
    <row r="59" spans="1:22" ht="15" customHeight="1">
      <c r="A59" s="165" t="s">
        <v>92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</row>
    <row r="60" spans="1:22">
      <c r="A60" s="75">
        <v>49</v>
      </c>
      <c r="B60" s="122" t="s">
        <v>93</v>
      </c>
      <c r="C60" s="123" t="s">
        <v>19</v>
      </c>
      <c r="D60" s="2">
        <v>437455632.69</v>
      </c>
      <c r="E60" s="3">
        <f>(D60/$D$94)</f>
        <v>1.6300368041747898E-3</v>
      </c>
      <c r="F60" s="14">
        <v>1.1919999999999999</v>
      </c>
      <c r="G60" s="14">
        <v>1.1919999999999999</v>
      </c>
      <c r="H60" s="60">
        <v>400</v>
      </c>
      <c r="I60" s="5">
        <v>4.2000000000000002E-4</v>
      </c>
      <c r="J60" s="5">
        <v>-6.88E-2</v>
      </c>
      <c r="K60" s="2">
        <v>427317614.80000001</v>
      </c>
      <c r="L60" s="3">
        <f t="shared" ref="L60:L80" si="19">(K60/$K$94)</f>
        <v>1.620146426574866E-3</v>
      </c>
      <c r="M60" s="14">
        <v>1.1988000000000001</v>
      </c>
      <c r="N60" s="14">
        <v>1.1988000000000001</v>
      </c>
      <c r="O60" s="60">
        <v>401</v>
      </c>
      <c r="P60" s="5">
        <v>1.6699999999999999E-4</v>
      </c>
      <c r="Q60" s="5">
        <v>-6.3500000000000001E-2</v>
      </c>
      <c r="R60" s="80">
        <f>((K60-D60)/D60)</f>
        <v>-2.3174962515991247E-2</v>
      </c>
      <c r="S60" s="80">
        <f>((N60-G60)/G60)</f>
        <v>5.704697986577298E-3</v>
      </c>
      <c r="T60" s="80">
        <f>((O60-H60)/H60)</f>
        <v>2.5000000000000001E-3</v>
      </c>
      <c r="U60" s="81">
        <f>P60-I60</f>
        <v>-2.5300000000000002E-4</v>
      </c>
      <c r="V60" s="83">
        <f>Q60-J60</f>
        <v>5.2999999999999992E-3</v>
      </c>
    </row>
    <row r="61" spans="1:22">
      <c r="A61" s="75">
        <v>50</v>
      </c>
      <c r="B61" s="122" t="s">
        <v>94</v>
      </c>
      <c r="C61" s="123" t="s">
        <v>21</v>
      </c>
      <c r="D61" s="2">
        <v>1382777419.52</v>
      </c>
      <c r="E61" s="3">
        <f>(D61/$D$94)</f>
        <v>5.1524724277506552E-3</v>
      </c>
      <c r="F61" s="14">
        <v>1.1135999999999999</v>
      </c>
      <c r="G61" s="14">
        <v>1.1135999999999999</v>
      </c>
      <c r="H61" s="60">
        <v>605</v>
      </c>
      <c r="I61" s="5">
        <v>0.1082</v>
      </c>
      <c r="J61" s="5">
        <v>-0.14269999999999999</v>
      </c>
      <c r="K61" s="2">
        <v>1349144563.23</v>
      </c>
      <c r="L61" s="3">
        <f t="shared" si="19"/>
        <v>5.1151922301940003E-3</v>
      </c>
      <c r="M61" s="14">
        <v>1.1168</v>
      </c>
      <c r="N61" s="14">
        <v>1.1168</v>
      </c>
      <c r="O61" s="60">
        <v>605</v>
      </c>
      <c r="P61" s="5">
        <v>0.1502</v>
      </c>
      <c r="Q61" s="5">
        <v>-0.1245</v>
      </c>
      <c r="R61" s="80">
        <f t="shared" ref="R61:R94" si="20">((K61-D61)/D61)</f>
        <v>-2.4322682606196196E-2</v>
      </c>
      <c r="S61" s="80">
        <f t="shared" ref="S61:S94" si="21">((N61-G61)/G61)</f>
        <v>2.873563218390887E-3</v>
      </c>
      <c r="T61" s="80">
        <f t="shared" ref="T61:T94" si="22">((O61-H61)/H61)</f>
        <v>0</v>
      </c>
      <c r="U61" s="81">
        <f t="shared" ref="U61:U94" si="23">P61-I61</f>
        <v>4.1999999999999996E-2</v>
      </c>
      <c r="V61" s="83">
        <f t="shared" ref="V61:V94" si="24">Q61-J61</f>
        <v>1.8199999999999994E-2</v>
      </c>
    </row>
    <row r="62" spans="1:22">
      <c r="A62" s="75">
        <v>51</v>
      </c>
      <c r="B62" s="122" t="s">
        <v>95</v>
      </c>
      <c r="C62" s="123" t="s">
        <v>21</v>
      </c>
      <c r="D62" s="2">
        <v>894406927.77999997</v>
      </c>
      <c r="E62" s="3">
        <f>(D62/$D$94)</f>
        <v>3.3327178832406202E-3</v>
      </c>
      <c r="F62" s="14">
        <v>1.0297000000000001</v>
      </c>
      <c r="G62" s="14">
        <v>1.0297000000000001</v>
      </c>
      <c r="H62" s="60">
        <v>151</v>
      </c>
      <c r="I62" s="5">
        <v>0.1222</v>
      </c>
      <c r="J62" s="5">
        <v>-0.13450000000000001</v>
      </c>
      <c r="K62" s="2">
        <v>849968939.14999998</v>
      </c>
      <c r="L62" s="3">
        <f t="shared" si="19"/>
        <v>3.2226009220519079E-3</v>
      </c>
      <c r="M62" s="14">
        <v>1.0319</v>
      </c>
      <c r="N62" s="14">
        <v>1.0319</v>
      </c>
      <c r="O62" s="60">
        <v>151</v>
      </c>
      <c r="P62" s="5">
        <v>0.11169999999999999</v>
      </c>
      <c r="Q62" s="5">
        <v>-0.1191</v>
      </c>
      <c r="R62" s="80">
        <f t="shared" si="20"/>
        <v>-4.9684307276442012E-2</v>
      </c>
      <c r="S62" s="80">
        <f t="shared" si="21"/>
        <v>2.136544624647936E-3</v>
      </c>
      <c r="T62" s="80">
        <f t="shared" si="22"/>
        <v>0</v>
      </c>
      <c r="U62" s="81">
        <f t="shared" si="23"/>
        <v>-1.0500000000000009E-2</v>
      </c>
      <c r="V62" s="83">
        <f t="shared" si="24"/>
        <v>1.5400000000000011E-2</v>
      </c>
    </row>
    <row r="63" spans="1:22">
      <c r="A63" s="75">
        <v>52</v>
      </c>
      <c r="B63" s="122" t="s">
        <v>96</v>
      </c>
      <c r="C63" s="123" t="s">
        <v>97</v>
      </c>
      <c r="D63" s="2">
        <v>265257516.69</v>
      </c>
      <c r="E63" s="3">
        <f>(D63/$D$94)</f>
        <v>9.8839626805105369E-4</v>
      </c>
      <c r="F63" s="7">
        <v>1127.8900000000001</v>
      </c>
      <c r="G63" s="7">
        <v>1127.8900000000001</v>
      </c>
      <c r="H63" s="60">
        <v>112</v>
      </c>
      <c r="I63" s="5">
        <v>2.3999999999999998E-3</v>
      </c>
      <c r="J63" s="5">
        <v>8.3999999999999995E-3</v>
      </c>
      <c r="K63" s="2">
        <v>259927998.75</v>
      </c>
      <c r="L63" s="3">
        <f t="shared" si="19"/>
        <v>9.8549978694107581E-4</v>
      </c>
      <c r="M63" s="7">
        <v>1043.68</v>
      </c>
      <c r="N63" s="7">
        <v>1043.68</v>
      </c>
      <c r="O63" s="60">
        <v>113</v>
      </c>
      <c r="P63" s="5">
        <v>2.5999999999999999E-3</v>
      </c>
      <c r="Q63" s="5">
        <v>-6.6900000000000001E-2</v>
      </c>
      <c r="R63" s="80">
        <f t="shared" si="20"/>
        <v>-2.0091863961119998E-2</v>
      </c>
      <c r="S63" s="80">
        <f t="shared" si="21"/>
        <v>-7.4661536142708984E-2</v>
      </c>
      <c r="T63" s="80">
        <f t="shared" si="22"/>
        <v>8.9285714285714281E-3</v>
      </c>
      <c r="U63" s="81">
        <f t="shared" si="23"/>
        <v>2.0000000000000009E-4</v>
      </c>
      <c r="V63" s="83">
        <f t="shared" si="24"/>
        <v>-7.5300000000000006E-2</v>
      </c>
    </row>
    <row r="64" spans="1:22" ht="15" customHeight="1">
      <c r="A64" s="75">
        <v>53</v>
      </c>
      <c r="B64" s="122" t="s">
        <v>98</v>
      </c>
      <c r="C64" s="123" t="s">
        <v>99</v>
      </c>
      <c r="D64" s="2">
        <v>1685315303.1500001</v>
      </c>
      <c r="E64" s="3">
        <f>(D64/$K$94)</f>
        <v>6.3897613191732381E-3</v>
      </c>
      <c r="F64" s="7">
        <v>1.0445</v>
      </c>
      <c r="G64" s="7">
        <v>1.0445</v>
      </c>
      <c r="H64" s="60">
        <v>840</v>
      </c>
      <c r="I64" s="5">
        <v>2.7000000000000001E-3</v>
      </c>
      <c r="J64" s="5">
        <v>2.6800000000000001E-2</v>
      </c>
      <c r="K64" s="2">
        <v>1743222854.98</v>
      </c>
      <c r="L64" s="3">
        <f t="shared" si="19"/>
        <v>6.609313965541405E-3</v>
      </c>
      <c r="M64" s="7">
        <v>1.046</v>
      </c>
      <c r="N64" s="7">
        <v>1.046</v>
      </c>
      <c r="O64" s="60">
        <v>842</v>
      </c>
      <c r="P64" s="5">
        <v>1.4E-3</v>
      </c>
      <c r="Q64" s="5">
        <v>2.8199999999999999E-2</v>
      </c>
      <c r="R64" s="80">
        <f t="shared" si="20"/>
        <v>3.4360070024740001E-2</v>
      </c>
      <c r="S64" s="80">
        <f t="shared" si="21"/>
        <v>1.4360938247966078E-3</v>
      </c>
      <c r="T64" s="80">
        <f t="shared" si="22"/>
        <v>2.3809523809523812E-3</v>
      </c>
      <c r="U64" s="81">
        <f t="shared" si="23"/>
        <v>-1.3000000000000002E-3</v>
      </c>
      <c r="V64" s="83">
        <v>7.87</v>
      </c>
    </row>
    <row r="65" spans="1:22">
      <c r="A65" s="75">
        <v>54</v>
      </c>
      <c r="B65" s="122" t="s">
        <v>100</v>
      </c>
      <c r="C65" s="123" t="s">
        <v>101</v>
      </c>
      <c r="D65" s="2">
        <v>404209774.18237662</v>
      </c>
      <c r="E65" s="3">
        <f t="shared" ref="E65:E80" si="25">(D65/$D$94)</f>
        <v>1.5061568746363892E-3</v>
      </c>
      <c r="F65" s="7">
        <v>2.2995000000000001</v>
      </c>
      <c r="G65" s="7">
        <v>2.2995000000000001</v>
      </c>
      <c r="H65" s="60">
        <v>1395</v>
      </c>
      <c r="I65" s="5">
        <v>0.12989999999999999</v>
      </c>
      <c r="J65" s="5">
        <v>9.9099999999999994E-2</v>
      </c>
      <c r="K65" s="2">
        <v>405218747.68762487</v>
      </c>
      <c r="L65" s="3">
        <f t="shared" si="19"/>
        <v>1.5363600359758621E-3</v>
      </c>
      <c r="M65" s="7">
        <v>2.3052999999999999</v>
      </c>
      <c r="N65" s="7">
        <v>2.3052999999999999</v>
      </c>
      <c r="O65" s="60">
        <v>1395</v>
      </c>
      <c r="P65" s="5">
        <v>0.13189999999999999</v>
      </c>
      <c r="Q65" s="5">
        <v>0.1014</v>
      </c>
      <c r="R65" s="80">
        <f t="shared" si="20"/>
        <v>2.496163056148679E-3</v>
      </c>
      <c r="S65" s="80">
        <f t="shared" si="21"/>
        <v>2.5222874537942181E-3</v>
      </c>
      <c r="T65" s="80">
        <f t="shared" si="22"/>
        <v>0</v>
      </c>
      <c r="U65" s="81">
        <f t="shared" si="23"/>
        <v>2.0000000000000018E-3</v>
      </c>
      <c r="V65" s="83">
        <f t="shared" si="24"/>
        <v>2.3000000000000104E-3</v>
      </c>
    </row>
    <row r="66" spans="1:22">
      <c r="A66" s="75">
        <v>55</v>
      </c>
      <c r="B66" s="122" t="s">
        <v>102</v>
      </c>
      <c r="C66" s="123" t="s">
        <v>56</v>
      </c>
      <c r="D66" s="2">
        <v>2627539455.35741</v>
      </c>
      <c r="E66" s="3">
        <f t="shared" si="25"/>
        <v>9.7906752058878384E-3</v>
      </c>
      <c r="F66" s="2">
        <v>4094.4486036745898</v>
      </c>
      <c r="G66" s="2">
        <v>4094.4486036745898</v>
      </c>
      <c r="H66" s="60">
        <v>1036</v>
      </c>
      <c r="I66" s="5">
        <v>8.8415466779316693E-2</v>
      </c>
      <c r="J66" s="5">
        <v>8.5100530746492528E-2</v>
      </c>
      <c r="K66" s="2">
        <v>2636989570.6683602</v>
      </c>
      <c r="L66" s="3">
        <f t="shared" si="19"/>
        <v>9.9979712557207081E-3</v>
      </c>
      <c r="M66" s="2">
        <v>4102.39670953521</v>
      </c>
      <c r="N66" s="2">
        <v>4102.39670953521</v>
      </c>
      <c r="O66" s="60">
        <v>1036</v>
      </c>
      <c r="P66" s="5">
        <v>0.10149654626707044</v>
      </c>
      <c r="Q66" s="5">
        <v>8.6298597421658615E-2</v>
      </c>
      <c r="R66" s="80">
        <f t="shared" si="20"/>
        <v>3.5965645698229224E-3</v>
      </c>
      <c r="S66" s="80">
        <f t="shared" si="21"/>
        <v>1.9411907755997077E-3</v>
      </c>
      <c r="T66" s="80">
        <f t="shared" si="22"/>
        <v>0</v>
      </c>
      <c r="U66" s="81">
        <f t="shared" si="23"/>
        <v>1.308107948775375E-2</v>
      </c>
      <c r="V66" s="83">
        <f t="shared" si="24"/>
        <v>1.1980666751660873E-3</v>
      </c>
    </row>
    <row r="67" spans="1:22">
      <c r="A67" s="75">
        <v>56</v>
      </c>
      <c r="B67" s="122" t="s">
        <v>103</v>
      </c>
      <c r="C67" s="123" t="s">
        <v>58</v>
      </c>
      <c r="D67" s="2">
        <v>354009193.08999997</v>
      </c>
      <c r="E67" s="3">
        <f t="shared" si="25"/>
        <v>1.3191006598875842E-3</v>
      </c>
      <c r="F67" s="14">
        <v>110.65</v>
      </c>
      <c r="G67" s="14">
        <v>110.65</v>
      </c>
      <c r="H67" s="60">
        <v>126</v>
      </c>
      <c r="I67" s="5">
        <v>2E-3</v>
      </c>
      <c r="J67" s="5">
        <v>0.1066</v>
      </c>
      <c r="K67" s="2">
        <v>355100309.74000001</v>
      </c>
      <c r="L67" s="3">
        <f t="shared" si="19"/>
        <v>1.3463392988612391E-3</v>
      </c>
      <c r="M67" s="14">
        <v>110.87</v>
      </c>
      <c r="N67" s="14">
        <v>110.87</v>
      </c>
      <c r="O67" s="60">
        <v>127</v>
      </c>
      <c r="P67" s="5">
        <v>2E-3</v>
      </c>
      <c r="Q67" s="5">
        <v>0.1066</v>
      </c>
      <c r="R67" s="80">
        <f t="shared" si="20"/>
        <v>3.0821703822890285E-3</v>
      </c>
      <c r="S67" s="80">
        <f t="shared" si="21"/>
        <v>1.9882512426570163E-3</v>
      </c>
      <c r="T67" s="80">
        <f t="shared" si="22"/>
        <v>7.9365079365079361E-3</v>
      </c>
      <c r="U67" s="81">
        <f t="shared" si="23"/>
        <v>0</v>
      </c>
      <c r="V67" s="83">
        <f t="shared" si="24"/>
        <v>0</v>
      </c>
    </row>
    <row r="68" spans="1:22" ht="13.5" customHeight="1">
      <c r="A68" s="75">
        <v>57</v>
      </c>
      <c r="B68" s="122" t="s">
        <v>104</v>
      </c>
      <c r="C68" s="123" t="s">
        <v>105</v>
      </c>
      <c r="D68" s="2">
        <v>310393286.98000002</v>
      </c>
      <c r="E68" s="3">
        <f t="shared" si="25"/>
        <v>1.1565801049011235E-3</v>
      </c>
      <c r="F68" s="14">
        <v>1.3058000000000001</v>
      </c>
      <c r="G68" s="14">
        <v>1.3058000000000001</v>
      </c>
      <c r="H68" s="60">
        <v>323</v>
      </c>
      <c r="I68" s="5">
        <v>8.0000000000000004E-4</v>
      </c>
      <c r="J68" s="5">
        <v>-2.0299999999999999E-2</v>
      </c>
      <c r="K68" s="2">
        <v>313234145.30000001</v>
      </c>
      <c r="L68" s="3">
        <f t="shared" si="19"/>
        <v>1.1876065100348101E-3</v>
      </c>
      <c r="M68" s="14">
        <v>1.3178000000000001</v>
      </c>
      <c r="N68" s="14">
        <v>1.3178000000000001</v>
      </c>
      <c r="O68" s="60">
        <v>323</v>
      </c>
      <c r="P68" s="5">
        <v>9.1897687241537795E-3</v>
      </c>
      <c r="Q68" s="5">
        <v>-1.1687911966111741E-2</v>
      </c>
      <c r="R68" s="80">
        <f t="shared" si="20"/>
        <v>9.152447682230452E-3</v>
      </c>
      <c r="S68" s="80">
        <f t="shared" si="21"/>
        <v>9.189768724153783E-3</v>
      </c>
      <c r="T68" s="80">
        <f t="shared" si="22"/>
        <v>0</v>
      </c>
      <c r="U68" s="81">
        <f t="shared" si="23"/>
        <v>8.3897687241537792E-3</v>
      </c>
      <c r="V68" s="83">
        <f t="shared" si="24"/>
        <v>8.6120880338882572E-3</v>
      </c>
    </row>
    <row r="69" spans="1:22">
      <c r="A69" s="75">
        <v>58</v>
      </c>
      <c r="B69" s="122" t="s">
        <v>106</v>
      </c>
      <c r="C69" s="123" t="s">
        <v>25</v>
      </c>
      <c r="D69" s="2">
        <v>77056125.370000005</v>
      </c>
      <c r="E69" s="3">
        <f t="shared" si="25"/>
        <v>2.871247069510599E-4</v>
      </c>
      <c r="F69" s="14">
        <v>115.9242</v>
      </c>
      <c r="G69" s="14">
        <v>115.9242</v>
      </c>
      <c r="H69" s="60">
        <v>105</v>
      </c>
      <c r="I69" s="5">
        <v>2.99E-4</v>
      </c>
      <c r="J69" s="5">
        <v>0.13589999999999999</v>
      </c>
      <c r="K69" s="2">
        <v>77653799.689999998</v>
      </c>
      <c r="L69" s="3">
        <f t="shared" si="19"/>
        <v>2.9441923693362786E-4</v>
      </c>
      <c r="M69" s="14">
        <v>116.2766</v>
      </c>
      <c r="N69" s="14">
        <v>116.2766</v>
      </c>
      <c r="O69" s="60">
        <v>107</v>
      </c>
      <c r="P69" s="5">
        <v>4.8899999999999996E-4</v>
      </c>
      <c r="Q69" s="5">
        <v>0.1406</v>
      </c>
      <c r="R69" s="80">
        <f t="shared" si="20"/>
        <v>7.7563505448806714E-3</v>
      </c>
      <c r="S69" s="80">
        <f t="shared" si="21"/>
        <v>3.0399174633079454E-3</v>
      </c>
      <c r="T69" s="80">
        <f t="shared" si="22"/>
        <v>1.9047619047619049E-2</v>
      </c>
      <c r="U69" s="81">
        <f t="shared" si="23"/>
        <v>1.8999999999999996E-4</v>
      </c>
      <c r="V69" s="83">
        <f t="shared" si="24"/>
        <v>4.7000000000000097E-3</v>
      </c>
    </row>
    <row r="70" spans="1:22">
      <c r="A70" s="75">
        <v>59</v>
      </c>
      <c r="B70" s="122" t="s">
        <v>107</v>
      </c>
      <c r="C70" s="123" t="s">
        <v>108</v>
      </c>
      <c r="D70" s="2">
        <v>1229006103.75</v>
      </c>
      <c r="E70" s="3">
        <f t="shared" si="25"/>
        <v>4.5794933976484034E-3</v>
      </c>
      <c r="F70" s="7">
        <v>1000</v>
      </c>
      <c r="G70" s="7">
        <v>1000</v>
      </c>
      <c r="H70" s="60">
        <v>298</v>
      </c>
      <c r="I70" s="5">
        <v>6.1997157954829502E-6</v>
      </c>
      <c r="J70" s="5">
        <v>0.14410000000000001</v>
      </c>
      <c r="K70" s="2">
        <v>1213270529.8099999</v>
      </c>
      <c r="L70" s="3">
        <f t="shared" si="19"/>
        <v>4.6000348341836382E-3</v>
      </c>
      <c r="M70" s="7">
        <v>1000</v>
      </c>
      <c r="N70" s="7">
        <v>1000</v>
      </c>
      <c r="O70" s="60">
        <v>301</v>
      </c>
      <c r="P70" s="5">
        <v>0.1464</v>
      </c>
      <c r="Q70" s="5">
        <v>0.1464</v>
      </c>
      <c r="R70" s="80">
        <f t="shared" si="20"/>
        <v>-1.2803495354487621E-2</v>
      </c>
      <c r="S70" s="80">
        <f t="shared" si="21"/>
        <v>0</v>
      </c>
      <c r="T70" s="80">
        <f t="shared" si="22"/>
        <v>1.0067114093959731E-2</v>
      </c>
      <c r="U70" s="81">
        <f t="shared" si="23"/>
        <v>0.14639380028420451</v>
      </c>
      <c r="V70" s="83">
        <f t="shared" si="24"/>
        <v>2.2999999999999965E-3</v>
      </c>
    </row>
    <row r="71" spans="1:22">
      <c r="A71" s="75">
        <v>60</v>
      </c>
      <c r="B71" s="122" t="s">
        <v>109</v>
      </c>
      <c r="C71" s="123" t="s">
        <v>64</v>
      </c>
      <c r="D71" s="2">
        <v>214987964.94</v>
      </c>
      <c r="E71" s="3">
        <f t="shared" si="25"/>
        <v>8.010830564734666E-4</v>
      </c>
      <c r="F71" s="7">
        <v>1052.73</v>
      </c>
      <c r="G71" s="7">
        <v>1061.79</v>
      </c>
      <c r="H71" s="60">
        <v>78</v>
      </c>
      <c r="I71" s="5">
        <v>6.4000000000000003E-3</v>
      </c>
      <c r="J71" s="5">
        <v>-1.1999999999999999E-3</v>
      </c>
      <c r="K71" s="2">
        <v>216071235.38</v>
      </c>
      <c r="L71" s="3">
        <f t="shared" si="19"/>
        <v>8.1921977414941736E-4</v>
      </c>
      <c r="M71" s="7">
        <v>1055.55</v>
      </c>
      <c r="N71" s="7">
        <v>1065.23</v>
      </c>
      <c r="O71" s="60">
        <v>77</v>
      </c>
      <c r="P71" s="5">
        <v>3.0000000000000001E-3</v>
      </c>
      <c r="Q71" s="5">
        <v>1.8E-3</v>
      </c>
      <c r="R71" s="80">
        <f t="shared" si="20"/>
        <v>5.0387492169727856E-3</v>
      </c>
      <c r="S71" s="80">
        <f t="shared" si="21"/>
        <v>3.2398120155586836E-3</v>
      </c>
      <c r="T71" s="80">
        <f t="shared" si="22"/>
        <v>-1.282051282051282E-2</v>
      </c>
      <c r="U71" s="81">
        <f t="shared" si="23"/>
        <v>-3.4000000000000002E-3</v>
      </c>
      <c r="V71" s="83">
        <f t="shared" si="24"/>
        <v>3.0000000000000001E-3</v>
      </c>
    </row>
    <row r="72" spans="1:22">
      <c r="A72" s="75">
        <v>61</v>
      </c>
      <c r="B72" s="122" t="s">
        <v>110</v>
      </c>
      <c r="C72" s="123" t="s">
        <v>67</v>
      </c>
      <c r="D72" s="2">
        <v>876818333.29999995</v>
      </c>
      <c r="E72" s="3">
        <f t="shared" si="25"/>
        <v>3.2671796796065562E-3</v>
      </c>
      <c r="F72" s="15">
        <v>1.1391</v>
      </c>
      <c r="G72" s="15">
        <v>1.1391</v>
      </c>
      <c r="H72" s="60">
        <v>34</v>
      </c>
      <c r="I72" s="5">
        <v>2.3759239704328797E-3</v>
      </c>
      <c r="J72" s="5">
        <v>0.11802565617629335</v>
      </c>
      <c r="K72" s="2">
        <v>878948784.46000004</v>
      </c>
      <c r="L72" s="3">
        <f t="shared" si="19"/>
        <v>3.3324760856200284E-3</v>
      </c>
      <c r="M72" s="15">
        <v>1.1418999999999999</v>
      </c>
      <c r="N72" s="15">
        <v>1.1418999999999999</v>
      </c>
      <c r="O72" s="60">
        <v>52</v>
      </c>
      <c r="P72" s="5">
        <v>2.4580809410937703E-3</v>
      </c>
      <c r="Q72" s="5">
        <v>0.12843558118517784</v>
      </c>
      <c r="R72" s="80">
        <f t="shared" si="20"/>
        <v>2.4297520696013554E-3</v>
      </c>
      <c r="S72" s="80">
        <f t="shared" si="21"/>
        <v>2.4580809410937703E-3</v>
      </c>
      <c r="T72" s="80">
        <f t="shared" si="22"/>
        <v>0.52941176470588236</v>
      </c>
      <c r="U72" s="81">
        <f t="shared" si="23"/>
        <v>8.2156970660890536E-5</v>
      </c>
      <c r="V72" s="83">
        <f t="shared" si="24"/>
        <v>1.0409925008884491E-2</v>
      </c>
    </row>
    <row r="73" spans="1:22">
      <c r="A73" s="75">
        <v>62</v>
      </c>
      <c r="B73" s="122" t="s">
        <v>111</v>
      </c>
      <c r="C73" s="123" t="s">
        <v>27</v>
      </c>
      <c r="D73" s="2">
        <v>54721420741.040001</v>
      </c>
      <c r="E73" s="3">
        <f t="shared" si="25"/>
        <v>0.20390166023496697</v>
      </c>
      <c r="F73" s="15">
        <v>1599.19</v>
      </c>
      <c r="G73" s="15">
        <v>1599.19</v>
      </c>
      <c r="H73" s="60">
        <v>2445</v>
      </c>
      <c r="I73" s="5">
        <v>2.3999999999999998E-3</v>
      </c>
      <c r="J73" s="5">
        <v>3.3500000000000002E-2</v>
      </c>
      <c r="K73" s="2">
        <v>53565324691.290001</v>
      </c>
      <c r="L73" s="3">
        <f t="shared" si="19"/>
        <v>0.20308937984579409</v>
      </c>
      <c r="M73" s="15">
        <v>1602.52</v>
      </c>
      <c r="N73" s="15">
        <v>1602.52</v>
      </c>
      <c r="O73" s="60">
        <v>2434</v>
      </c>
      <c r="P73" s="5">
        <v>2.3E-3</v>
      </c>
      <c r="Q73" s="5">
        <v>3.56E-2</v>
      </c>
      <c r="R73" s="80">
        <f t="shared" si="20"/>
        <v>-2.1126937752969387E-2</v>
      </c>
      <c r="S73" s="80">
        <f t="shared" si="21"/>
        <v>2.0823041664842371E-3</v>
      </c>
      <c r="T73" s="80">
        <f t="shared" si="22"/>
        <v>-4.4989775051124748E-3</v>
      </c>
      <c r="U73" s="81">
        <f t="shared" si="23"/>
        <v>-9.9999999999999829E-5</v>
      </c>
      <c r="V73" s="83">
        <f t="shared" si="24"/>
        <v>2.0999999999999977E-3</v>
      </c>
    </row>
    <row r="74" spans="1:22">
      <c r="A74" s="75">
        <v>63</v>
      </c>
      <c r="B74" s="122" t="s">
        <v>112</v>
      </c>
      <c r="C74" s="123" t="s">
        <v>72</v>
      </c>
      <c r="D74" s="2">
        <v>25733542.079999998</v>
      </c>
      <c r="E74" s="3">
        <f t="shared" si="25"/>
        <v>9.5887714221994845E-5</v>
      </c>
      <c r="F74" s="2">
        <v>0.77580000000000005</v>
      </c>
      <c r="G74" s="2">
        <v>0.77580000000000005</v>
      </c>
      <c r="H74" s="60">
        <v>746</v>
      </c>
      <c r="I74" s="5">
        <v>1.4E-3</v>
      </c>
      <c r="J74" s="5">
        <v>1.49E-2</v>
      </c>
      <c r="K74" s="2">
        <v>23847778.75</v>
      </c>
      <c r="L74" s="3">
        <f t="shared" si="19"/>
        <v>9.0417273207059283E-5</v>
      </c>
      <c r="M74" s="2">
        <v>0.72729999999999995</v>
      </c>
      <c r="N74" s="2">
        <v>0.72729999999999995</v>
      </c>
      <c r="O74" s="60">
        <v>746</v>
      </c>
      <c r="P74" s="5">
        <v>1.9E-3</v>
      </c>
      <c r="Q74" s="5">
        <v>-4.8500000000000001E-2</v>
      </c>
      <c r="R74" s="80">
        <f t="shared" si="20"/>
        <v>-7.328036397545154E-2</v>
      </c>
      <c r="S74" s="80">
        <f t="shared" si="21"/>
        <v>-6.2516112400103241E-2</v>
      </c>
      <c r="T74" s="80">
        <f t="shared" si="22"/>
        <v>0</v>
      </c>
      <c r="U74" s="81">
        <f t="shared" si="23"/>
        <v>5.0000000000000001E-4</v>
      </c>
      <c r="V74" s="83">
        <f t="shared" si="24"/>
        <v>-6.3399999999999998E-2</v>
      </c>
    </row>
    <row r="75" spans="1:22">
      <c r="A75" s="75">
        <v>64</v>
      </c>
      <c r="B75" s="122" t="s">
        <v>251</v>
      </c>
      <c r="C75" s="123" t="s">
        <v>32</v>
      </c>
      <c r="D75" s="2">
        <v>8344022579.3699999</v>
      </c>
      <c r="E75" s="3">
        <f t="shared" si="25"/>
        <v>3.1091299054953222E-2</v>
      </c>
      <c r="F75" s="14">
        <v>1</v>
      </c>
      <c r="G75" s="14">
        <v>1</v>
      </c>
      <c r="H75" s="60">
        <v>5541</v>
      </c>
      <c r="I75" s="5">
        <v>0.06</v>
      </c>
      <c r="J75" s="5">
        <v>0.06</v>
      </c>
      <c r="K75" s="2">
        <v>8343763858.9177999</v>
      </c>
      <c r="L75" s="3">
        <f t="shared" si="19"/>
        <v>3.1634827893853974E-2</v>
      </c>
      <c r="M75" s="14">
        <v>1</v>
      </c>
      <c r="N75" s="14">
        <v>1</v>
      </c>
      <c r="O75" s="60">
        <v>5542</v>
      </c>
      <c r="P75" s="5">
        <v>0.06</v>
      </c>
      <c r="Q75" s="5">
        <v>0.06</v>
      </c>
      <c r="R75" s="80">
        <f>((K75-D75)/D75)</f>
        <v>-3.1006681698058172E-5</v>
      </c>
      <c r="S75" s="80">
        <f>((N75-G75)/G75)</f>
        <v>0</v>
      </c>
      <c r="T75" s="80">
        <f>((O75-H75)/H75)</f>
        <v>1.8047283883775492E-4</v>
      </c>
      <c r="U75" s="81">
        <f>P75-I75</f>
        <v>0</v>
      </c>
      <c r="V75" s="83">
        <f>Q75-J75</f>
        <v>0</v>
      </c>
    </row>
    <row r="76" spans="1:22">
      <c r="A76" s="75">
        <v>65</v>
      </c>
      <c r="B76" s="122" t="s">
        <v>113</v>
      </c>
      <c r="C76" s="123" t="s">
        <v>114</v>
      </c>
      <c r="D76" s="2">
        <v>1167465586.8900001</v>
      </c>
      <c r="E76" s="3">
        <f t="shared" si="25"/>
        <v>4.3501825831713031E-3</v>
      </c>
      <c r="F76" s="2">
        <v>219.92085499999999</v>
      </c>
      <c r="G76" s="2">
        <v>221.61198300000001</v>
      </c>
      <c r="H76" s="60">
        <v>488</v>
      </c>
      <c r="I76" s="5">
        <v>1.6000000000000001E-3</v>
      </c>
      <c r="J76" s="5">
        <v>5.0299999999999997E-2</v>
      </c>
      <c r="K76" s="2">
        <v>1193679843.45</v>
      </c>
      <c r="L76" s="3">
        <f t="shared" si="19"/>
        <v>4.5257580447394252E-3</v>
      </c>
      <c r="M76" s="2">
        <v>224.95</v>
      </c>
      <c r="N76" s="2">
        <v>226.72</v>
      </c>
      <c r="O76" s="60">
        <v>488</v>
      </c>
      <c r="P76" s="5">
        <v>2.18E-2</v>
      </c>
      <c r="Q76" s="5">
        <v>8.0399999999999999E-2</v>
      </c>
      <c r="R76" s="80">
        <f t="shared" si="20"/>
        <v>2.2453986528058474E-2</v>
      </c>
      <c r="S76" s="80">
        <f t="shared" si="21"/>
        <v>2.3049371838344993E-2</v>
      </c>
      <c r="T76" s="80">
        <f t="shared" si="22"/>
        <v>0</v>
      </c>
      <c r="U76" s="81">
        <f t="shared" si="23"/>
        <v>2.0199999999999999E-2</v>
      </c>
      <c r="V76" s="83">
        <f t="shared" si="24"/>
        <v>3.0100000000000002E-2</v>
      </c>
    </row>
    <row r="77" spans="1:22">
      <c r="A77" s="75">
        <v>66</v>
      </c>
      <c r="B77" s="122" t="s">
        <v>115</v>
      </c>
      <c r="C77" s="123" t="s">
        <v>34</v>
      </c>
      <c r="D77" s="2">
        <v>1103395278.3299999</v>
      </c>
      <c r="E77" s="3">
        <f t="shared" si="25"/>
        <v>4.1114453188562184E-3</v>
      </c>
      <c r="F77" s="14">
        <v>3.4</v>
      </c>
      <c r="G77" s="14">
        <v>3.4</v>
      </c>
      <c r="H77" s="61">
        <v>773</v>
      </c>
      <c r="I77" s="12">
        <v>1.6999999999999999E-3</v>
      </c>
      <c r="J77" s="12">
        <v>-0.17929999999999999</v>
      </c>
      <c r="K77" s="2">
        <v>1104238805.6199999</v>
      </c>
      <c r="L77" s="3">
        <f t="shared" si="19"/>
        <v>4.1866482753065782E-3</v>
      </c>
      <c r="M77" s="14">
        <v>3.41</v>
      </c>
      <c r="N77" s="14">
        <v>3.41</v>
      </c>
      <c r="O77" s="61">
        <v>773</v>
      </c>
      <c r="P77" s="12">
        <v>1.6999999999999999E-3</v>
      </c>
      <c r="Q77" s="12">
        <v>-0.16250000000000001</v>
      </c>
      <c r="R77" s="80">
        <f t="shared" si="20"/>
        <v>7.644833239423038E-4</v>
      </c>
      <c r="S77" s="80">
        <f t="shared" si="21"/>
        <v>2.9411764705883033E-3</v>
      </c>
      <c r="T77" s="80">
        <f t="shared" si="22"/>
        <v>0</v>
      </c>
      <c r="U77" s="81">
        <f t="shared" si="23"/>
        <v>0</v>
      </c>
      <c r="V77" s="83">
        <f t="shared" si="24"/>
        <v>1.6799999999999982E-2</v>
      </c>
    </row>
    <row r="78" spans="1:22">
      <c r="A78" s="75">
        <v>67</v>
      </c>
      <c r="B78" s="122" t="s">
        <v>258</v>
      </c>
      <c r="C78" s="123" t="s">
        <v>36</v>
      </c>
      <c r="D78" s="2">
        <v>558438398.95609999</v>
      </c>
      <c r="E78" s="3">
        <f t="shared" si="25"/>
        <v>2.0808399187031337E-3</v>
      </c>
      <c r="F78" s="14">
        <v>105.85</v>
      </c>
      <c r="G78" s="14">
        <v>105.85</v>
      </c>
      <c r="H78" s="61">
        <v>137</v>
      </c>
      <c r="I78" s="12">
        <v>0.14019999999999999</v>
      </c>
      <c r="J78" s="12">
        <v>0.16300000000000001</v>
      </c>
      <c r="K78" s="2">
        <v>562269158.20580006</v>
      </c>
      <c r="L78" s="3">
        <f t="shared" si="19"/>
        <v>2.1318062628116704E-3</v>
      </c>
      <c r="M78" s="14">
        <v>106.13</v>
      </c>
      <c r="N78" s="14">
        <v>106.13</v>
      </c>
      <c r="O78" s="61">
        <v>137</v>
      </c>
      <c r="P78" s="12">
        <v>0.14099999999999999</v>
      </c>
      <c r="Q78" s="12">
        <v>0.1638</v>
      </c>
      <c r="R78" s="80">
        <f t="shared" ref="R78" si="26">((K78-D78)/D78)</f>
        <v>6.8597704901041615E-3</v>
      </c>
      <c r="S78" s="80">
        <f t="shared" ref="S78" si="27">((N78-G78)/G78)</f>
        <v>2.6452527161077103E-3</v>
      </c>
      <c r="T78" s="80">
        <f t="shared" ref="T78" si="28">((O78-H78)/H78)</f>
        <v>0</v>
      </c>
      <c r="U78" s="81">
        <f t="shared" ref="U78" si="29">P78-I78</f>
        <v>7.9999999999999516E-4</v>
      </c>
      <c r="V78" s="83">
        <f t="shared" ref="V78" si="30">Q78-J78</f>
        <v>7.9999999999999516E-4</v>
      </c>
    </row>
    <row r="79" spans="1:22">
      <c r="A79" s="75">
        <v>68</v>
      </c>
      <c r="B79" s="123" t="s">
        <v>116</v>
      </c>
      <c r="C79" s="157" t="s">
        <v>40</v>
      </c>
      <c r="D79" s="2">
        <v>2305838108.5799999</v>
      </c>
      <c r="E79" s="3">
        <f t="shared" si="25"/>
        <v>8.5919592767426823E-3</v>
      </c>
      <c r="F79" s="14">
        <v>101.38</v>
      </c>
      <c r="G79" s="14">
        <v>101.38</v>
      </c>
      <c r="H79" s="60">
        <v>139</v>
      </c>
      <c r="I79" s="5">
        <v>5.1000000000000004E-3</v>
      </c>
      <c r="J79" s="5">
        <v>9.8100000000000007E-2</v>
      </c>
      <c r="K79" s="2">
        <v>2371125891.0700002</v>
      </c>
      <c r="L79" s="3">
        <f t="shared" si="19"/>
        <v>8.9899667280839771E-3</v>
      </c>
      <c r="M79" s="14">
        <v>102.38</v>
      </c>
      <c r="N79" s="14">
        <v>102.38</v>
      </c>
      <c r="O79" s="60">
        <v>139</v>
      </c>
      <c r="P79" s="5">
        <v>8.8999999999999999E-3</v>
      </c>
      <c r="Q79" s="5">
        <v>0.1241</v>
      </c>
      <c r="R79" s="80">
        <f t="shared" si="20"/>
        <v>2.8314122421285812E-2</v>
      </c>
      <c r="S79" s="80">
        <f t="shared" si="21"/>
        <v>9.8638784770171632E-3</v>
      </c>
      <c r="T79" s="80">
        <f t="shared" si="22"/>
        <v>0</v>
      </c>
      <c r="U79" s="81">
        <f t="shared" si="23"/>
        <v>3.7999999999999996E-3</v>
      </c>
      <c r="V79" s="83">
        <f t="shared" si="24"/>
        <v>2.5999999999999995E-2</v>
      </c>
    </row>
    <row r="80" spans="1:22">
      <c r="A80" s="75">
        <v>69</v>
      </c>
      <c r="B80" s="122" t="s">
        <v>117</v>
      </c>
      <c r="C80" s="123" t="s">
        <v>17</v>
      </c>
      <c r="D80" s="2">
        <v>1234580257.49</v>
      </c>
      <c r="E80" s="3">
        <f t="shared" si="25"/>
        <v>4.6002636771221329E-3</v>
      </c>
      <c r="F80" s="14">
        <v>335.22329999999999</v>
      </c>
      <c r="G80" s="14">
        <v>335.22329999999999</v>
      </c>
      <c r="H80" s="60">
        <v>104</v>
      </c>
      <c r="I80" s="5">
        <v>2.3E-3</v>
      </c>
      <c r="J80" s="5">
        <v>2.53E-2</v>
      </c>
      <c r="K80" s="2">
        <v>1237329653.0899999</v>
      </c>
      <c r="L80" s="3">
        <f t="shared" si="19"/>
        <v>4.6912534061745439E-3</v>
      </c>
      <c r="M80" s="14">
        <v>335.94690000000003</v>
      </c>
      <c r="N80" s="14">
        <v>335.94690000000003</v>
      </c>
      <c r="O80" s="60">
        <v>104</v>
      </c>
      <c r="P80" s="5">
        <v>2.2000000000000001E-3</v>
      </c>
      <c r="Q80" s="5">
        <v>2.75E-2</v>
      </c>
      <c r="R80" s="80">
        <f t="shared" si="20"/>
        <v>2.2269881470400677E-3</v>
      </c>
      <c r="S80" s="80">
        <f t="shared" si="21"/>
        <v>2.1585611739996387E-3</v>
      </c>
      <c r="T80" s="80">
        <f t="shared" si="22"/>
        <v>0</v>
      </c>
      <c r="U80" s="81">
        <f t="shared" si="23"/>
        <v>-9.9999999999999829E-5</v>
      </c>
      <c r="V80" s="83">
        <f t="shared" si="24"/>
        <v>2.2000000000000006E-3</v>
      </c>
    </row>
    <row r="81" spans="1:22">
      <c r="A81" s="75">
        <v>70</v>
      </c>
      <c r="B81" s="122" t="s">
        <v>252</v>
      </c>
      <c r="C81" s="123" t="s">
        <v>78</v>
      </c>
      <c r="D81" s="9">
        <v>1631680149.74</v>
      </c>
      <c r="E81" s="3">
        <f>(D81/$K$57)</f>
        <v>1.7484915905298566E-3</v>
      </c>
      <c r="F81" s="14">
        <v>101.49</v>
      </c>
      <c r="G81" s="14">
        <v>101.49</v>
      </c>
      <c r="H81" s="60">
        <v>355</v>
      </c>
      <c r="I81" s="5">
        <v>2.7000000000000001E-3</v>
      </c>
      <c r="J81" s="5">
        <v>3.7400000000000003E-2</v>
      </c>
      <c r="K81" s="9">
        <v>1589328065.47</v>
      </c>
      <c r="L81" s="3">
        <f>(K81/$K$57)</f>
        <v>1.7031075345926028E-3</v>
      </c>
      <c r="M81" s="14">
        <v>101.77</v>
      </c>
      <c r="N81" s="14">
        <v>101.77</v>
      </c>
      <c r="O81" s="60">
        <v>358</v>
      </c>
      <c r="P81" s="5">
        <v>2.7000000000000001E-3</v>
      </c>
      <c r="Q81" s="5">
        <v>4.0099999999999997E-2</v>
      </c>
      <c r="R81" s="80">
        <f t="shared" si="20"/>
        <v>-2.5956119081762791E-2</v>
      </c>
      <c r="S81" s="80">
        <f t="shared" si="21"/>
        <v>2.758892501724319E-3</v>
      </c>
      <c r="T81" s="80">
        <f t="shared" si="22"/>
        <v>8.4507042253521118E-3</v>
      </c>
      <c r="U81" s="81">
        <f t="shared" si="23"/>
        <v>0</v>
      </c>
      <c r="V81" s="83">
        <f t="shared" si="24"/>
        <v>2.6999999999999941E-3</v>
      </c>
    </row>
    <row r="82" spans="1:22">
      <c r="A82" s="75">
        <v>71</v>
      </c>
      <c r="B82" s="122" t="s">
        <v>118</v>
      </c>
      <c r="C82" s="123" t="s">
        <v>38</v>
      </c>
      <c r="D82" s="2">
        <v>58097121.609999999</v>
      </c>
      <c r="E82" s="3">
        <f t="shared" ref="E82:E93" si="31">(D82/$D$94)</f>
        <v>2.1648011675741148E-4</v>
      </c>
      <c r="F82" s="2">
        <v>12.660994000000001</v>
      </c>
      <c r="G82" s="2">
        <v>12.972505</v>
      </c>
      <c r="H82" s="60">
        <v>57</v>
      </c>
      <c r="I82" s="5">
        <v>-1.8826412681548E-3</v>
      </c>
      <c r="J82" s="5">
        <v>0.2069</v>
      </c>
      <c r="K82" s="2">
        <v>58065664.399999999</v>
      </c>
      <c r="L82" s="3">
        <f t="shared" ref="L82:L93" si="32">(K82/$K$94)</f>
        <v>2.2015211970231047E-4</v>
      </c>
      <c r="M82" s="2">
        <v>12.654173999999999</v>
      </c>
      <c r="N82" s="2">
        <v>12.973509999999999</v>
      </c>
      <c r="O82" s="60">
        <v>57</v>
      </c>
      <c r="P82" s="5">
        <v>2.0000000000000001E-4</v>
      </c>
      <c r="Q82" s="5">
        <v>0.18429999999999999</v>
      </c>
      <c r="R82" s="80">
        <f t="shared" si="20"/>
        <v>-5.4145901084686962E-4</v>
      </c>
      <c r="S82" s="80">
        <f t="shared" si="21"/>
        <v>7.7471544624515968E-5</v>
      </c>
      <c r="T82" s="80">
        <f t="shared" si="22"/>
        <v>0</v>
      </c>
      <c r="U82" s="81">
        <f t="shared" si="23"/>
        <v>2.0826412681548001E-3</v>
      </c>
      <c r="V82" s="83">
        <f t="shared" si="24"/>
        <v>-2.2600000000000009E-2</v>
      </c>
    </row>
    <row r="83" spans="1:22">
      <c r="A83" s="75">
        <v>72</v>
      </c>
      <c r="B83" s="122" t="s">
        <v>236</v>
      </c>
      <c r="C83" s="123" t="s">
        <v>237</v>
      </c>
      <c r="D83" s="2">
        <v>272124124.02999997</v>
      </c>
      <c r="E83" s="3">
        <f t="shared" si="31"/>
        <v>1.0139824574782875E-3</v>
      </c>
      <c r="F83" s="2">
        <v>117.6</v>
      </c>
      <c r="G83" s="2">
        <v>117.6</v>
      </c>
      <c r="H83" s="60">
        <v>81</v>
      </c>
      <c r="I83" s="5">
        <v>0.13220000000000001</v>
      </c>
      <c r="J83" s="5">
        <v>0.19539999999999999</v>
      </c>
      <c r="K83" s="2">
        <v>281721650.27999997</v>
      </c>
      <c r="L83" s="3">
        <f t="shared" si="32"/>
        <v>1.0681289728801417E-3</v>
      </c>
      <c r="M83" s="2">
        <v>117.94</v>
      </c>
      <c r="N83" s="2">
        <v>117.94</v>
      </c>
      <c r="O83" s="60">
        <v>82</v>
      </c>
      <c r="P83" s="5">
        <v>0.1704</v>
      </c>
      <c r="Q83" s="5">
        <v>0.19320000000000001</v>
      </c>
      <c r="R83" s="80">
        <f>((K83-D83)/D83)</f>
        <v>3.5268928413498296E-2</v>
      </c>
      <c r="S83" s="80">
        <f>((N83-G83)/G83)</f>
        <v>2.8911564625850633E-3</v>
      </c>
      <c r="T83" s="80">
        <f>((O83-H83)/H83)</f>
        <v>1.2345679012345678E-2</v>
      </c>
      <c r="U83" s="81">
        <f t="shared" si="23"/>
        <v>3.8199999999999984E-2</v>
      </c>
      <c r="V83" s="83">
        <f t="shared" si="24"/>
        <v>-2.1999999999999797E-3</v>
      </c>
    </row>
    <row r="84" spans="1:22">
      <c r="A84" s="75">
        <v>73</v>
      </c>
      <c r="B84" s="122" t="s">
        <v>119</v>
      </c>
      <c r="C84" s="123" t="s">
        <v>120</v>
      </c>
      <c r="D84" s="2">
        <v>7393317542.8142986</v>
      </c>
      <c r="E84" s="3">
        <f t="shared" si="31"/>
        <v>2.7548804493914374E-2</v>
      </c>
      <c r="F84" s="14">
        <v>1.03</v>
      </c>
      <c r="G84" s="14">
        <v>1.03</v>
      </c>
      <c r="H84" s="60">
        <v>4145</v>
      </c>
      <c r="I84" s="125">
        <v>14.03</v>
      </c>
      <c r="J84" s="125">
        <v>14.03</v>
      </c>
      <c r="K84" s="2">
        <v>7220789047.7097721</v>
      </c>
      <c r="L84" s="3">
        <f t="shared" si="32"/>
        <v>2.7377143294627218E-2</v>
      </c>
      <c r="M84" s="14">
        <v>1.04</v>
      </c>
      <c r="N84" s="14">
        <v>1.04</v>
      </c>
      <c r="O84" s="60">
        <v>4145</v>
      </c>
      <c r="P84" s="125">
        <v>14.52</v>
      </c>
      <c r="Q84" s="125">
        <v>14.52</v>
      </c>
      <c r="R84" s="80">
        <f t="shared" si="20"/>
        <v>-2.3335734479876379E-2</v>
      </c>
      <c r="S84" s="80">
        <f t="shared" si="21"/>
        <v>9.7087378640776777E-3</v>
      </c>
      <c r="T84" s="80">
        <f t="shared" si="22"/>
        <v>0</v>
      </c>
      <c r="U84" s="81">
        <f t="shared" si="23"/>
        <v>0.49000000000000021</v>
      </c>
      <c r="V84" s="83">
        <f t="shared" si="24"/>
        <v>0.49000000000000021</v>
      </c>
    </row>
    <row r="85" spans="1:22" ht="14.25" customHeight="1">
      <c r="A85" s="75">
        <v>74</v>
      </c>
      <c r="B85" s="122" t="s">
        <v>121</v>
      </c>
      <c r="C85" s="123" t="s">
        <v>42</v>
      </c>
      <c r="D85" s="2">
        <v>18734383062.439999</v>
      </c>
      <c r="E85" s="3">
        <f t="shared" si="31"/>
        <v>6.9807613877328603E-2</v>
      </c>
      <c r="F85" s="2">
        <v>5130.29</v>
      </c>
      <c r="G85" s="2">
        <v>5130.29</v>
      </c>
      <c r="H85" s="60">
        <v>400</v>
      </c>
      <c r="I85" s="5">
        <v>8.9999999999999998E-4</v>
      </c>
      <c r="J85" s="5">
        <v>2.3699999999999999E-2</v>
      </c>
      <c r="K85" s="2">
        <v>18049432400.93</v>
      </c>
      <c r="L85" s="3">
        <f t="shared" si="32"/>
        <v>6.8433227167005478E-2</v>
      </c>
      <c r="M85" s="2">
        <v>5134.07</v>
      </c>
      <c r="N85" s="2">
        <v>5134.07</v>
      </c>
      <c r="O85" s="60">
        <v>395</v>
      </c>
      <c r="P85" s="5">
        <v>6.9999999999999999E-4</v>
      </c>
      <c r="Q85" s="5">
        <v>2.4400000000000002E-2</v>
      </c>
      <c r="R85" s="80">
        <f t="shared" si="20"/>
        <v>-3.6561153854232614E-2</v>
      </c>
      <c r="S85" s="80">
        <f t="shared" si="21"/>
        <v>7.3680045377546796E-4</v>
      </c>
      <c r="T85" s="80">
        <f t="shared" si="22"/>
        <v>-1.2500000000000001E-2</v>
      </c>
      <c r="U85" s="81">
        <f t="shared" si="23"/>
        <v>-1.9999999999999998E-4</v>
      </c>
      <c r="V85" s="83">
        <f t="shared" si="24"/>
        <v>7.000000000000027E-4</v>
      </c>
    </row>
    <row r="86" spans="1:22">
      <c r="A86" s="75">
        <v>75</v>
      </c>
      <c r="B86" s="122" t="s">
        <v>122</v>
      </c>
      <c r="C86" s="123" t="s">
        <v>42</v>
      </c>
      <c r="D86" s="2">
        <v>38769983509.68</v>
      </c>
      <c r="E86" s="3">
        <f t="shared" si="31"/>
        <v>0.14446379311524801</v>
      </c>
      <c r="F86" s="14">
        <v>257.99</v>
      </c>
      <c r="G86" s="14">
        <v>257.99</v>
      </c>
      <c r="H86" s="60">
        <v>6639</v>
      </c>
      <c r="I86" s="5">
        <v>2.0000000000000001E-4</v>
      </c>
      <c r="J86" s="5">
        <v>8.5000000000000006E-3</v>
      </c>
      <c r="K86" s="2">
        <v>38584225030</v>
      </c>
      <c r="L86" s="3">
        <f t="shared" si="32"/>
        <v>0.1462895329830316</v>
      </c>
      <c r="M86" s="14">
        <v>258.04000000000002</v>
      </c>
      <c r="N86" s="14">
        <v>258.04000000000002</v>
      </c>
      <c r="O86" s="60">
        <v>6634</v>
      </c>
      <c r="P86" s="5">
        <v>2.0000000000000001E-4</v>
      </c>
      <c r="Q86" s="5">
        <v>8.6999999999999994E-3</v>
      </c>
      <c r="R86" s="80">
        <f t="shared" si="20"/>
        <v>-4.7912963293786429E-3</v>
      </c>
      <c r="S86" s="80">
        <f t="shared" si="21"/>
        <v>1.9380596147141891E-4</v>
      </c>
      <c r="T86" s="80">
        <f t="shared" si="22"/>
        <v>-7.5312547070341916E-4</v>
      </c>
      <c r="U86" s="81">
        <f t="shared" si="23"/>
        <v>0</v>
      </c>
      <c r="V86" s="83">
        <f t="shared" si="24"/>
        <v>1.9999999999999879E-4</v>
      </c>
    </row>
    <row r="87" spans="1:22" ht="12.75" customHeight="1">
      <c r="A87" s="75">
        <v>76</v>
      </c>
      <c r="B87" s="122" t="s">
        <v>123</v>
      </c>
      <c r="C87" s="123" t="s">
        <v>42</v>
      </c>
      <c r="D87" s="2">
        <v>346478414</v>
      </c>
      <c r="E87" s="3">
        <f t="shared" si="31"/>
        <v>1.2910396494364767E-3</v>
      </c>
      <c r="F87" s="2">
        <v>5596.36</v>
      </c>
      <c r="G87" s="7">
        <v>5619.75</v>
      </c>
      <c r="H87" s="60">
        <v>16</v>
      </c>
      <c r="I87" s="5">
        <v>-4.4999999999999997E-3</v>
      </c>
      <c r="J87" s="5">
        <v>5.8500000000000003E-2</v>
      </c>
      <c r="K87" s="2">
        <v>342606497.11000001</v>
      </c>
      <c r="L87" s="3">
        <f t="shared" si="32"/>
        <v>1.2989698359939892E-3</v>
      </c>
      <c r="M87" s="2">
        <v>5534.54</v>
      </c>
      <c r="N87" s="7">
        <v>5556.45</v>
      </c>
      <c r="O87" s="60">
        <v>16</v>
      </c>
      <c r="P87" s="5">
        <v>-1.1299999999999999E-2</v>
      </c>
      <c r="Q87" s="5">
        <v>4.6600000000000003E-2</v>
      </c>
      <c r="R87" s="80">
        <f t="shared" si="20"/>
        <v>-1.1175059494471092E-2</v>
      </c>
      <c r="S87" s="80">
        <f t="shared" si="21"/>
        <v>-1.1263846256506106E-2</v>
      </c>
      <c r="T87" s="80">
        <f t="shared" si="22"/>
        <v>0</v>
      </c>
      <c r="U87" s="81">
        <f t="shared" si="23"/>
        <v>-6.7999999999999996E-3</v>
      </c>
      <c r="V87" s="83">
        <f t="shared" si="24"/>
        <v>-1.1900000000000001E-2</v>
      </c>
    </row>
    <row r="88" spans="1:22" ht="12.75" customHeight="1">
      <c r="A88" s="75">
        <v>77</v>
      </c>
      <c r="B88" s="122" t="s">
        <v>124</v>
      </c>
      <c r="C88" s="123" t="s">
        <v>42</v>
      </c>
      <c r="D88" s="2">
        <v>16038194546.1</v>
      </c>
      <c r="E88" s="3">
        <f t="shared" si="31"/>
        <v>5.9761140168434729E-2</v>
      </c>
      <c r="F88" s="14">
        <v>129.41</v>
      </c>
      <c r="G88" s="14">
        <v>129.41</v>
      </c>
      <c r="H88" s="60">
        <v>4362</v>
      </c>
      <c r="I88" s="5">
        <v>2.2000000000000001E-3</v>
      </c>
      <c r="J88" s="5">
        <v>2.7699999999999999E-2</v>
      </c>
      <c r="K88" s="2">
        <v>15996066599.620001</v>
      </c>
      <c r="L88" s="3">
        <f t="shared" si="32"/>
        <v>6.0648026767531019E-2</v>
      </c>
      <c r="M88" s="14">
        <v>129.57</v>
      </c>
      <c r="N88" s="14">
        <v>129.57</v>
      </c>
      <c r="O88" s="60">
        <v>4370</v>
      </c>
      <c r="P88" s="5">
        <v>1.1999999999999999E-3</v>
      </c>
      <c r="Q88" s="5">
        <v>2.9000000000000001E-2</v>
      </c>
      <c r="R88" s="80">
        <f t="shared" si="20"/>
        <v>-2.6267262414673585E-3</v>
      </c>
      <c r="S88" s="80">
        <f t="shared" si="21"/>
        <v>1.2363804960976478E-3</v>
      </c>
      <c r="T88" s="80">
        <f t="shared" si="22"/>
        <v>1.8340210912425492E-3</v>
      </c>
      <c r="U88" s="81">
        <f t="shared" si="23"/>
        <v>-1.0000000000000002E-3</v>
      </c>
      <c r="V88" s="83">
        <f t="shared" si="24"/>
        <v>1.3000000000000025E-3</v>
      </c>
    </row>
    <row r="89" spans="1:22" ht="12.75" customHeight="1">
      <c r="A89" s="75">
        <v>78</v>
      </c>
      <c r="B89" s="122" t="s">
        <v>125</v>
      </c>
      <c r="C89" s="123" t="s">
        <v>42</v>
      </c>
      <c r="D89" s="2">
        <v>12100511044.57</v>
      </c>
      <c r="E89" s="3">
        <f t="shared" si="31"/>
        <v>4.5088637288047233E-2</v>
      </c>
      <c r="F89" s="14">
        <v>356.85</v>
      </c>
      <c r="G89" s="14">
        <v>357.25</v>
      </c>
      <c r="H89" s="60">
        <v>10267</v>
      </c>
      <c r="I89" s="5">
        <v>-3.0999999999999999E-3</v>
      </c>
      <c r="J89" s="5">
        <v>1.0999999999999999E-2</v>
      </c>
      <c r="K89" s="2">
        <v>11712275797.559999</v>
      </c>
      <c r="L89" s="3">
        <f t="shared" si="32"/>
        <v>4.4406317744138356E-2</v>
      </c>
      <c r="M89" s="14">
        <v>354.33</v>
      </c>
      <c r="N89" s="14">
        <v>354.69</v>
      </c>
      <c r="O89" s="60">
        <v>10257</v>
      </c>
      <c r="P89" s="5">
        <v>-7.1999999999999998E-3</v>
      </c>
      <c r="Q89" s="5">
        <v>3.8E-3</v>
      </c>
      <c r="R89" s="80">
        <f t="shared" si="20"/>
        <v>-3.208420252500141E-2</v>
      </c>
      <c r="S89" s="80">
        <f t="shared" si="21"/>
        <v>-7.1658502449265284E-3</v>
      </c>
      <c r="T89" s="80">
        <f t="shared" si="22"/>
        <v>-9.7399435083276513E-4</v>
      </c>
      <c r="U89" s="81">
        <f t="shared" si="23"/>
        <v>-4.0999999999999995E-3</v>
      </c>
      <c r="V89" s="83">
        <f t="shared" si="24"/>
        <v>-7.1999999999999998E-3</v>
      </c>
    </row>
    <row r="90" spans="1:22">
      <c r="A90" s="75">
        <v>79</v>
      </c>
      <c r="B90" s="122" t="s">
        <v>126</v>
      </c>
      <c r="C90" s="123" t="s">
        <v>45</v>
      </c>
      <c r="D90" s="2">
        <v>89903924857.210007</v>
      </c>
      <c r="E90" s="3">
        <f t="shared" si="31"/>
        <v>0.33499787271196568</v>
      </c>
      <c r="F90" s="2">
        <v>1.9847999999999999</v>
      </c>
      <c r="G90" s="2">
        <v>1.9847999999999999</v>
      </c>
      <c r="H90" s="60">
        <v>8154</v>
      </c>
      <c r="I90" s="5">
        <v>4.2900000000000001E-2</v>
      </c>
      <c r="J90" s="5">
        <v>6.3799999999999996E-2</v>
      </c>
      <c r="K90" s="2">
        <v>87920299486.779999</v>
      </c>
      <c r="L90" s="3">
        <f t="shared" si="32"/>
        <v>0.33334399075396748</v>
      </c>
      <c r="M90" s="2">
        <v>1.9861</v>
      </c>
      <c r="N90" s="2">
        <v>1.9861</v>
      </c>
      <c r="O90" s="60">
        <v>6168</v>
      </c>
      <c r="P90" s="5">
        <v>3.4700000000000002E-2</v>
      </c>
      <c r="Q90" s="5">
        <v>6.1899999999999997E-2</v>
      </c>
      <c r="R90" s="80">
        <f t="shared" si="20"/>
        <v>-2.2063835072612267E-2</v>
      </c>
      <c r="S90" s="80">
        <f t="shared" si="21"/>
        <v>6.5497783151958837E-4</v>
      </c>
      <c r="T90" s="80">
        <f t="shared" si="22"/>
        <v>-0.24356144223693893</v>
      </c>
      <c r="U90" s="81">
        <f t="shared" si="23"/>
        <v>-8.199999999999999E-3</v>
      </c>
      <c r="V90" s="83">
        <f t="shared" si="24"/>
        <v>-1.8999999999999989E-3</v>
      </c>
    </row>
    <row r="91" spans="1:22">
      <c r="A91" s="75">
        <v>80</v>
      </c>
      <c r="B91" s="122" t="s">
        <v>241</v>
      </c>
      <c r="C91" s="122" t="s">
        <v>242</v>
      </c>
      <c r="D91" s="2">
        <v>84561302.439999998</v>
      </c>
      <c r="E91" s="3">
        <f t="shared" si="31"/>
        <v>3.1509031976240077E-4</v>
      </c>
      <c r="F91" s="2">
        <v>103.85847888802492</v>
      </c>
      <c r="G91" s="2">
        <v>103.85847888802492</v>
      </c>
      <c r="H91" s="60">
        <v>62</v>
      </c>
      <c r="I91" s="5">
        <v>1.5758887032972528E-3</v>
      </c>
      <c r="J91" s="5">
        <v>2.2239184322925487E-2</v>
      </c>
      <c r="K91" s="2">
        <v>84591871.5</v>
      </c>
      <c r="L91" s="3">
        <f t="shared" si="32"/>
        <v>3.2072447655159299E-4</v>
      </c>
      <c r="M91" s="2">
        <v>104.02136865703956</v>
      </c>
      <c r="N91" s="2">
        <v>104.02136865703956</v>
      </c>
      <c r="O91" s="60">
        <v>61</v>
      </c>
      <c r="P91" s="5">
        <v>1.5683820017262139E-3</v>
      </c>
      <c r="Q91" s="5">
        <v>2.3842445861076866E-2</v>
      </c>
      <c r="R91" s="80">
        <f>((K91-D91)/D91)</f>
        <v>3.6150176402134404E-4</v>
      </c>
      <c r="S91" s="80">
        <f>((N91-G91)/G91)</f>
        <v>1.5683820017262139E-3</v>
      </c>
      <c r="T91" s="80">
        <f>((O91-H91)/H91)</f>
        <v>-1.6129032258064516E-2</v>
      </c>
      <c r="U91" s="81">
        <f>P91-I91</f>
        <v>-7.5067015710388995E-6</v>
      </c>
      <c r="V91" s="83">
        <f>Q91-J91</f>
        <v>1.6032615381513793E-3</v>
      </c>
    </row>
    <row r="92" spans="1:22">
      <c r="A92" s="75">
        <v>81</v>
      </c>
      <c r="B92" s="122" t="s">
        <v>262</v>
      </c>
      <c r="C92" s="123" t="s">
        <v>261</v>
      </c>
      <c r="D92" s="2">
        <v>235169941.86000001</v>
      </c>
      <c r="E92" s="3">
        <f t="shared" si="31"/>
        <v>8.7628466025283479E-4</v>
      </c>
      <c r="F92" s="2">
        <v>0.97</v>
      </c>
      <c r="G92" s="2">
        <v>0.97</v>
      </c>
      <c r="H92" s="60">
        <v>159</v>
      </c>
      <c r="I92" s="5">
        <v>6.3299999999999997E-3</v>
      </c>
      <c r="J92" s="5">
        <v>-5.9684000000000001E-2</v>
      </c>
      <c r="K92" s="2">
        <v>234308702.59999999</v>
      </c>
      <c r="L92" s="3">
        <f t="shared" si="32"/>
        <v>8.8836592287555517E-4</v>
      </c>
      <c r="M92" s="2">
        <v>0.97</v>
      </c>
      <c r="N92" s="2">
        <v>0.97</v>
      </c>
      <c r="O92" s="60">
        <v>176</v>
      </c>
      <c r="P92" s="5">
        <v>-3.8999999999999998E-3</v>
      </c>
      <c r="Q92" s="5">
        <v>-6.3299999999999995E-2</v>
      </c>
      <c r="R92" s="80">
        <f>((K92-D92)/D92)</f>
        <v>-3.6621995701845611E-3</v>
      </c>
      <c r="S92" s="80">
        <f>((N92-G92)/G92)</f>
        <v>0</v>
      </c>
      <c r="T92" s="80">
        <f>((O92-H92)/H92)</f>
        <v>0.1069182389937107</v>
      </c>
      <c r="U92" s="81">
        <f>P92-I92</f>
        <v>-1.023E-2</v>
      </c>
      <c r="V92" s="83">
        <f>Q92-J92</f>
        <v>-3.6159999999999942E-3</v>
      </c>
    </row>
    <row r="93" spans="1:22">
      <c r="A93" s="75">
        <v>82</v>
      </c>
      <c r="B93" s="122" t="s">
        <v>127</v>
      </c>
      <c r="C93" s="123" t="s">
        <v>91</v>
      </c>
      <c r="D93" s="2">
        <v>2583075991.1799998</v>
      </c>
      <c r="E93" s="3">
        <f t="shared" si="31"/>
        <v>9.624996500130616E-3</v>
      </c>
      <c r="F93" s="14">
        <v>25.985700000000001</v>
      </c>
      <c r="G93" s="14">
        <v>25.985700000000001</v>
      </c>
      <c r="H93" s="60">
        <v>1317</v>
      </c>
      <c r="I93" s="5">
        <v>0</v>
      </c>
      <c r="J93" s="5">
        <v>0.1009</v>
      </c>
      <c r="K93" s="2">
        <v>2551106109.4299998</v>
      </c>
      <c r="L93" s="3">
        <f t="shared" si="32"/>
        <v>9.6723498022443857E-3</v>
      </c>
      <c r="M93" s="14">
        <v>26.025500000000001</v>
      </c>
      <c r="N93" s="14">
        <v>26.025500000000001</v>
      </c>
      <c r="O93" s="60">
        <v>1317</v>
      </c>
      <c r="P93" s="5">
        <v>0</v>
      </c>
      <c r="Q93" s="5">
        <v>0.1003</v>
      </c>
      <c r="R93" s="80">
        <f t="shared" si="20"/>
        <v>-1.2376671015162636E-2</v>
      </c>
      <c r="S93" s="80">
        <f t="shared" si="21"/>
        <v>1.5316116171586532E-3</v>
      </c>
      <c r="T93" s="80">
        <f t="shared" si="22"/>
        <v>0</v>
      </c>
      <c r="U93" s="81">
        <f t="shared" si="23"/>
        <v>0</v>
      </c>
      <c r="V93" s="83">
        <f t="shared" si="24"/>
        <v>-6.0000000000000331E-4</v>
      </c>
    </row>
    <row r="94" spans="1:22">
      <c r="A94" s="75"/>
      <c r="B94" s="19"/>
      <c r="C94" s="71" t="s">
        <v>46</v>
      </c>
      <c r="D94" s="59">
        <f>SUM(D60:D93)</f>
        <v>268371629137.21021</v>
      </c>
      <c r="E94" s="100">
        <f>(D94/$D$188)</f>
        <v>0.1066947533356654</v>
      </c>
      <c r="F94" s="30"/>
      <c r="G94" s="11"/>
      <c r="H94" s="65">
        <f>SUM(H60:H93)</f>
        <v>51890</v>
      </c>
      <c r="I94" s="12"/>
      <c r="J94" s="12"/>
      <c r="K94" s="59">
        <f>SUM(K60:K93)</f>
        <v>263752465697.42932</v>
      </c>
      <c r="L94" s="100">
        <f>(K94/$K$188)</f>
        <v>0.10504726966915413</v>
      </c>
      <c r="M94" s="30"/>
      <c r="N94" s="11"/>
      <c r="O94" s="65">
        <f>SUM(O60:O93)</f>
        <v>49929</v>
      </c>
      <c r="P94" s="12"/>
      <c r="Q94" s="12"/>
      <c r="R94" s="80">
        <f t="shared" si="20"/>
        <v>-1.7211817264854202E-2</v>
      </c>
      <c r="S94" s="80" t="e">
        <f t="shared" si="21"/>
        <v>#DIV/0!</v>
      </c>
      <c r="T94" s="80">
        <f t="shared" si="22"/>
        <v>-3.7791481981113893E-2</v>
      </c>
      <c r="U94" s="81">
        <f t="shared" si="23"/>
        <v>0</v>
      </c>
      <c r="V94" s="83">
        <f t="shared" si="24"/>
        <v>0</v>
      </c>
    </row>
    <row r="95" spans="1:22" ht="8.2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</row>
    <row r="96" spans="1:22" ht="15" customHeight="1">
      <c r="A96" s="165" t="s">
        <v>128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</row>
    <row r="97" spans="1:28">
      <c r="A97" s="169" t="s">
        <v>230</v>
      </c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Z97" s="114"/>
      <c r="AB97" s="103"/>
    </row>
    <row r="98" spans="1:28" ht="16.5" customHeight="1">
      <c r="A98" s="75">
        <v>83</v>
      </c>
      <c r="B98" s="122" t="s">
        <v>129</v>
      </c>
      <c r="C98" s="123" t="s">
        <v>17</v>
      </c>
      <c r="D98" s="2">
        <v>2041719837.8699999</v>
      </c>
      <c r="E98" s="3">
        <f>(D98/$D$125)</f>
        <v>1.88630463429605E-3</v>
      </c>
      <c r="F98" s="2">
        <f>109.5645*1139.13</f>
        <v>124808.208885</v>
      </c>
      <c r="G98" s="2">
        <f>109.5645*1139.13</f>
        <v>124808.208885</v>
      </c>
      <c r="H98" s="60">
        <v>238</v>
      </c>
      <c r="I98" s="5">
        <v>2.5000000000000001E-3</v>
      </c>
      <c r="J98" s="5">
        <v>1.67E-2</v>
      </c>
      <c r="K98" s="2">
        <v>2062668063.48</v>
      </c>
      <c r="L98" s="3">
        <f t="shared" ref="L98:L110" si="33">(K98/$K$125)</f>
        <v>1.9025431220740156E-3</v>
      </c>
      <c r="M98" s="2">
        <f>109.6783*1150.66</f>
        <v>126202.432678</v>
      </c>
      <c r="N98" s="2">
        <f>109.6783*1150.66</f>
        <v>126202.432678</v>
      </c>
      <c r="O98" s="60">
        <v>238</v>
      </c>
      <c r="P98" s="5">
        <v>1E-3</v>
      </c>
      <c r="Q98" s="5">
        <v>1.77E-2</v>
      </c>
      <c r="R98" s="81">
        <f>((K98-D98)/D98)</f>
        <v>1.0260088196945827E-2</v>
      </c>
      <c r="S98" s="81">
        <f>((N98-G98)/G98)</f>
        <v>1.1170930225307971E-2</v>
      </c>
      <c r="T98" s="81">
        <f>((O98-H98)/H98)</f>
        <v>0</v>
      </c>
      <c r="U98" s="81">
        <f>P98-I98</f>
        <v>-1.5E-3</v>
      </c>
      <c r="V98" s="83">
        <f>Q98-J98</f>
        <v>1.0000000000000009E-3</v>
      </c>
      <c r="X98" s="114"/>
      <c r="Y98" s="116"/>
      <c r="Z98" s="114"/>
      <c r="AA98" s="104"/>
    </row>
    <row r="99" spans="1:28">
      <c r="A99" s="75">
        <v>84</v>
      </c>
      <c r="B99" s="122" t="s">
        <v>130</v>
      </c>
      <c r="C99" s="123" t="s">
        <v>21</v>
      </c>
      <c r="D99" s="2">
        <f>10967425.53*1246.665</f>
        <v>13672705548.357449</v>
      </c>
      <c r="E99" s="3">
        <f>(D99/$D$125)</f>
        <v>1.2631942620559543E-2</v>
      </c>
      <c r="F99" s="2">
        <f>1.1173*1246.665</f>
        <v>1392.8988044999999</v>
      </c>
      <c r="G99" s="2">
        <f>1.1173*1246.665</f>
        <v>1392.8988044999999</v>
      </c>
      <c r="H99" s="60">
        <v>298</v>
      </c>
      <c r="I99" s="5">
        <v>5.1499999999999997E-2</v>
      </c>
      <c r="J99" s="5">
        <v>-0.17710000000000001</v>
      </c>
      <c r="K99" s="2">
        <f>10931935.1*1150.16</f>
        <v>12573474474.616001</v>
      </c>
      <c r="L99" s="3">
        <f t="shared" si="33"/>
        <v>1.1597395531443355E-2</v>
      </c>
      <c r="M99" s="2">
        <f>1.1184*1150.16</f>
        <v>1286.3389440000001</v>
      </c>
      <c r="N99" s="2">
        <f>1.1184*1150.16</f>
        <v>1286.3389440000001</v>
      </c>
      <c r="O99" s="60">
        <v>297</v>
      </c>
      <c r="P99" s="5">
        <v>5.1499999999999997E-2</v>
      </c>
      <c r="Q99" s="5">
        <v>-0.16270000000000001</v>
      </c>
      <c r="R99" s="81">
        <f t="shared" ref="R99:R110" si="34">((K99-D99)/D99)</f>
        <v>-8.0396017441734635E-2</v>
      </c>
      <c r="S99" s="81">
        <f t="shared" ref="S99:S110" si="35">((N99-G99)/G99)</f>
        <v>-7.6502226978542712E-2</v>
      </c>
      <c r="T99" s="81">
        <f t="shared" ref="T99:T110" si="36">((O99-H99)/H99)</f>
        <v>-3.3557046979865771E-3</v>
      </c>
      <c r="U99" s="81">
        <f t="shared" ref="U99:U110" si="37">P99-I99</f>
        <v>0</v>
      </c>
      <c r="V99" s="83">
        <f t="shared" ref="V99:V110" si="38">Q99-J99</f>
        <v>1.4399999999999996E-2</v>
      </c>
    </row>
    <row r="100" spans="1:28">
      <c r="A100" s="75">
        <v>85</v>
      </c>
      <c r="B100" s="122" t="s">
        <v>268</v>
      </c>
      <c r="C100" s="123" t="s">
        <v>99</v>
      </c>
      <c r="D100" s="2">
        <f>1461356.05*1139.13</f>
        <v>1664674517.2365003</v>
      </c>
      <c r="E100" s="3">
        <f>(D100/$D$125)</f>
        <v>1.5379599091977305E-3</v>
      </c>
      <c r="F100" s="2">
        <f>1.0082*1139.13</f>
        <v>1148.4708660000001</v>
      </c>
      <c r="G100" s="2">
        <f>1.0082*1139.13</f>
        <v>1148.4708660000001</v>
      </c>
      <c r="H100" s="60">
        <v>201</v>
      </c>
      <c r="I100" s="5">
        <v>1.4E-3</v>
      </c>
      <c r="J100" s="5">
        <v>0</v>
      </c>
      <c r="K100" s="2">
        <f>1473624.12*1150.66</f>
        <v>1695640329.9192002</v>
      </c>
      <c r="L100" s="3">
        <f t="shared" si="33"/>
        <v>1.5640077549638996E-3</v>
      </c>
      <c r="M100" s="2">
        <f>1.0096*1150.66</f>
        <v>1161.7063360000002</v>
      </c>
      <c r="N100" s="2">
        <f>1.0096*1150.66</f>
        <v>1161.7063360000002</v>
      </c>
      <c r="O100" s="60">
        <v>203</v>
      </c>
      <c r="P100" s="5">
        <v>1.4E-3</v>
      </c>
      <c r="Q100" s="5">
        <v>0</v>
      </c>
      <c r="R100" s="81">
        <f t="shared" ref="R100" si="39">((K100-D100)/D100)</f>
        <v>1.8601722055615878E-2</v>
      </c>
      <c r="S100" s="81">
        <f t="shared" ref="S100" si="40">((N100-G100)/G100)</f>
        <v>1.1524428169517081E-2</v>
      </c>
      <c r="T100" s="81">
        <f t="shared" ref="T100" si="41">((O100-H100)/H100)</f>
        <v>9.9502487562189053E-3</v>
      </c>
      <c r="U100" s="81">
        <f t="shared" ref="U100" si="42">P100-I100</f>
        <v>0</v>
      </c>
      <c r="V100" s="83">
        <f t="shared" ref="V100" si="43">Q100-J100</f>
        <v>0</v>
      </c>
    </row>
    <row r="101" spans="1:28">
      <c r="A101" s="75">
        <v>86</v>
      </c>
      <c r="B101" s="122" t="s">
        <v>243</v>
      </c>
      <c r="C101" s="123" t="s">
        <v>25</v>
      </c>
      <c r="D101" s="2">
        <f>380453.9*1139.13</f>
        <v>433386451.10700005</v>
      </c>
      <c r="E101" s="3">
        <v>0</v>
      </c>
      <c r="F101" s="2">
        <f>1.1298*1139.13</f>
        <v>1286.9890740000001</v>
      </c>
      <c r="G101" s="2">
        <f>1.1298*1139.13</f>
        <v>1286.9890740000001</v>
      </c>
      <c r="H101" s="60">
        <v>28</v>
      </c>
      <c r="I101" s="5">
        <v>2.3000000000000001E-4</v>
      </c>
      <c r="J101" s="5">
        <v>0.1144</v>
      </c>
      <c r="K101" s="2">
        <f>385545.78*1150.66</f>
        <v>443632107.21480006</v>
      </c>
      <c r="L101" s="3">
        <f t="shared" si="33"/>
        <v>4.0919294250802948E-4</v>
      </c>
      <c r="M101" s="2">
        <f>1.115*1150.66</f>
        <v>1282.9859000000001</v>
      </c>
      <c r="N101" s="2">
        <f>1.115*1150.66</f>
        <v>1282.9859000000001</v>
      </c>
      <c r="O101" s="60">
        <v>29</v>
      </c>
      <c r="P101" s="5">
        <v>1.0610000000000001E-3</v>
      </c>
      <c r="Q101" s="5">
        <v>0.1147</v>
      </c>
      <c r="R101" s="81">
        <f>((K101-D101)/D101)</f>
        <v>2.3640923895127553E-2</v>
      </c>
      <c r="S101" s="81">
        <f>((N101-G101)/G101)</f>
        <v>-3.1104957150552659E-3</v>
      </c>
      <c r="T101" s="81">
        <f>((O101-H101)/H101)</f>
        <v>3.5714285714285712E-2</v>
      </c>
      <c r="U101" s="81">
        <f>P101-I101</f>
        <v>8.3100000000000014E-4</v>
      </c>
      <c r="V101" s="83">
        <f t="shared" si="38"/>
        <v>2.9999999999999472E-4</v>
      </c>
    </row>
    <row r="102" spans="1:28">
      <c r="A102" s="75">
        <v>87</v>
      </c>
      <c r="B102" s="122" t="s">
        <v>139</v>
      </c>
      <c r="C102" s="123" t="s">
        <v>64</v>
      </c>
      <c r="D102" s="2">
        <f>419522.9*1139.13</f>
        <v>477891121.07700008</v>
      </c>
      <c r="E102" s="3">
        <f t="shared" ref="E102:E110" si="44">(D102/$D$125)</f>
        <v>4.4151416842621525E-4</v>
      </c>
      <c r="F102" s="2">
        <f>104.58*1139.13</f>
        <v>119130.21540000002</v>
      </c>
      <c r="G102" s="2">
        <f>105.75*1139.13</f>
        <v>120462.99750000001</v>
      </c>
      <c r="H102" s="60">
        <v>42</v>
      </c>
      <c r="I102" s="5">
        <v>0</v>
      </c>
      <c r="J102" s="5">
        <v>2.12E-2</v>
      </c>
      <c r="K102" s="2">
        <f>417179.8*1150.66</f>
        <v>480032108.66800004</v>
      </c>
      <c r="L102" s="3">
        <f t="shared" si="33"/>
        <v>4.4276721150186431E-4</v>
      </c>
      <c r="M102" s="2">
        <f>104.94*1150.66</f>
        <v>120750.2604</v>
      </c>
      <c r="N102" s="2">
        <f>106.39*1150.66</f>
        <v>122418.71740000001</v>
      </c>
      <c r="O102" s="60">
        <v>42</v>
      </c>
      <c r="P102" s="5">
        <v>4.7999999999999996E-3</v>
      </c>
      <c r="Q102" s="5">
        <v>2.5999999999999999E-2</v>
      </c>
      <c r="R102" s="81">
        <f>((K102-D102)/D102)</f>
        <v>4.48007400969267E-3</v>
      </c>
      <c r="S102" s="81">
        <f>((N102-G102)/G102)</f>
        <v>1.6235026029465988E-2</v>
      </c>
      <c r="T102" s="81">
        <f>((O102-H102)/H102)</f>
        <v>0</v>
      </c>
      <c r="U102" s="81">
        <f>P102-I102</f>
        <v>4.7999999999999996E-3</v>
      </c>
      <c r="V102" s="83">
        <f>Q102-J102</f>
        <v>4.7999999999999987E-3</v>
      </c>
    </row>
    <row r="103" spans="1:28">
      <c r="A103" s="75">
        <v>88</v>
      </c>
      <c r="B103" s="122" t="s">
        <v>131</v>
      </c>
      <c r="C103" s="123" t="s">
        <v>67</v>
      </c>
      <c r="D103" s="2">
        <v>3150937690.4766297</v>
      </c>
      <c r="E103" s="3">
        <f t="shared" si="44"/>
        <v>2.9110891012964733E-3</v>
      </c>
      <c r="F103" s="2">
        <v>124567.1552958</v>
      </c>
      <c r="G103" s="2">
        <v>124567.1552958</v>
      </c>
      <c r="H103" s="60">
        <v>47</v>
      </c>
      <c r="I103" s="5">
        <v>1.2571498681960879E-3</v>
      </c>
      <c r="J103" s="5">
        <v>6.7557432485755964E-2</v>
      </c>
      <c r="K103" s="2">
        <v>3187967529.7092004</v>
      </c>
      <c r="L103" s="3">
        <f t="shared" si="33"/>
        <v>2.9404855800262111E-3</v>
      </c>
      <c r="M103" s="2">
        <v>125985.7634</v>
      </c>
      <c r="N103" s="2">
        <v>125985.7634</v>
      </c>
      <c r="O103" s="60">
        <v>60</v>
      </c>
      <c r="P103" s="5">
        <v>1.256485899740834E-3</v>
      </c>
      <c r="Q103" s="5">
        <v>7.2565332433666141E-2</v>
      </c>
      <c r="R103" s="81">
        <f t="shared" si="34"/>
        <v>1.1752006186758104E-2</v>
      </c>
      <c r="S103" s="81">
        <f t="shared" si="35"/>
        <v>1.138829975551213E-2</v>
      </c>
      <c r="T103" s="81">
        <f t="shared" si="36"/>
        <v>0.27659574468085107</v>
      </c>
      <c r="U103" s="81">
        <f t="shared" si="37"/>
        <v>-6.6396845525384766E-7</v>
      </c>
      <c r="V103" s="83">
        <f t="shared" si="38"/>
        <v>5.0078999479101771E-3</v>
      </c>
      <c r="X103" s="108"/>
    </row>
    <row r="104" spans="1:28">
      <c r="A104" s="75">
        <v>89</v>
      </c>
      <c r="B104" s="122" t="s">
        <v>132</v>
      </c>
      <c r="C104" s="123" t="s">
        <v>27</v>
      </c>
      <c r="D104" s="2">
        <v>32403984078.93</v>
      </c>
      <c r="E104" s="3">
        <f t="shared" si="44"/>
        <v>2.9937400912706882E-2</v>
      </c>
      <c r="F104" s="2">
        <v>143788.57999999999</v>
      </c>
      <c r="G104" s="2">
        <v>143788.57999999999</v>
      </c>
      <c r="H104" s="60">
        <v>2103</v>
      </c>
      <c r="I104" s="5">
        <v>1.5E-3</v>
      </c>
      <c r="J104" s="5">
        <v>2.1399999999999999E-2</v>
      </c>
      <c r="K104" s="2">
        <v>35212135405.089996</v>
      </c>
      <c r="L104" s="3">
        <f t="shared" si="33"/>
        <v>3.2478616998348885E-2</v>
      </c>
      <c r="M104" s="2">
        <v>156471.60999999999</v>
      </c>
      <c r="N104" s="2">
        <v>156471.60999999999</v>
      </c>
      <c r="O104" s="60">
        <v>2102</v>
      </c>
      <c r="P104" s="5">
        <v>1.4E-3</v>
      </c>
      <c r="Q104" s="5">
        <v>2.2800000000000001E-2</v>
      </c>
      <c r="R104" s="81">
        <f t="shared" si="34"/>
        <v>8.6660680961941849E-2</v>
      </c>
      <c r="S104" s="81">
        <f t="shared" si="35"/>
        <v>8.8206100929573122E-2</v>
      </c>
      <c r="T104" s="81">
        <f t="shared" si="36"/>
        <v>-4.7551117451260106E-4</v>
      </c>
      <c r="U104" s="81">
        <f t="shared" si="37"/>
        <v>-1.0000000000000005E-4</v>
      </c>
      <c r="V104" s="83">
        <f t="shared" si="38"/>
        <v>1.4000000000000019E-3</v>
      </c>
    </row>
    <row r="105" spans="1:28">
      <c r="A105" s="75">
        <v>90</v>
      </c>
      <c r="B105" s="156" t="s">
        <v>133</v>
      </c>
      <c r="C105" s="156" t="s">
        <v>27</v>
      </c>
      <c r="D105" s="2">
        <v>53242739166.099998</v>
      </c>
      <c r="E105" s="3">
        <f t="shared" si="44"/>
        <v>4.9189915172889127E-2</v>
      </c>
      <c r="F105" s="2">
        <v>130462.8336</v>
      </c>
      <c r="G105" s="2">
        <v>130462.8336</v>
      </c>
      <c r="H105" s="60">
        <v>359</v>
      </c>
      <c r="I105" s="5">
        <v>1.6999999999999999E-3</v>
      </c>
      <c r="J105" s="5">
        <v>2.6499999999999999E-2</v>
      </c>
      <c r="K105" s="2">
        <v>56646329825.839996</v>
      </c>
      <c r="L105" s="3">
        <f t="shared" si="33"/>
        <v>5.2248874702147653E-2</v>
      </c>
      <c r="M105" s="2">
        <v>142028.07</v>
      </c>
      <c r="N105" s="2">
        <v>142028.07</v>
      </c>
      <c r="O105" s="60">
        <v>362</v>
      </c>
      <c r="P105" s="5">
        <v>1.8E-3</v>
      </c>
      <c r="Q105" s="5">
        <v>2.8299999999999999E-2</v>
      </c>
      <c r="R105" s="81">
        <f t="shared" si="34"/>
        <v>6.3925912021954842E-2</v>
      </c>
      <c r="S105" s="81">
        <f t="shared" si="35"/>
        <v>8.8647748028063744E-2</v>
      </c>
      <c r="T105" s="81">
        <f t="shared" si="36"/>
        <v>8.356545961002786E-3</v>
      </c>
      <c r="U105" s="81">
        <f t="shared" si="37"/>
        <v>1.0000000000000005E-4</v>
      </c>
      <c r="V105" s="83">
        <f t="shared" si="38"/>
        <v>1.7999999999999995E-3</v>
      </c>
    </row>
    <row r="106" spans="1:28">
      <c r="A106" s="75">
        <v>91</v>
      </c>
      <c r="B106" s="122" t="s">
        <v>134</v>
      </c>
      <c r="C106" s="123" t="s">
        <v>31</v>
      </c>
      <c r="D106" s="2">
        <f>117647.11*1139.13</f>
        <v>134015352.41430001</v>
      </c>
      <c r="E106" s="3">
        <f t="shared" si="44"/>
        <v>1.2381413729595564E-4</v>
      </c>
      <c r="F106" s="2">
        <f>117.44*1139.13</f>
        <v>133779.42720000001</v>
      </c>
      <c r="G106" s="2">
        <f>117.44*1139.13</f>
        <v>133779.42720000001</v>
      </c>
      <c r="H106" s="60">
        <v>4</v>
      </c>
      <c r="I106" s="5">
        <v>1.8E-3</v>
      </c>
      <c r="J106" s="5">
        <v>2.4799999999999999E-2</v>
      </c>
      <c r="K106" s="2">
        <f>102858.61*1150.66</f>
        <v>118355288.18260001</v>
      </c>
      <c r="L106" s="3">
        <f t="shared" si="33"/>
        <v>1.0916736603416026E-4</v>
      </c>
      <c r="M106" s="2">
        <f>118.995*1150.66</f>
        <v>136922.78670000003</v>
      </c>
      <c r="N106" s="2">
        <f>118.995*1150.66</f>
        <v>136922.78670000003</v>
      </c>
      <c r="O106" s="60">
        <v>5</v>
      </c>
      <c r="P106" s="5">
        <v>1.32E-2</v>
      </c>
      <c r="Q106" s="5">
        <v>3.8399999999999997E-2</v>
      </c>
      <c r="R106" s="81">
        <f t="shared" si="34"/>
        <v>-0.116852763131853</v>
      </c>
      <c r="S106" s="81">
        <f t="shared" si="35"/>
        <v>2.3496583636142376E-2</v>
      </c>
      <c r="T106" s="81">
        <f t="shared" si="36"/>
        <v>0.25</v>
      </c>
      <c r="U106" s="81">
        <f t="shared" si="37"/>
        <v>1.14E-2</v>
      </c>
      <c r="V106" s="83">
        <f t="shared" si="38"/>
        <v>1.3599999999999998E-2</v>
      </c>
    </row>
    <row r="107" spans="1:28">
      <c r="A107" s="75">
        <v>92</v>
      </c>
      <c r="B107" s="122" t="s">
        <v>135</v>
      </c>
      <c r="C107" s="123" t="s">
        <v>34</v>
      </c>
      <c r="D107" s="2">
        <f>10457172.4*1139.13</f>
        <v>11912078796.012001</v>
      </c>
      <c r="E107" s="3">
        <f t="shared" si="44"/>
        <v>1.1005334336398725E-2</v>
      </c>
      <c r="F107" s="2">
        <f>1.34*1139.13</f>
        <v>1526.4342000000001</v>
      </c>
      <c r="G107" s="2">
        <f>1.34*1139.13</f>
        <v>1526.4342000000001</v>
      </c>
      <c r="H107" s="61">
        <v>116</v>
      </c>
      <c r="I107" s="12">
        <v>8.9999999999999998E-4</v>
      </c>
      <c r="J107" s="12">
        <v>4.5900000000000003E-2</v>
      </c>
      <c r="K107" s="2">
        <f>10606659.79*1150.66</f>
        <v>12204659153.961399</v>
      </c>
      <c r="L107" s="3">
        <f t="shared" si="33"/>
        <v>1.1257211347642548E-2</v>
      </c>
      <c r="M107" s="2">
        <f>1.34*1150.66</f>
        <v>1541.8844000000001</v>
      </c>
      <c r="N107" s="2">
        <v>1541.8844000000001</v>
      </c>
      <c r="O107" s="61">
        <v>116</v>
      </c>
      <c r="P107" s="12">
        <v>8.9999999999999998E-4</v>
      </c>
      <c r="Q107" s="12">
        <v>4.5999999999999999E-2</v>
      </c>
      <c r="R107" s="81">
        <f t="shared" si="34"/>
        <v>2.456165401183796E-2</v>
      </c>
      <c r="S107" s="81">
        <f t="shared" si="35"/>
        <v>1.0121759588457855E-2</v>
      </c>
      <c r="T107" s="81">
        <f t="shared" si="36"/>
        <v>0</v>
      </c>
      <c r="U107" s="81">
        <f t="shared" si="37"/>
        <v>0</v>
      </c>
      <c r="V107" s="83">
        <f t="shared" si="38"/>
        <v>9.9999999999995925E-5</v>
      </c>
    </row>
    <row r="108" spans="1:28">
      <c r="A108" s="75">
        <v>93</v>
      </c>
      <c r="B108" s="122" t="s">
        <v>136</v>
      </c>
      <c r="C108" s="123" t="s">
        <v>78</v>
      </c>
      <c r="D108" s="2">
        <f>10050758.54*1139.13</f>
        <v>11449120575.6702</v>
      </c>
      <c r="E108" s="3">
        <f t="shared" si="44"/>
        <v>1.0577616380037373E-2</v>
      </c>
      <c r="F108" s="2">
        <f>103.04*1139.13</f>
        <v>117375.95520000001</v>
      </c>
      <c r="G108" s="2">
        <f>103.04*1139.13</f>
        <v>117375.95520000001</v>
      </c>
      <c r="H108" s="60">
        <v>304</v>
      </c>
      <c r="I108" s="5">
        <v>1.9E-3</v>
      </c>
      <c r="J108" s="5">
        <v>2.4199999999999999E-2</v>
      </c>
      <c r="K108" s="2">
        <f>10373856.23*1150.66</f>
        <v>11936781409.611801</v>
      </c>
      <c r="L108" s="3">
        <f t="shared" si="33"/>
        <v>1.1010128955137191E-2</v>
      </c>
      <c r="M108" s="2">
        <f>103.32*1150.66</f>
        <v>118886.1912</v>
      </c>
      <c r="N108" s="2">
        <f>103.32*1150.66</f>
        <v>118886.1912</v>
      </c>
      <c r="O108" s="60">
        <v>310</v>
      </c>
      <c r="P108" s="5">
        <v>2.7000000000000001E-3</v>
      </c>
      <c r="Q108" s="5">
        <v>3.1800000000000002E-2</v>
      </c>
      <c r="R108" s="81">
        <f t="shared" si="34"/>
        <v>4.2593737284756863E-2</v>
      </c>
      <c r="S108" s="81">
        <f t="shared" si="35"/>
        <v>1.2866655674295971E-2</v>
      </c>
      <c r="T108" s="81">
        <f t="shared" si="36"/>
        <v>1.9736842105263157E-2</v>
      </c>
      <c r="U108" s="81">
        <f t="shared" si="37"/>
        <v>8.0000000000000015E-4</v>
      </c>
      <c r="V108" s="83">
        <f t="shared" si="38"/>
        <v>7.6000000000000026E-3</v>
      </c>
    </row>
    <row r="109" spans="1:28">
      <c r="A109" s="75">
        <v>94</v>
      </c>
      <c r="B109" s="122" t="s">
        <v>137</v>
      </c>
      <c r="C109" s="123" t="s">
        <v>38</v>
      </c>
      <c r="D109" s="2">
        <f>1940786.46*1139.13</f>
        <v>2210808080.1798</v>
      </c>
      <c r="E109" s="3">
        <f t="shared" si="44"/>
        <v>2.0425219218778235E-3</v>
      </c>
      <c r="F109" s="2">
        <f>136.815387*1139.13</f>
        <v>155850.51179331</v>
      </c>
      <c r="G109" s="2">
        <f>140.019801*1139.13</f>
        <v>159500.75591313001</v>
      </c>
      <c r="H109" s="60">
        <v>47</v>
      </c>
      <c r="I109" s="5">
        <v>0.21879999999999999</v>
      </c>
      <c r="J109" s="5">
        <v>3.6600000000000001E-2</v>
      </c>
      <c r="K109" s="2">
        <f>1919705.32*1150.66</f>
        <v>2208928123.5112004</v>
      </c>
      <c r="L109" s="3">
        <f t="shared" si="33"/>
        <v>2.037449012252497E-3</v>
      </c>
      <c r="M109" s="2">
        <f>135.82*1150.66</f>
        <v>156282.64120000001</v>
      </c>
      <c r="N109" s="2">
        <f>139.07*1150.66</f>
        <v>160022.2862</v>
      </c>
      <c r="O109" s="60">
        <v>47</v>
      </c>
      <c r="P109" s="5">
        <v>7.0000000000000001E-3</v>
      </c>
      <c r="Q109" s="5">
        <v>2.9399999999999999E-2</v>
      </c>
      <c r="R109" s="81">
        <f t="shared" si="34"/>
        <v>-8.5034819867616592E-4</v>
      </c>
      <c r="S109" s="81">
        <f t="shared" si="35"/>
        <v>3.2697668665221825E-3</v>
      </c>
      <c r="T109" s="81">
        <f t="shared" si="36"/>
        <v>0</v>
      </c>
      <c r="U109" s="81">
        <f t="shared" si="37"/>
        <v>-0.21179999999999999</v>
      </c>
      <c r="V109" s="83">
        <f t="shared" si="38"/>
        <v>-7.2000000000000015E-3</v>
      </c>
    </row>
    <row r="110" spans="1:28" ht="16.5" customHeight="1">
      <c r="A110" s="75">
        <v>95</v>
      </c>
      <c r="B110" s="122" t="s">
        <v>138</v>
      </c>
      <c r="C110" s="123" t="s">
        <v>45</v>
      </c>
      <c r="D110" s="4">
        <v>170860085399.92999</v>
      </c>
      <c r="E110" s="3">
        <f t="shared" si="44"/>
        <v>0.15785425841889081</v>
      </c>
      <c r="F110" s="2">
        <v>144145.85</v>
      </c>
      <c r="G110" s="2">
        <v>144145.85</v>
      </c>
      <c r="H110" s="60">
        <v>3133</v>
      </c>
      <c r="I110" s="5">
        <v>5.3499999999999999E-2</v>
      </c>
      <c r="J110" s="5">
        <v>5.3900000000000003E-2</v>
      </c>
      <c r="K110" s="4">
        <v>174928468435.01001</v>
      </c>
      <c r="L110" s="3">
        <f t="shared" si="33"/>
        <v>0.16134876976495974</v>
      </c>
      <c r="M110" s="2">
        <v>147777.10999999999</v>
      </c>
      <c r="N110" s="2">
        <v>147777.10999999999</v>
      </c>
      <c r="O110" s="60">
        <v>3137</v>
      </c>
      <c r="P110" s="5">
        <v>5.3400000000000003E-2</v>
      </c>
      <c r="Q110" s="5">
        <v>5.3800000000000001E-2</v>
      </c>
      <c r="R110" s="81">
        <f t="shared" si="34"/>
        <v>2.3811196310461892E-2</v>
      </c>
      <c r="S110" s="81">
        <f t="shared" si="35"/>
        <v>2.5191568123535849E-2</v>
      </c>
      <c r="T110" s="81">
        <f t="shared" si="36"/>
        <v>1.2767315671879987E-3</v>
      </c>
      <c r="U110" s="81">
        <f t="shared" si="37"/>
        <v>-9.9999999999995925E-5</v>
      </c>
      <c r="V110" s="83">
        <f t="shared" si="38"/>
        <v>-1.0000000000000286E-4</v>
      </c>
    </row>
    <row r="111" spans="1:28" ht="6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</row>
    <row r="112" spans="1:28">
      <c r="A112" s="169" t="s">
        <v>231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</row>
    <row r="113" spans="1:24">
      <c r="A113" s="75">
        <v>96</v>
      </c>
      <c r="B113" s="122" t="s">
        <v>140</v>
      </c>
      <c r="C113" s="123" t="s">
        <v>97</v>
      </c>
      <c r="D113" s="4">
        <v>1449406832.4100001</v>
      </c>
      <c r="E113" s="3">
        <f>(D113/$D$125)</f>
        <v>1.3390783467175293E-3</v>
      </c>
      <c r="F113" s="2">
        <v>178052.82</v>
      </c>
      <c r="G113" s="2">
        <v>178052.82</v>
      </c>
      <c r="H113" s="60">
        <v>25</v>
      </c>
      <c r="I113" s="5">
        <v>5.7369999999999999E-3</v>
      </c>
      <c r="J113" s="5">
        <v>6.2799999999999995E-2</v>
      </c>
      <c r="K113" s="4">
        <v>1444639281.98</v>
      </c>
      <c r="L113" s="3">
        <f t="shared" ref="L113:L124" si="45">(K113/$K$125)</f>
        <v>1.3324919207659237E-3</v>
      </c>
      <c r="M113" s="2">
        <v>170889.32</v>
      </c>
      <c r="N113" s="2">
        <v>170889.32</v>
      </c>
      <c r="O113" s="60">
        <v>24</v>
      </c>
      <c r="P113" s="5">
        <v>-2.9060000000000002E-3</v>
      </c>
      <c r="Q113" s="5">
        <v>3.8100000000000002E-2</v>
      </c>
      <c r="R113" s="81">
        <f>((K113-D113)/D113)</f>
        <v>-3.2893114089112066E-3</v>
      </c>
      <c r="S113" s="81">
        <f>((N113-G113)/G113)</f>
        <v>-4.0232443383935168E-2</v>
      </c>
      <c r="T113" s="81">
        <f>((O113-H113)/H113)</f>
        <v>-0.04</v>
      </c>
      <c r="U113" s="81">
        <f>P113-I113</f>
        <v>-8.6429999999999996E-3</v>
      </c>
      <c r="V113" s="83">
        <f>Q113-J113</f>
        <v>-2.4699999999999993E-2</v>
      </c>
    </row>
    <row r="114" spans="1:24">
      <c r="A114" s="75">
        <v>97</v>
      </c>
      <c r="B114" s="123" t="s">
        <v>141</v>
      </c>
      <c r="C114" s="123" t="s">
        <v>23</v>
      </c>
      <c r="D114" s="2">
        <f>7387020.67*1139.13</f>
        <v>8414776855.8171005</v>
      </c>
      <c r="E114" s="3">
        <f>(D114/$D$125)</f>
        <v>7.7742461454721849E-3</v>
      </c>
      <c r="F114" s="4">
        <f>133.99*1139.13</f>
        <v>152632.02870000002</v>
      </c>
      <c r="G114" s="4">
        <f>133.99*1139.13</f>
        <v>152632.02870000002</v>
      </c>
      <c r="H114" s="60">
        <v>362</v>
      </c>
      <c r="I114" s="5">
        <v>5.0000000000000001E-4</v>
      </c>
      <c r="J114" s="5">
        <v>1.7600000000000001E-2</v>
      </c>
      <c r="K114" s="2">
        <f>7377648.4*1150.66</f>
        <v>8489164907.9440012</v>
      </c>
      <c r="L114" s="3">
        <f t="shared" si="45"/>
        <v>7.8301509553175656E-3</v>
      </c>
      <c r="M114" s="4">
        <f>133.9415*1150.66</f>
        <v>154121.12638999999</v>
      </c>
      <c r="N114" s="4">
        <f>133.9415*1150.66</f>
        <v>154121.12638999999</v>
      </c>
      <c r="O114" s="60">
        <v>360</v>
      </c>
      <c r="P114" s="5">
        <v>5.0000000000000001E-4</v>
      </c>
      <c r="Q114" s="5">
        <v>1.72E-2</v>
      </c>
      <c r="R114" s="81">
        <f t="shared" ref="R114:R125" si="46">((K114-D114)/D114)</f>
        <v>8.8401693118548372E-3</v>
      </c>
      <c r="S114" s="81">
        <f t="shared" ref="S114:S125" si="47">((N114-G114)/G114)</f>
        <v>9.7561285313635202E-3</v>
      </c>
      <c r="T114" s="81">
        <f t="shared" ref="T114:T125" si="48">((O114-H114)/H114)</f>
        <v>-5.5248618784530384E-3</v>
      </c>
      <c r="U114" s="81">
        <f t="shared" ref="U114:U125" si="49">P114-I114</f>
        <v>0</v>
      </c>
      <c r="V114" s="83">
        <f t="shared" ref="V114:V125" si="50">Q114-J114</f>
        <v>-4.0000000000000105E-4</v>
      </c>
    </row>
    <row r="115" spans="1:24">
      <c r="A115" s="75">
        <v>98</v>
      </c>
      <c r="B115" s="122" t="s">
        <v>142</v>
      </c>
      <c r="C115" s="123" t="s">
        <v>58</v>
      </c>
      <c r="D115" s="4">
        <v>13207697256</v>
      </c>
      <c r="E115" s="3">
        <f t="shared" ref="E115:E124" si="51">(D115/$D$125)</f>
        <v>1.22023306431518E-2</v>
      </c>
      <c r="F115" s="4">
        <v>139692</v>
      </c>
      <c r="G115" s="4">
        <v>139692</v>
      </c>
      <c r="H115" s="60">
        <v>598</v>
      </c>
      <c r="I115" s="5">
        <v>1.4E-3</v>
      </c>
      <c r="J115" s="5">
        <v>6.4100000000000004E-2</v>
      </c>
      <c r="K115" s="4">
        <v>12994422780</v>
      </c>
      <c r="L115" s="3">
        <f t="shared" si="45"/>
        <v>1.1985665615872674E-2</v>
      </c>
      <c r="M115" s="4">
        <v>139872</v>
      </c>
      <c r="N115" s="4">
        <v>139872</v>
      </c>
      <c r="O115" s="60">
        <v>601</v>
      </c>
      <c r="P115" s="5">
        <v>1.2999999999999999E-3</v>
      </c>
      <c r="Q115" s="5">
        <v>6.3200000000000006E-2</v>
      </c>
      <c r="R115" s="81">
        <f t="shared" si="46"/>
        <v>-1.6147741113850377E-2</v>
      </c>
      <c r="S115" s="81">
        <f t="shared" si="47"/>
        <v>1.2885490937204708E-3</v>
      </c>
      <c r="T115" s="81">
        <f t="shared" si="48"/>
        <v>5.016722408026756E-3</v>
      </c>
      <c r="U115" s="81">
        <f t="shared" si="49"/>
        <v>-1.0000000000000005E-4</v>
      </c>
      <c r="V115" s="83">
        <f t="shared" si="50"/>
        <v>-8.9999999999999802E-4</v>
      </c>
    </row>
    <row r="116" spans="1:24">
      <c r="A116" s="75">
        <v>99</v>
      </c>
      <c r="B116" s="122" t="s">
        <v>143</v>
      </c>
      <c r="C116" s="123" t="s">
        <v>56</v>
      </c>
      <c r="D116" s="4">
        <v>4922347502.105298</v>
      </c>
      <c r="E116" s="3">
        <f t="shared" si="51"/>
        <v>4.5476596409639259E-3</v>
      </c>
      <c r="F116" s="4">
        <v>1462.1139433069816</v>
      </c>
      <c r="G116" s="4">
        <v>1462.1139433069816</v>
      </c>
      <c r="H116" s="60">
        <v>169</v>
      </c>
      <c r="I116" s="5">
        <v>6.7645880604664504E-2</v>
      </c>
      <c r="J116" s="5">
        <v>5.0049570465859158E-2</v>
      </c>
      <c r="K116" s="4">
        <v>4791042750.5471621</v>
      </c>
      <c r="L116" s="3">
        <f t="shared" si="45"/>
        <v>4.4191140562081328E-3</v>
      </c>
      <c r="M116" s="4">
        <v>1428.1211399441495</v>
      </c>
      <c r="N116" s="4">
        <v>1428.1211399441495</v>
      </c>
      <c r="O116" s="60">
        <v>173</v>
      </c>
      <c r="P116" s="5">
        <v>0.14805038694874265</v>
      </c>
      <c r="Q116" s="5">
        <v>5.6418686204675682E-2</v>
      </c>
      <c r="R116" s="81">
        <f t="shared" si="46"/>
        <v>-2.6675229959277902E-2</v>
      </c>
      <c r="S116" s="81">
        <f t="shared" si="47"/>
        <v>-2.3249079538868095E-2</v>
      </c>
      <c r="T116" s="81">
        <f t="shared" si="48"/>
        <v>2.3668639053254437E-2</v>
      </c>
      <c r="U116" s="81">
        <f t="shared" si="49"/>
        <v>8.0404506344078142E-2</v>
      </c>
      <c r="V116" s="83">
        <f t="shared" si="50"/>
        <v>6.3691157388165234E-3</v>
      </c>
    </row>
    <row r="117" spans="1:24" ht="15.75">
      <c r="A117" s="75">
        <v>100</v>
      </c>
      <c r="B117" s="122" t="s">
        <v>253</v>
      </c>
      <c r="C117" s="123" t="s">
        <v>114</v>
      </c>
      <c r="D117" s="4">
        <v>1041361980.62</v>
      </c>
      <c r="E117" s="3">
        <f t="shared" si="51"/>
        <v>9.6209376702362812E-4</v>
      </c>
      <c r="F117" s="4">
        <f>1.047602*1139.13</f>
        <v>1193.3548662600001</v>
      </c>
      <c r="G117" s="4">
        <f>1.059914*1139.13</f>
        <v>1207.37983482</v>
      </c>
      <c r="H117" s="60">
        <v>36</v>
      </c>
      <c r="I117" s="5">
        <v>6.9999999999999999E-4</v>
      </c>
      <c r="J117" s="5">
        <v>4.4299999999999999E-2</v>
      </c>
      <c r="K117" s="4">
        <v>1132400242.1700001</v>
      </c>
      <c r="L117" s="3">
        <f t="shared" si="45"/>
        <v>1.0444920005891066E-3</v>
      </c>
      <c r="M117" s="4">
        <f>1.0372*1150.66</f>
        <v>1193.4645519999999</v>
      </c>
      <c r="N117" s="4">
        <f>1.0499*1150.66</f>
        <v>1208.0779340000001</v>
      </c>
      <c r="O117" s="60">
        <v>36</v>
      </c>
      <c r="P117" s="5">
        <v>6.9999999999999999E-4</v>
      </c>
      <c r="Q117" s="5">
        <v>4.2299999999999997E-2</v>
      </c>
      <c r="R117" s="81">
        <f t="shared" si="46"/>
        <v>8.7422301989360365E-2</v>
      </c>
      <c r="S117" s="81">
        <f t="shared" si="47"/>
        <v>5.7819350619200472E-4</v>
      </c>
      <c r="T117" s="81">
        <f t="shared" si="48"/>
        <v>0</v>
      </c>
      <c r="U117" s="81">
        <f t="shared" si="49"/>
        <v>0</v>
      </c>
      <c r="V117" s="83">
        <f t="shared" si="50"/>
        <v>-2.0000000000000018E-3</v>
      </c>
      <c r="X117" s="117"/>
    </row>
    <row r="118" spans="1:24" ht="15.75">
      <c r="A118" s="75">
        <v>101</v>
      </c>
      <c r="B118" s="122" t="s">
        <v>259</v>
      </c>
      <c r="C118" s="123" t="s">
        <v>36</v>
      </c>
      <c r="D118" s="2">
        <f>846852.8758*1139.13</f>
        <v>964675516.41005409</v>
      </c>
      <c r="E118" s="3">
        <f t="shared" si="51"/>
        <v>8.912446572956706E-4</v>
      </c>
      <c r="F118" s="4">
        <f>10.19*1139.13</f>
        <v>11607.734700000001</v>
      </c>
      <c r="G118" s="4">
        <f>10.19*1139.13</f>
        <v>11607.734700000001</v>
      </c>
      <c r="H118" s="60">
        <v>37</v>
      </c>
      <c r="I118" s="5">
        <v>7.6399999999999996E-2</v>
      </c>
      <c r="J118" s="5">
        <v>9.7199999999999995E-2</v>
      </c>
      <c r="K118" s="2">
        <f>882848.13*1150.66</f>
        <v>1015858029.2658001</v>
      </c>
      <c r="L118" s="3">
        <f t="shared" si="45"/>
        <v>9.3699696078222239E-4</v>
      </c>
      <c r="M118" s="4">
        <f>10.21*1150.66</f>
        <v>11748.238600000002</v>
      </c>
      <c r="N118" s="4">
        <f>10.21*1150.66</f>
        <v>11748.238600000002</v>
      </c>
      <c r="O118" s="60">
        <v>37</v>
      </c>
      <c r="P118" s="5">
        <v>7.3099999999999998E-2</v>
      </c>
      <c r="Q118" s="5">
        <v>9.3899999999999997E-2</v>
      </c>
      <c r="R118" s="81">
        <f t="shared" ref="R118" si="52">((K118-D118)/D118)</f>
        <v>5.3056713874336484E-2</v>
      </c>
      <c r="S118" s="81">
        <f t="shared" ref="S118" si="53">((N118-G118)/G118)</f>
        <v>1.2104334190201772E-2</v>
      </c>
      <c r="T118" s="81">
        <f t="shared" ref="T118" si="54">((O118-H118)/H118)</f>
        <v>0</v>
      </c>
      <c r="U118" s="81">
        <f t="shared" ref="U118" si="55">P118-I118</f>
        <v>-3.2999999999999974E-3</v>
      </c>
      <c r="V118" s="83">
        <f t="shared" ref="V118" si="56">Q118-J118</f>
        <v>-3.2999999999999974E-3</v>
      </c>
      <c r="X118" s="117"/>
    </row>
    <row r="119" spans="1:24" ht="15.75">
      <c r="A119" s="75">
        <v>102</v>
      </c>
      <c r="B119" s="123" t="s">
        <v>144</v>
      </c>
      <c r="C119" s="157" t="s">
        <v>40</v>
      </c>
      <c r="D119" s="4">
        <v>14331683105</v>
      </c>
      <c r="E119" s="3">
        <f t="shared" si="51"/>
        <v>1.3240758970352524E-2</v>
      </c>
      <c r="F119" s="4">
        <f>1.0415*1139.13</f>
        <v>1186.4038950000001</v>
      </c>
      <c r="G119" s="4">
        <f>1.0415*1139.13</f>
        <v>1186.4038950000001</v>
      </c>
      <c r="H119" s="60">
        <v>371</v>
      </c>
      <c r="I119" s="5">
        <v>9.1200000000000003E-2</v>
      </c>
      <c r="J119" s="5">
        <v>9.0300000000000005E-2</v>
      </c>
      <c r="K119" s="4">
        <v>13403075209</v>
      </c>
      <c r="L119" s="3">
        <f t="shared" si="45"/>
        <v>1.2362594352918749E-2</v>
      </c>
      <c r="M119" s="4">
        <f>1.0422*1150.66</f>
        <v>1199.217852</v>
      </c>
      <c r="N119" s="4">
        <f>1.0422*1150.66</f>
        <v>1199.217852</v>
      </c>
      <c r="O119" s="60">
        <v>371</v>
      </c>
      <c r="P119" s="5">
        <v>1.6999999999999999E-3</v>
      </c>
      <c r="Q119" s="5">
        <v>8.6800000000000002E-2</v>
      </c>
      <c r="R119" s="81">
        <f t="shared" si="46"/>
        <v>-6.4794057278312944E-2</v>
      </c>
      <c r="S119" s="81">
        <f t="shared" si="47"/>
        <v>1.0800670036572868E-2</v>
      </c>
      <c r="T119" s="81">
        <f t="shared" si="48"/>
        <v>0</v>
      </c>
      <c r="U119" s="81">
        <f t="shared" si="49"/>
        <v>-8.950000000000001E-2</v>
      </c>
      <c r="V119" s="83">
        <f t="shared" si="50"/>
        <v>-3.5000000000000031E-3</v>
      </c>
      <c r="X119" s="117"/>
    </row>
    <row r="120" spans="1:24">
      <c r="A120" s="75">
        <v>103</v>
      </c>
      <c r="B120" s="122" t="s">
        <v>145</v>
      </c>
      <c r="C120" s="123" t="s">
        <v>80</v>
      </c>
      <c r="D120" s="4">
        <v>305020931.00999999</v>
      </c>
      <c r="E120" s="3">
        <f t="shared" si="51"/>
        <v>2.818028140049316E-4</v>
      </c>
      <c r="F120" s="4">
        <f>1.05*1205.06</f>
        <v>1265.3130000000001</v>
      </c>
      <c r="G120" s="4">
        <f>1.05*1205.06</f>
        <v>1265.3130000000001</v>
      </c>
      <c r="H120" s="60">
        <v>2</v>
      </c>
      <c r="I120" s="5">
        <v>-5.143E-3</v>
      </c>
      <c r="J120" s="5">
        <v>1.9161999999999998E-2</v>
      </c>
      <c r="K120" s="4">
        <v>295035684.17000002</v>
      </c>
      <c r="L120" s="3">
        <f t="shared" si="45"/>
        <v>2.721320611989384E-4</v>
      </c>
      <c r="M120" s="4">
        <f>1.05*1173.72</f>
        <v>1232.4060000000002</v>
      </c>
      <c r="N120" s="4">
        <f>1.05*1173.72</f>
        <v>1232.4060000000002</v>
      </c>
      <c r="O120" s="60">
        <v>2</v>
      </c>
      <c r="P120" s="5">
        <v>-6.9090000000000002E-3</v>
      </c>
      <c r="Q120" s="5">
        <v>1.2121E-2</v>
      </c>
      <c r="R120" s="81">
        <f t="shared" si="46"/>
        <v>-3.273626766181699E-2</v>
      </c>
      <c r="S120" s="81">
        <f t="shared" si="47"/>
        <v>-2.6007003800640572E-2</v>
      </c>
      <c r="T120" s="81">
        <f t="shared" si="48"/>
        <v>0</v>
      </c>
      <c r="U120" s="81">
        <f t="shared" si="49"/>
        <v>-1.7660000000000002E-3</v>
      </c>
      <c r="V120" s="83">
        <f t="shared" si="50"/>
        <v>-7.0409999999999986E-3</v>
      </c>
    </row>
    <row r="121" spans="1:24">
      <c r="A121" s="75">
        <v>104</v>
      </c>
      <c r="B121" s="122" t="s">
        <v>146</v>
      </c>
      <c r="C121" s="123" t="s">
        <v>42</v>
      </c>
      <c r="D121" s="2">
        <v>651947478603.72998</v>
      </c>
      <c r="E121" s="3">
        <f t="shared" si="51"/>
        <v>0.60232139953676767</v>
      </c>
      <c r="F121" s="4">
        <v>1801.44</v>
      </c>
      <c r="G121" s="4">
        <v>1801.44</v>
      </c>
      <c r="H121" s="60">
        <v>7116</v>
      </c>
      <c r="I121" s="5">
        <v>1.4E-3</v>
      </c>
      <c r="J121" s="5">
        <v>2.06E-2</v>
      </c>
      <c r="K121" s="2">
        <v>643543520768.14001</v>
      </c>
      <c r="L121" s="3">
        <f t="shared" si="45"/>
        <v>0.59358523112392825</v>
      </c>
      <c r="M121" s="4">
        <v>1756.94</v>
      </c>
      <c r="N121" s="4">
        <v>1756.94</v>
      </c>
      <c r="O121" s="60">
        <v>7172</v>
      </c>
      <c r="P121" s="5">
        <v>1.2999999999999999E-3</v>
      </c>
      <c r="Q121" s="5">
        <v>2.1999999999999999E-2</v>
      </c>
      <c r="R121" s="81">
        <f t="shared" si="46"/>
        <v>-1.2890544271432181E-2</v>
      </c>
      <c r="S121" s="81">
        <f t="shared" si="47"/>
        <v>-2.4702460254019006E-2</v>
      </c>
      <c r="T121" s="81">
        <f t="shared" si="48"/>
        <v>7.8695896571107371E-3</v>
      </c>
      <c r="U121" s="81">
        <f t="shared" si="49"/>
        <v>-1.0000000000000005E-4</v>
      </c>
      <c r="V121" s="83">
        <f t="shared" si="50"/>
        <v>1.3999999999999985E-3</v>
      </c>
    </row>
    <row r="122" spans="1:24" ht="16.5" customHeight="1">
      <c r="A122" s="75">
        <v>105</v>
      </c>
      <c r="B122" s="122" t="s">
        <v>147</v>
      </c>
      <c r="C122" s="123" t="s">
        <v>45</v>
      </c>
      <c r="D122" s="2">
        <v>35624204682.43</v>
      </c>
      <c r="E122" s="3">
        <f t="shared" si="51"/>
        <v>3.2912499129009974E-2</v>
      </c>
      <c r="F122" s="4">
        <v>1266.21</v>
      </c>
      <c r="G122" s="4">
        <v>1266.21</v>
      </c>
      <c r="H122" s="60">
        <v>254</v>
      </c>
      <c r="I122" s="5">
        <v>6.8099999999999994E-2</v>
      </c>
      <c r="J122" s="5">
        <v>7.7299999999999994E-2</v>
      </c>
      <c r="K122" s="2">
        <v>36852276797.879997</v>
      </c>
      <c r="L122" s="3">
        <f t="shared" si="45"/>
        <v>3.3991434199201316E-2</v>
      </c>
      <c r="M122" s="4">
        <v>1298.45</v>
      </c>
      <c r="N122" s="4">
        <v>1266.21</v>
      </c>
      <c r="O122" s="60">
        <v>259</v>
      </c>
      <c r="P122" s="5">
        <v>6.8000000000000005E-2</v>
      </c>
      <c r="Q122" s="5">
        <v>7.6799999999999993E-2</v>
      </c>
      <c r="R122" s="81">
        <f t="shared" si="46"/>
        <v>3.4472969330756373E-2</v>
      </c>
      <c r="S122" s="81">
        <f t="shared" si="47"/>
        <v>0</v>
      </c>
      <c r="T122" s="81">
        <f t="shared" si="48"/>
        <v>1.968503937007874E-2</v>
      </c>
      <c r="U122" s="81">
        <f t="shared" si="49"/>
        <v>-9.9999999999988987E-5</v>
      </c>
      <c r="V122" s="83">
        <f t="shared" si="50"/>
        <v>-5.0000000000000044E-4</v>
      </c>
    </row>
    <row r="123" spans="1:24" ht="16.5" customHeight="1">
      <c r="A123" s="75">
        <v>106</v>
      </c>
      <c r="B123" s="122" t="s">
        <v>148</v>
      </c>
      <c r="C123" s="123" t="s">
        <v>32</v>
      </c>
      <c r="D123" s="4">
        <v>45788416998.830002</v>
      </c>
      <c r="E123" s="3">
        <f t="shared" ref="E123" si="57">(D123/$D$125)</f>
        <v>4.2303014145211267E-2</v>
      </c>
      <c r="F123" s="4">
        <f>1.1064*1309.39</f>
        <v>1448.7090960000003</v>
      </c>
      <c r="G123" s="4">
        <f>1.1064*1309.39</f>
        <v>1448.7090960000003</v>
      </c>
      <c r="H123" s="60">
        <v>1295</v>
      </c>
      <c r="I123" s="5">
        <v>9.0464990048855221E-4</v>
      </c>
      <c r="J123" s="5">
        <v>1.4301430143014437E-2</v>
      </c>
      <c r="K123" s="4">
        <v>45724238596.787308</v>
      </c>
      <c r="L123" s="3">
        <f t="shared" ref="L123" si="58">(K123/$K$125)</f>
        <v>4.2174665519192217E-2</v>
      </c>
      <c r="M123" s="4">
        <f>1.1074*1150.66</f>
        <v>1274.2408840000001</v>
      </c>
      <c r="N123" s="4">
        <f>1.1074*1150.66</f>
        <v>1274.2408840000001</v>
      </c>
      <c r="O123" s="60">
        <v>1300</v>
      </c>
      <c r="P123" s="5">
        <v>9.0383224873447077E-4</v>
      </c>
      <c r="Q123" s="5">
        <v>1.5218188485515149E-2</v>
      </c>
      <c r="R123" s="81">
        <f t="shared" ref="R123" si="59">((K123-D123)/D123)</f>
        <v>-1.4016296314488005E-3</v>
      </c>
      <c r="S123" s="81">
        <f t="shared" ref="S123" si="60">((N123-G123)/G123)</f>
        <v>-0.12043012118976865</v>
      </c>
      <c r="T123" s="81">
        <f t="shared" ref="T123" si="61">((O123-H123)/H123)</f>
        <v>3.8610038610038611E-3</v>
      </c>
      <c r="U123" s="81">
        <f t="shared" ref="U123" si="62">P123-I123</f>
        <v>-8.1765175408143875E-7</v>
      </c>
      <c r="V123" s="83">
        <f t="shared" ref="V123" si="63">Q123-J123</f>
        <v>9.1675834250071198E-4</v>
      </c>
    </row>
    <row r="124" spans="1:24">
      <c r="A124" s="75">
        <v>107</v>
      </c>
      <c r="B124" s="122" t="s">
        <v>263</v>
      </c>
      <c r="C124" s="123" t="s">
        <v>261</v>
      </c>
      <c r="D124" s="4">
        <f>649743.92*1139.13</f>
        <v>740142791.58960009</v>
      </c>
      <c r="E124" s="3">
        <f t="shared" si="51"/>
        <v>6.8380330734934679E-4</v>
      </c>
      <c r="F124" s="4">
        <f>1.15*1139.13</f>
        <v>1309.9995000000001</v>
      </c>
      <c r="G124" s="4">
        <f>1.15*1139.13</f>
        <v>1309.9995000000001</v>
      </c>
      <c r="H124" s="60">
        <v>26</v>
      </c>
      <c r="I124" s="5">
        <v>2.2769999999999999E-3</v>
      </c>
      <c r="J124" s="5">
        <v>4.7772000000000002E-2</v>
      </c>
      <c r="K124" s="4">
        <f>676903.57*1150.66</f>
        <v>778885861.85619998</v>
      </c>
      <c r="L124" s="3">
        <f t="shared" si="45"/>
        <v>7.1842094498476903E-4</v>
      </c>
      <c r="M124" s="4">
        <f>1.16*1150.66</f>
        <v>1334.7655999999999</v>
      </c>
      <c r="N124" s="4">
        <f>1.16*1150.66</f>
        <v>1334.7655999999999</v>
      </c>
      <c r="O124" s="60">
        <v>27</v>
      </c>
      <c r="P124" s="5">
        <v>3.3999999999999998E-3</v>
      </c>
      <c r="Q124" s="5">
        <v>5.1299999999999998E-2</v>
      </c>
      <c r="R124" s="81">
        <f t="shared" si="46"/>
        <v>5.2345399707793734E-2</v>
      </c>
      <c r="S124" s="81">
        <f t="shared" si="47"/>
        <v>1.8905427063139964E-2</v>
      </c>
      <c r="T124" s="81">
        <f t="shared" si="48"/>
        <v>3.8461538461538464E-2</v>
      </c>
      <c r="U124" s="81">
        <f t="shared" si="49"/>
        <v>1.1229999999999999E-3</v>
      </c>
      <c r="V124" s="83">
        <f t="shared" si="50"/>
        <v>3.5279999999999964E-3</v>
      </c>
    </row>
    <row r="125" spans="1:24">
      <c r="A125" s="75"/>
      <c r="B125" s="19"/>
      <c r="C125" s="66" t="s">
        <v>46</v>
      </c>
      <c r="D125" s="59">
        <f>SUM(D98:D124)</f>
        <v>1082391359671.3127</v>
      </c>
      <c r="E125" s="100">
        <f>(D125/$D$188)</f>
        <v>0.43031925358154016</v>
      </c>
      <c r="F125" s="30"/>
      <c r="G125" s="11"/>
      <c r="H125" s="65">
        <f>SUM(H98:H124)</f>
        <v>17211</v>
      </c>
      <c r="I125" s="33"/>
      <c r="J125" s="33"/>
      <c r="K125" s="59">
        <f>SUM(K98:K124)</f>
        <v>1084163633164.5548</v>
      </c>
      <c r="L125" s="100">
        <f>(K125/$K$188)</f>
        <v>0.43180043544759517</v>
      </c>
      <c r="M125" s="30"/>
      <c r="N125" s="11"/>
      <c r="O125" s="65">
        <f>SUM(O98:O124)</f>
        <v>17310</v>
      </c>
      <c r="P125" s="33"/>
      <c r="Q125" s="33"/>
      <c r="R125" s="81">
        <f t="shared" si="46"/>
        <v>1.6373684780523817E-3</v>
      </c>
      <c r="S125" s="81" t="e">
        <f t="shared" si="47"/>
        <v>#DIV/0!</v>
      </c>
      <c r="T125" s="81">
        <f t="shared" si="48"/>
        <v>5.7521352623322291E-3</v>
      </c>
      <c r="U125" s="81">
        <f t="shared" si="49"/>
        <v>0</v>
      </c>
      <c r="V125" s="83">
        <f t="shared" si="50"/>
        <v>0</v>
      </c>
    </row>
    <row r="126" spans="1:24" ht="8.2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</row>
    <row r="127" spans="1:24" ht="15.75">
      <c r="A127" s="165" t="s">
        <v>149</v>
      </c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</row>
    <row r="128" spans="1:24">
      <c r="A128" s="75">
        <v>108</v>
      </c>
      <c r="B128" s="122" t="s">
        <v>245</v>
      </c>
      <c r="C128" s="123" t="s">
        <v>246</v>
      </c>
      <c r="D128" s="2">
        <v>2236738906.1498466</v>
      </c>
      <c r="E128" s="3">
        <f>(D128/$D$133)</f>
        <v>2.2396483814636749E-2</v>
      </c>
      <c r="F128" s="14">
        <v>105.84</v>
      </c>
      <c r="G128" s="14">
        <v>105.84</v>
      </c>
      <c r="H128" s="60">
        <v>7</v>
      </c>
      <c r="I128" s="5">
        <v>4.1068243704696084E-3</v>
      </c>
      <c r="J128" s="5">
        <v>3.5700000000000003E-2</v>
      </c>
      <c r="K128" s="2">
        <v>2250556283.4103961</v>
      </c>
      <c r="L128" s="3">
        <f>(K128/$K$133)</f>
        <v>2.2523990183739028E-2</v>
      </c>
      <c r="M128" s="14">
        <v>106.05826029266711</v>
      </c>
      <c r="N128" s="14">
        <v>106.05826029266711</v>
      </c>
      <c r="O128" s="60">
        <v>7</v>
      </c>
      <c r="P128" s="5">
        <v>2.0621720773537078E-3</v>
      </c>
      <c r="Q128" s="5">
        <v>3.78E-2</v>
      </c>
      <c r="R128" s="81">
        <f t="shared" ref="R128:R133" si="64">((K128-D128)/D128)</f>
        <v>6.1774654263665203E-3</v>
      </c>
      <c r="S128" s="81">
        <f t="shared" ref="S128:T133" si="65">((N128-G128)/G128)</f>
        <v>2.0621720773536553E-3</v>
      </c>
      <c r="T128" s="81">
        <f t="shared" si="65"/>
        <v>0</v>
      </c>
      <c r="U128" s="81">
        <f t="shared" ref="U128:V133" si="66">P128-I128</f>
        <v>-2.0446522931159006E-3</v>
      </c>
      <c r="V128" s="83">
        <f t="shared" si="66"/>
        <v>2.0999999999999977E-3</v>
      </c>
    </row>
    <row r="129" spans="1:22">
      <c r="A129" s="75">
        <v>109</v>
      </c>
      <c r="B129" s="122" t="s">
        <v>150</v>
      </c>
      <c r="C129" s="123" t="s">
        <v>40</v>
      </c>
      <c r="D129" s="2">
        <v>53749983529</v>
      </c>
      <c r="E129" s="3">
        <f>(D129/$D$133)</f>
        <v>0.53819899713569574</v>
      </c>
      <c r="F129" s="14">
        <v>102.5</v>
      </c>
      <c r="G129" s="14">
        <v>102.5</v>
      </c>
      <c r="H129" s="60">
        <v>666</v>
      </c>
      <c r="I129" s="5">
        <v>0</v>
      </c>
      <c r="J129" s="5">
        <v>7.6999999999999999E-2</v>
      </c>
      <c r="K129" s="2">
        <v>53749983529</v>
      </c>
      <c r="L129" s="3">
        <f>(K129/$K$133)</f>
        <v>0.53793993525402628</v>
      </c>
      <c r="M129" s="14">
        <v>102.5</v>
      </c>
      <c r="N129" s="14">
        <v>102.5</v>
      </c>
      <c r="O129" s="60">
        <v>666</v>
      </c>
      <c r="P129" s="5">
        <v>0</v>
      </c>
      <c r="Q129" s="5">
        <v>7.6999999999999999E-2</v>
      </c>
      <c r="R129" s="81">
        <f t="shared" si="64"/>
        <v>0</v>
      </c>
      <c r="S129" s="81">
        <f t="shared" si="65"/>
        <v>0</v>
      </c>
      <c r="T129" s="81">
        <f t="shared" si="65"/>
        <v>0</v>
      </c>
      <c r="U129" s="81">
        <f t="shared" si="66"/>
        <v>0</v>
      </c>
      <c r="V129" s="83">
        <f t="shared" si="66"/>
        <v>0</v>
      </c>
    </row>
    <row r="130" spans="1:22" ht="17.25" customHeight="1">
      <c r="A130" s="75">
        <v>110</v>
      </c>
      <c r="B130" s="122" t="s">
        <v>151</v>
      </c>
      <c r="C130" s="123" t="s">
        <v>120</v>
      </c>
      <c r="D130" s="2">
        <v>2587959474.4925961</v>
      </c>
      <c r="E130" s="3">
        <f>(D130/$D$133)</f>
        <v>2.5913258057990898E-2</v>
      </c>
      <c r="F130" s="14">
        <v>101.35</v>
      </c>
      <c r="G130" s="14">
        <v>101.35</v>
      </c>
      <c r="H130" s="60">
        <v>2760</v>
      </c>
      <c r="I130" s="5">
        <v>0.18640863870531948</v>
      </c>
      <c r="J130" s="5">
        <v>8.5295382165044911E-2</v>
      </c>
      <c r="K130" s="2">
        <v>2590077666.1866102</v>
      </c>
      <c r="L130" s="3">
        <f>(K130/$K$133)</f>
        <v>2.5921983981624607E-2</v>
      </c>
      <c r="M130" s="14">
        <v>101.35</v>
      </c>
      <c r="N130" s="14">
        <v>101.35</v>
      </c>
      <c r="O130" s="60">
        <v>2760</v>
      </c>
      <c r="P130" s="5">
        <v>5.8299999999999998E-2</v>
      </c>
      <c r="Q130" s="5">
        <v>8.2500000000000004E-2</v>
      </c>
      <c r="R130" s="81">
        <f t="shared" si="64"/>
        <v>8.1847946804861462E-4</v>
      </c>
      <c r="S130" s="81">
        <f t="shared" si="65"/>
        <v>0</v>
      </c>
      <c r="T130" s="81">
        <f t="shared" si="65"/>
        <v>0</v>
      </c>
      <c r="U130" s="81">
        <f t="shared" si="66"/>
        <v>-0.12810863870531949</v>
      </c>
      <c r="V130" s="83">
        <f t="shared" si="66"/>
        <v>-2.7953821650449073E-3</v>
      </c>
    </row>
    <row r="131" spans="1:22">
      <c r="A131" s="75">
        <v>111</v>
      </c>
      <c r="B131" s="122" t="s">
        <v>152</v>
      </c>
      <c r="C131" s="123" t="s">
        <v>120</v>
      </c>
      <c r="D131" s="2">
        <v>11029231120.09</v>
      </c>
      <c r="E131" s="3">
        <f>(D131/$D$133)</f>
        <v>0.11043577575810058</v>
      </c>
      <c r="F131" s="14">
        <v>36.6</v>
      </c>
      <c r="G131" s="14">
        <v>36.6</v>
      </c>
      <c r="H131" s="60">
        <v>5264</v>
      </c>
      <c r="I131" s="5">
        <v>5.1700000000000003E-2</v>
      </c>
      <c r="J131" s="5">
        <v>0.14599999999999999</v>
      </c>
      <c r="K131" s="2">
        <v>11045183158.040001</v>
      </c>
      <c r="L131" s="3">
        <f>(K131/$K$133)</f>
        <v>0.11054226853296008</v>
      </c>
      <c r="M131" s="14">
        <v>36.6</v>
      </c>
      <c r="N131" s="14">
        <v>36.6</v>
      </c>
      <c r="O131" s="60">
        <v>5264</v>
      </c>
      <c r="P131" s="5">
        <v>6.8900000000000003E-2</v>
      </c>
      <c r="Q131" s="5">
        <v>0.1489</v>
      </c>
      <c r="R131" s="81">
        <f t="shared" si="64"/>
        <v>1.4463417962965483E-3</v>
      </c>
      <c r="S131" s="81">
        <f t="shared" si="65"/>
        <v>0</v>
      </c>
      <c r="T131" s="81">
        <f t="shared" si="65"/>
        <v>0</v>
      </c>
      <c r="U131" s="81">
        <f t="shared" si="66"/>
        <v>1.72E-2</v>
      </c>
      <c r="V131" s="83">
        <f t="shared" si="66"/>
        <v>2.9000000000000137E-3</v>
      </c>
    </row>
    <row r="132" spans="1:22">
      <c r="A132" s="75">
        <v>112</v>
      </c>
      <c r="B132" s="122" t="s">
        <v>153</v>
      </c>
      <c r="C132" s="123" t="s">
        <v>42</v>
      </c>
      <c r="D132" s="2">
        <v>30266179287.529999</v>
      </c>
      <c r="E132" s="3">
        <f>(D132/$D$133)</f>
        <v>0.30305548523357595</v>
      </c>
      <c r="F132" s="14">
        <v>4.95</v>
      </c>
      <c r="G132" s="14">
        <v>4.95</v>
      </c>
      <c r="H132" s="60">
        <v>208300</v>
      </c>
      <c r="I132" s="5">
        <v>-3.8800000000000001E-2</v>
      </c>
      <c r="J132" s="5">
        <v>-0.2266</v>
      </c>
      <c r="K132" s="2">
        <v>30282387262.200001</v>
      </c>
      <c r="L132" s="3">
        <f>(K132/$K$133)</f>
        <v>0.30307182204765021</v>
      </c>
      <c r="M132" s="14">
        <v>4.3</v>
      </c>
      <c r="N132" s="14">
        <v>4.3</v>
      </c>
      <c r="O132" s="60">
        <v>208300</v>
      </c>
      <c r="P132" s="5">
        <v>-0.1313</v>
      </c>
      <c r="Q132" s="5">
        <v>-0.2266</v>
      </c>
      <c r="R132" s="81">
        <f t="shared" si="64"/>
        <v>5.3551439433519282E-4</v>
      </c>
      <c r="S132" s="81">
        <f t="shared" si="65"/>
        <v>-0.13131313131313138</v>
      </c>
      <c r="T132" s="81">
        <f t="shared" si="65"/>
        <v>0</v>
      </c>
      <c r="U132" s="81">
        <f t="shared" si="66"/>
        <v>-9.2499999999999999E-2</v>
      </c>
      <c r="V132" s="83">
        <f t="shared" si="66"/>
        <v>0</v>
      </c>
    </row>
    <row r="133" spans="1:22">
      <c r="A133" s="119"/>
      <c r="B133" s="120"/>
      <c r="C133" s="121" t="s">
        <v>46</v>
      </c>
      <c r="D133" s="58">
        <f>SUM(D128:D132)</f>
        <v>99870092317.262451</v>
      </c>
      <c r="E133" s="100">
        <f>(D133/$D$188)</f>
        <v>3.9704699411250211E-2</v>
      </c>
      <c r="F133" s="30"/>
      <c r="G133" s="34"/>
      <c r="H133" s="65">
        <f>SUM(H128:H132)</f>
        <v>216997</v>
      </c>
      <c r="I133" s="35"/>
      <c r="J133" s="35"/>
      <c r="K133" s="58">
        <f>SUM(K128:K132)</f>
        <v>99918187898.83699</v>
      </c>
      <c r="L133" s="100">
        <f>(K133/$K$188)</f>
        <v>3.9795392248970524E-2</v>
      </c>
      <c r="M133" s="30"/>
      <c r="N133" s="34"/>
      <c r="O133" s="65">
        <f>SUM(O128:O132)</f>
        <v>216997</v>
      </c>
      <c r="P133" s="35"/>
      <c r="Q133" s="35"/>
      <c r="R133" s="81">
        <f t="shared" si="64"/>
        <v>4.8158142701772497E-4</v>
      </c>
      <c r="S133" s="81" t="e">
        <f t="shared" si="65"/>
        <v>#DIV/0!</v>
      </c>
      <c r="T133" s="81">
        <f t="shared" si="65"/>
        <v>0</v>
      </c>
      <c r="U133" s="81">
        <f t="shared" si="66"/>
        <v>0</v>
      </c>
      <c r="V133" s="83">
        <f t="shared" si="66"/>
        <v>0</v>
      </c>
    </row>
    <row r="134" spans="1:22" ht="7.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</row>
    <row r="135" spans="1:22" ht="15" customHeight="1">
      <c r="A135" s="165" t="s">
        <v>154</v>
      </c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</row>
    <row r="136" spans="1:22">
      <c r="A136" s="75">
        <v>113</v>
      </c>
      <c r="B136" s="122" t="s">
        <v>155</v>
      </c>
      <c r="C136" s="123" t="s">
        <v>50</v>
      </c>
      <c r="D136" s="4">
        <v>233546015.5</v>
      </c>
      <c r="E136" s="3">
        <f t="shared" ref="E136:E161" si="67">(D136/$D$162)</f>
        <v>4.8575419781529882E-3</v>
      </c>
      <c r="F136" s="4">
        <v>5.24</v>
      </c>
      <c r="G136" s="4">
        <v>5.31</v>
      </c>
      <c r="H136" s="62">
        <v>11832</v>
      </c>
      <c r="I136" s="6">
        <v>-8.8999999999999999E-3</v>
      </c>
      <c r="J136" s="6">
        <v>4.1799999999999997E-2</v>
      </c>
      <c r="K136" s="4">
        <v>232640631.22999999</v>
      </c>
      <c r="L136" s="16">
        <f t="shared" ref="L136:L152" si="68">(K136/$K$162)</f>
        <v>4.9273801991769565E-3</v>
      </c>
      <c r="M136" s="4">
        <v>5.23</v>
      </c>
      <c r="N136" s="4">
        <v>5.29</v>
      </c>
      <c r="O136" s="62">
        <v>11832</v>
      </c>
      <c r="P136" s="6">
        <v>-1.6000000000000001E-3</v>
      </c>
      <c r="Q136" s="6">
        <v>4.0300000000000002E-2</v>
      </c>
      <c r="R136" s="81">
        <f>((K136-D136)/D136)</f>
        <v>-3.8766847212600409E-3</v>
      </c>
      <c r="S136" s="81">
        <f>((N136-G136)/G136)</f>
        <v>-3.7664783427494492E-3</v>
      </c>
      <c r="T136" s="81">
        <f>((O136-H136)/H136)</f>
        <v>0</v>
      </c>
      <c r="U136" s="81">
        <f>P136-I136</f>
        <v>7.3000000000000001E-3</v>
      </c>
      <c r="V136" s="83">
        <f>Q136-J136</f>
        <v>-1.4999999999999944E-3</v>
      </c>
    </row>
    <row r="137" spans="1:22">
      <c r="A137" s="75">
        <v>114</v>
      </c>
      <c r="B137" s="122" t="s">
        <v>255</v>
      </c>
      <c r="C137" s="122" t="s">
        <v>254</v>
      </c>
      <c r="D137" s="4">
        <v>602110107.63035071</v>
      </c>
      <c r="E137" s="3">
        <f t="shared" si="67"/>
        <v>1.2523335570606822E-2</v>
      </c>
      <c r="F137" s="4">
        <v>1149.5551926999221</v>
      </c>
      <c r="G137" s="4">
        <v>1160.7103128725655</v>
      </c>
      <c r="H137" s="62">
        <v>174</v>
      </c>
      <c r="I137" s="6">
        <v>-3.5726108146334569E-2</v>
      </c>
      <c r="J137" s="6">
        <v>2.029401157020486E-2</v>
      </c>
      <c r="K137" s="4">
        <v>578860801.84427834</v>
      </c>
      <c r="L137" s="16">
        <f t="shared" si="68"/>
        <v>1.2260400249117709E-2</v>
      </c>
      <c r="M137" s="4">
        <v>1105.5893871928758</v>
      </c>
      <c r="N137" s="4">
        <v>1116.0079930976526</v>
      </c>
      <c r="O137" s="62">
        <v>173</v>
      </c>
      <c r="P137" s="6">
        <v>-3.2762507886624707E-2</v>
      </c>
      <c r="Q137" s="6">
        <v>-1.3133379030539936E-2</v>
      </c>
      <c r="R137" s="81">
        <f>((K137-D137)/D137)</f>
        <v>-3.8613046835522746E-2</v>
      </c>
      <c r="S137" s="81">
        <f>((N137-G137)/G137)</f>
        <v>-3.8512899626334904E-2</v>
      </c>
      <c r="T137" s="81">
        <f>((O137-H137)/H137)</f>
        <v>-5.7471264367816091E-3</v>
      </c>
      <c r="U137" s="81">
        <f>P137-I137</f>
        <v>2.9636002597098615E-3</v>
      </c>
      <c r="V137" s="83">
        <f>Q137-J137</f>
        <v>-3.3427390600744795E-2</v>
      </c>
    </row>
    <row r="138" spans="1:22">
      <c r="A138" s="75">
        <v>115</v>
      </c>
      <c r="B138" s="122" t="s">
        <v>156</v>
      </c>
      <c r="C138" s="123" t="s">
        <v>21</v>
      </c>
      <c r="D138" s="4">
        <v>7245017351.6899996</v>
      </c>
      <c r="E138" s="3">
        <f t="shared" si="67"/>
        <v>0.15068968675374794</v>
      </c>
      <c r="F138" s="4">
        <v>759.88620000000003</v>
      </c>
      <c r="G138" s="4">
        <v>782.79729999999995</v>
      </c>
      <c r="H138" s="62">
        <v>21232</v>
      </c>
      <c r="I138" s="6">
        <v>-0.32850000000000001</v>
      </c>
      <c r="J138" s="6">
        <v>0.52249999999999996</v>
      </c>
      <c r="K138" s="4">
        <v>7174989326.8199997</v>
      </c>
      <c r="L138" s="16">
        <f t="shared" si="68"/>
        <v>0.15196786628096043</v>
      </c>
      <c r="M138" s="4">
        <v>752.78719999999998</v>
      </c>
      <c r="N138" s="4">
        <v>775.48440000000005</v>
      </c>
      <c r="O138" s="62">
        <v>21235</v>
      </c>
      <c r="P138" s="6">
        <v>-0.48849999999999999</v>
      </c>
      <c r="Q138" s="6">
        <v>0.4536</v>
      </c>
      <c r="R138" s="81">
        <f t="shared" ref="R138:R162" si="69">((K138-D138)/D138)</f>
        <v>-9.6656807666119521E-3</v>
      </c>
      <c r="S138" s="81">
        <f t="shared" ref="S138:S162" si="70">((N138-G138)/G138)</f>
        <v>-9.3420097386640189E-3</v>
      </c>
      <c r="T138" s="81">
        <f t="shared" ref="T138:T162" si="71">((O138-H138)/H138)</f>
        <v>1.4129615674453655E-4</v>
      </c>
      <c r="U138" s="81">
        <f t="shared" ref="U138:U162" si="72">P138-I138</f>
        <v>-0.15999999999999998</v>
      </c>
      <c r="V138" s="83">
        <f t="shared" ref="V138:V162" si="73">Q138-J138</f>
        <v>-6.8899999999999961E-2</v>
      </c>
    </row>
    <row r="139" spans="1:22">
      <c r="A139" s="75">
        <v>116</v>
      </c>
      <c r="B139" s="122" t="s">
        <v>157</v>
      </c>
      <c r="C139" s="123" t="s">
        <v>91</v>
      </c>
      <c r="D139" s="4">
        <v>3517230967.4699998</v>
      </c>
      <c r="E139" s="3">
        <f t="shared" si="67"/>
        <v>7.3155164025246106E-2</v>
      </c>
      <c r="F139" s="4">
        <v>20.113</v>
      </c>
      <c r="G139" s="4">
        <v>20.3584</v>
      </c>
      <c r="H139" s="60">
        <v>6261</v>
      </c>
      <c r="I139" s="5">
        <v>-3.2199999999999999E-2</v>
      </c>
      <c r="J139" s="5">
        <v>9.0700000000000003E-2</v>
      </c>
      <c r="K139" s="4">
        <v>3383468616.04</v>
      </c>
      <c r="L139" s="16">
        <f t="shared" si="68"/>
        <v>7.1662616177866859E-2</v>
      </c>
      <c r="M139" s="4">
        <v>19.010100000000001</v>
      </c>
      <c r="N139" s="4">
        <v>19.2315</v>
      </c>
      <c r="O139" s="60">
        <v>6261</v>
      </c>
      <c r="P139" s="5">
        <v>-3.2199999999999999E-2</v>
      </c>
      <c r="Q139" s="5">
        <v>3.0599999999999999E-2</v>
      </c>
      <c r="R139" s="81">
        <f t="shared" si="69"/>
        <v>-3.803058504463732E-2</v>
      </c>
      <c r="S139" s="81">
        <f t="shared" si="70"/>
        <v>-5.5353072933039885E-2</v>
      </c>
      <c r="T139" s="81">
        <f t="shared" si="71"/>
        <v>0</v>
      </c>
      <c r="U139" s="81">
        <f t="shared" si="72"/>
        <v>0</v>
      </c>
      <c r="V139" s="83">
        <f t="shared" si="73"/>
        <v>-6.0100000000000001E-2</v>
      </c>
    </row>
    <row r="140" spans="1:22">
      <c r="A140" s="75">
        <v>117</v>
      </c>
      <c r="B140" s="122" t="s">
        <v>158</v>
      </c>
      <c r="C140" s="123" t="s">
        <v>101</v>
      </c>
      <c r="D140" s="2">
        <v>1474750452.6226039</v>
      </c>
      <c r="E140" s="3">
        <f t="shared" si="67"/>
        <v>3.0673450863966539E-2</v>
      </c>
      <c r="F140" s="4">
        <v>3.4660000000000002</v>
      </c>
      <c r="G140" s="4">
        <v>3.5539000000000001</v>
      </c>
      <c r="H140" s="60">
        <v>2753</v>
      </c>
      <c r="I140" s="5">
        <v>-1.2816000000000001</v>
      </c>
      <c r="J140" s="5">
        <v>0.41560000000000002</v>
      </c>
      <c r="K140" s="2">
        <v>1421261454.8780563</v>
      </c>
      <c r="L140" s="16">
        <f t="shared" si="68"/>
        <v>3.0102633033590603E-2</v>
      </c>
      <c r="M140" s="4">
        <v>3.3414999999999999</v>
      </c>
      <c r="N140" s="4">
        <v>3.4238</v>
      </c>
      <c r="O140" s="60">
        <v>2753</v>
      </c>
      <c r="P140" s="5">
        <v>-1.9140999999999999</v>
      </c>
      <c r="Q140" s="5">
        <v>0.25309999999999999</v>
      </c>
      <c r="R140" s="81">
        <f t="shared" si="69"/>
        <v>-3.6269863589074421E-2</v>
      </c>
      <c r="S140" s="81">
        <f t="shared" si="70"/>
        <v>-3.6607670446551707E-2</v>
      </c>
      <c r="T140" s="81">
        <f t="shared" si="71"/>
        <v>0</v>
      </c>
      <c r="U140" s="81">
        <f t="shared" si="72"/>
        <v>-0.63249999999999984</v>
      </c>
      <c r="V140" s="83">
        <f t="shared" si="73"/>
        <v>-0.16250000000000003</v>
      </c>
    </row>
    <row r="141" spans="1:22">
      <c r="A141" s="75">
        <v>118</v>
      </c>
      <c r="B141" s="122" t="s">
        <v>159</v>
      </c>
      <c r="C141" s="123" t="s">
        <v>56</v>
      </c>
      <c r="D141" s="4">
        <v>3220159792.7842598</v>
      </c>
      <c r="E141" s="3">
        <f t="shared" si="67"/>
        <v>6.6976357255857225E-2</v>
      </c>
      <c r="F141" s="4">
        <v>5952.0650261103301</v>
      </c>
      <c r="G141" s="4">
        <v>5995.5998195604898</v>
      </c>
      <c r="H141" s="60">
        <v>870</v>
      </c>
      <c r="I141" s="5">
        <v>-1.150606759230524</v>
      </c>
      <c r="J141" s="5">
        <v>0.10104652071449474</v>
      </c>
      <c r="K141" s="4">
        <v>3103904451.7548499</v>
      </c>
      <c r="L141" s="16">
        <f t="shared" si="68"/>
        <v>6.5741385134884436E-2</v>
      </c>
      <c r="M141" s="4">
        <v>5748.3044768133504</v>
      </c>
      <c r="N141" s="4">
        <v>5788.1022746974704</v>
      </c>
      <c r="O141" s="60">
        <v>871</v>
      </c>
      <c r="P141" s="5">
        <v>-1.7899276665336277</v>
      </c>
      <c r="Q141" s="5">
        <v>-2.2527255417573985E-2</v>
      </c>
      <c r="R141" s="81">
        <f t="shared" si="69"/>
        <v>-3.6102351594450396E-2</v>
      </c>
      <c r="S141" s="81">
        <f t="shared" si="70"/>
        <v>-3.4608304608000018E-2</v>
      </c>
      <c r="T141" s="81">
        <f t="shared" si="71"/>
        <v>1.1494252873563218E-3</v>
      </c>
      <c r="U141" s="81">
        <f t="shared" si="72"/>
        <v>-0.63932090730310365</v>
      </c>
      <c r="V141" s="83">
        <f t="shared" si="73"/>
        <v>-0.12357377613206873</v>
      </c>
    </row>
    <row r="142" spans="1:22">
      <c r="A142" s="75">
        <v>119</v>
      </c>
      <c r="B142" s="122" t="s">
        <v>160</v>
      </c>
      <c r="C142" s="123" t="s">
        <v>58</v>
      </c>
      <c r="D142" s="4">
        <v>514080230.42000002</v>
      </c>
      <c r="E142" s="3">
        <f t="shared" si="67"/>
        <v>1.0692395218379183E-2</v>
      </c>
      <c r="F142" s="4">
        <v>184.19</v>
      </c>
      <c r="G142" s="4">
        <v>185.49</v>
      </c>
      <c r="H142" s="60">
        <v>668</v>
      </c>
      <c r="I142" s="5">
        <v>-2.4E-2</v>
      </c>
      <c r="J142" s="5">
        <v>6.4899999999999999E-2</v>
      </c>
      <c r="K142" s="4">
        <v>496274559.13999999</v>
      </c>
      <c r="L142" s="16">
        <f t="shared" si="68"/>
        <v>1.0511205300350704E-2</v>
      </c>
      <c r="M142" s="4">
        <v>178.08</v>
      </c>
      <c r="N142" s="4">
        <v>178.63</v>
      </c>
      <c r="O142" s="60">
        <v>668</v>
      </c>
      <c r="P142" s="5">
        <v>-3.5099999999999999E-2</v>
      </c>
      <c r="Q142" s="5">
        <v>2.75E-2</v>
      </c>
      <c r="R142" s="81">
        <f t="shared" si="69"/>
        <v>-3.4635977472724289E-2</v>
      </c>
      <c r="S142" s="81">
        <f t="shared" si="70"/>
        <v>-3.6983125774974465E-2</v>
      </c>
      <c r="T142" s="81">
        <f t="shared" si="71"/>
        <v>0</v>
      </c>
      <c r="U142" s="81">
        <f t="shared" si="72"/>
        <v>-1.1099999999999999E-2</v>
      </c>
      <c r="V142" s="83">
        <f t="shared" si="73"/>
        <v>-3.7400000000000003E-2</v>
      </c>
    </row>
    <row r="143" spans="1:22">
      <c r="A143" s="75">
        <v>120</v>
      </c>
      <c r="B143" s="122" t="s">
        <v>161</v>
      </c>
      <c r="C143" s="123" t="s">
        <v>60</v>
      </c>
      <c r="D143" s="4">
        <v>3734808.11</v>
      </c>
      <c r="E143" s="3">
        <f t="shared" si="67"/>
        <v>7.7680568156262219E-5</v>
      </c>
      <c r="F143" s="4">
        <v>102.747</v>
      </c>
      <c r="G143" s="4">
        <v>102.99</v>
      </c>
      <c r="H143" s="60">
        <v>0</v>
      </c>
      <c r="I143" s="5">
        <v>0</v>
      </c>
      <c r="J143" s="5">
        <v>0</v>
      </c>
      <c r="K143" s="4">
        <v>3734808.11</v>
      </c>
      <c r="L143" s="16">
        <f t="shared" si="68"/>
        <v>7.9104064632396813E-5</v>
      </c>
      <c r="M143" s="4">
        <v>102.747</v>
      </c>
      <c r="N143" s="4">
        <v>102.99</v>
      </c>
      <c r="O143" s="60">
        <v>0</v>
      </c>
      <c r="P143" s="5">
        <v>0</v>
      </c>
      <c r="Q143" s="5">
        <v>0</v>
      </c>
      <c r="R143" s="81">
        <f t="shared" si="69"/>
        <v>0</v>
      </c>
      <c r="S143" s="81">
        <f t="shared" si="70"/>
        <v>0</v>
      </c>
      <c r="T143" s="81" t="e">
        <f t="shared" si="71"/>
        <v>#DIV/0!</v>
      </c>
      <c r="U143" s="81">
        <f t="shared" si="72"/>
        <v>0</v>
      </c>
      <c r="V143" s="83">
        <f t="shared" si="73"/>
        <v>0</v>
      </c>
    </row>
    <row r="144" spans="1:22">
      <c r="A144" s="75">
        <v>121</v>
      </c>
      <c r="B144" s="122" t="s">
        <v>162</v>
      </c>
      <c r="C144" s="123" t="s">
        <v>105</v>
      </c>
      <c r="D144" s="4">
        <v>189658010.38999999</v>
      </c>
      <c r="E144" s="3">
        <f t="shared" si="67"/>
        <v>3.9447119018067786E-3</v>
      </c>
      <c r="F144" s="4">
        <v>1.5696000000000001</v>
      </c>
      <c r="G144" s="4">
        <v>1.5833999999999999</v>
      </c>
      <c r="H144" s="60">
        <v>293</v>
      </c>
      <c r="I144" s="5">
        <v>-1.7772215269086344E-2</v>
      </c>
      <c r="J144" s="5">
        <v>5.675621086649163E-2</v>
      </c>
      <c r="K144" s="4">
        <v>182863575</v>
      </c>
      <c r="L144" s="16">
        <f t="shared" si="68"/>
        <v>3.873091101248343E-3</v>
      </c>
      <c r="M144" s="4">
        <v>1.5316000000000001</v>
      </c>
      <c r="N144" s="4">
        <v>1.5446</v>
      </c>
      <c r="O144" s="60">
        <v>295</v>
      </c>
      <c r="P144" s="5">
        <v>-2.4209989806320054E-2</v>
      </c>
      <c r="Q144" s="5">
        <v>3.1172153773648459E-2</v>
      </c>
      <c r="R144" s="81">
        <f t="shared" si="69"/>
        <v>-3.5824668707788117E-2</v>
      </c>
      <c r="S144" s="81">
        <f t="shared" si="70"/>
        <v>-2.4504231400783092E-2</v>
      </c>
      <c r="T144" s="81">
        <f t="shared" si="71"/>
        <v>6.8259385665529011E-3</v>
      </c>
      <c r="U144" s="81">
        <f t="shared" si="72"/>
        <v>-6.4377745372337092E-3</v>
      </c>
      <c r="V144" s="83">
        <f t="shared" si="73"/>
        <v>-2.5584057092843171E-2</v>
      </c>
    </row>
    <row r="145" spans="1:24">
      <c r="A145" s="75">
        <v>122</v>
      </c>
      <c r="B145" s="122" t="s">
        <v>163</v>
      </c>
      <c r="C145" s="123" t="s">
        <v>25</v>
      </c>
      <c r="D145" s="9">
        <v>145878559.91</v>
      </c>
      <c r="E145" s="3">
        <f t="shared" si="67"/>
        <v>3.0341396617632748E-3</v>
      </c>
      <c r="F145" s="4">
        <v>140.1225</v>
      </c>
      <c r="G145" s="4">
        <v>140.59020000000001</v>
      </c>
      <c r="H145" s="60">
        <v>100</v>
      </c>
      <c r="I145" s="5">
        <v>-1.3557E-2</v>
      </c>
      <c r="J145" s="5">
        <v>0.2792</v>
      </c>
      <c r="K145" s="9">
        <v>146408018.58000001</v>
      </c>
      <c r="L145" s="16">
        <f t="shared" si="68"/>
        <v>3.1009543257239725E-3</v>
      </c>
      <c r="M145" s="4">
        <v>139.9898</v>
      </c>
      <c r="N145" s="4">
        <v>140.4288</v>
      </c>
      <c r="O145" s="60">
        <v>101</v>
      </c>
      <c r="P145" s="5">
        <v>-1.24E-3</v>
      </c>
      <c r="Q145" s="5">
        <v>0.26979999999999998</v>
      </c>
      <c r="R145" s="81">
        <f t="shared" si="69"/>
        <v>3.6294481541815811E-3</v>
      </c>
      <c r="S145" s="81">
        <f t="shared" si="70"/>
        <v>-1.1480174293799614E-3</v>
      </c>
      <c r="T145" s="81">
        <f t="shared" si="71"/>
        <v>0.01</v>
      </c>
      <c r="U145" s="81">
        <f t="shared" si="72"/>
        <v>1.2317E-2</v>
      </c>
      <c r="V145" s="83">
        <f t="shared" si="73"/>
        <v>-9.4000000000000195E-3</v>
      </c>
    </row>
    <row r="146" spans="1:24">
      <c r="A146" s="75">
        <v>123</v>
      </c>
      <c r="B146" s="122" t="s">
        <v>164</v>
      </c>
      <c r="C146" s="123" t="s">
        <v>64</v>
      </c>
      <c r="D146" s="9">
        <v>199891710.56999999</v>
      </c>
      <c r="E146" s="3">
        <f t="shared" si="67"/>
        <v>4.1575634381935418E-3</v>
      </c>
      <c r="F146" s="4">
        <v>117.6</v>
      </c>
      <c r="G146" s="4">
        <v>112.79</v>
      </c>
      <c r="H146" s="60">
        <v>29</v>
      </c>
      <c r="I146" s="5">
        <v>-1.6999999999999999E-3</v>
      </c>
      <c r="J146" s="5">
        <v>8.09E-2</v>
      </c>
      <c r="K146" s="9">
        <v>198928409.59</v>
      </c>
      <c r="L146" s="16">
        <f t="shared" si="68"/>
        <v>4.2133478631188005E-3</v>
      </c>
      <c r="M146" s="4">
        <v>111.19</v>
      </c>
      <c r="N146" s="4">
        <v>112.3</v>
      </c>
      <c r="O146" s="60">
        <v>28</v>
      </c>
      <c r="P146" s="5">
        <v>-5.1000000000000004E-3</v>
      </c>
      <c r="Q146" s="5">
        <v>7.5800000000000006E-2</v>
      </c>
      <c r="R146" s="81">
        <f t="shared" si="69"/>
        <v>-4.8191141956467039E-3</v>
      </c>
      <c r="S146" s="81">
        <f t="shared" si="70"/>
        <v>-4.3443567692172096E-3</v>
      </c>
      <c r="T146" s="81">
        <f t="shared" si="71"/>
        <v>-3.4482758620689655E-2</v>
      </c>
      <c r="U146" s="81">
        <f t="shared" si="72"/>
        <v>-3.4000000000000002E-3</v>
      </c>
      <c r="V146" s="83">
        <f t="shared" si="73"/>
        <v>-5.0999999999999934E-3</v>
      </c>
    </row>
    <row r="147" spans="1:24" ht="15.75" customHeight="1">
      <c r="A147" s="75">
        <v>124</v>
      </c>
      <c r="B147" s="122" t="s">
        <v>165</v>
      </c>
      <c r="C147" s="123" t="s">
        <v>67</v>
      </c>
      <c r="D147" s="2">
        <v>339348503.33999997</v>
      </c>
      <c r="E147" s="3">
        <f t="shared" si="67"/>
        <v>7.058136259222283E-3</v>
      </c>
      <c r="F147" s="4">
        <v>1.4136</v>
      </c>
      <c r="G147" s="4">
        <v>1.4307000000000001</v>
      </c>
      <c r="H147" s="60">
        <v>108</v>
      </c>
      <c r="I147" s="5">
        <v>-5.6274620146314061E-3</v>
      </c>
      <c r="J147" s="5">
        <v>8.4381712181650706E-2</v>
      </c>
      <c r="K147" s="2">
        <v>333584906.97000003</v>
      </c>
      <c r="L147" s="16">
        <f t="shared" si="68"/>
        <v>7.0654023618222676E-3</v>
      </c>
      <c r="M147" s="4">
        <v>1.3949</v>
      </c>
      <c r="N147" s="4">
        <v>1.4115</v>
      </c>
      <c r="O147" s="60">
        <v>142</v>
      </c>
      <c r="P147" s="5">
        <v>-1.3228636106394976E-2</v>
      </c>
      <c r="Q147" s="5">
        <v>7.0036821110770128E-2</v>
      </c>
      <c r="R147" s="81">
        <f t="shared" si="69"/>
        <v>-1.6984298776250337E-2</v>
      </c>
      <c r="S147" s="81">
        <f t="shared" si="70"/>
        <v>-1.3420004193751384E-2</v>
      </c>
      <c r="T147" s="81">
        <f t="shared" si="71"/>
        <v>0.31481481481481483</v>
      </c>
      <c r="U147" s="81">
        <f t="shared" si="72"/>
        <v>-7.6011740917635703E-3</v>
      </c>
      <c r="V147" s="83">
        <f t="shared" si="73"/>
        <v>-1.4344891070880578E-2</v>
      </c>
      <c r="X147" s="105"/>
    </row>
    <row r="148" spans="1:24">
      <c r="A148" s="75">
        <v>125</v>
      </c>
      <c r="B148" s="122" t="s">
        <v>166</v>
      </c>
      <c r="C148" s="123" t="s">
        <v>27</v>
      </c>
      <c r="D148" s="4">
        <v>8222729837.9099998</v>
      </c>
      <c r="E148" s="3">
        <f t="shared" si="67"/>
        <v>0.17102520579144256</v>
      </c>
      <c r="F148" s="4">
        <v>300.08999999999997</v>
      </c>
      <c r="G148" s="4">
        <v>302.38</v>
      </c>
      <c r="H148" s="60">
        <v>5500</v>
      </c>
      <c r="I148" s="5">
        <v>-8.0000000000000002E-3</v>
      </c>
      <c r="J148" s="5">
        <v>0.10970000000000001</v>
      </c>
      <c r="K148" s="4">
        <v>8054414617.5600004</v>
      </c>
      <c r="L148" s="16">
        <f t="shared" si="68"/>
        <v>0.1705942891088956</v>
      </c>
      <c r="M148" s="4">
        <v>294.13</v>
      </c>
      <c r="N148" s="4">
        <v>296.08999999999997</v>
      </c>
      <c r="O148" s="60">
        <v>5499</v>
      </c>
      <c r="P148" s="5">
        <v>-2.0299999999999999E-2</v>
      </c>
      <c r="Q148" s="5">
        <v>8.77E-2</v>
      </c>
      <c r="R148" s="81">
        <f t="shared" si="69"/>
        <v>-2.046950631577368E-2</v>
      </c>
      <c r="S148" s="81">
        <f t="shared" si="70"/>
        <v>-2.080164032012706E-2</v>
      </c>
      <c r="T148" s="81">
        <f t="shared" si="71"/>
        <v>-1.8181818181818181E-4</v>
      </c>
      <c r="U148" s="81">
        <f t="shared" si="72"/>
        <v>-1.2299999999999998E-2</v>
      </c>
      <c r="V148" s="83">
        <f t="shared" si="73"/>
        <v>-2.2000000000000006E-2</v>
      </c>
    </row>
    <row r="149" spans="1:24">
      <c r="A149" s="75">
        <v>126</v>
      </c>
      <c r="B149" s="122" t="s">
        <v>167</v>
      </c>
      <c r="C149" s="123" t="s">
        <v>72</v>
      </c>
      <c r="D149" s="4">
        <v>2855216412.4400001</v>
      </c>
      <c r="E149" s="3">
        <f t="shared" si="67"/>
        <v>5.9385871133128688E-2</v>
      </c>
      <c r="F149" s="4">
        <v>1.9081999999999999</v>
      </c>
      <c r="G149" s="4">
        <v>1.9418</v>
      </c>
      <c r="H149" s="60">
        <v>10318</v>
      </c>
      <c r="I149" s="5">
        <v>-1.46E-2</v>
      </c>
      <c r="J149" s="5">
        <v>9.4200000000000006E-2</v>
      </c>
      <c r="K149" s="4">
        <v>2638663252.8699999</v>
      </c>
      <c r="L149" s="16">
        <f t="shared" si="68"/>
        <v>5.5887473291943476E-2</v>
      </c>
      <c r="M149" s="4">
        <v>1.8472</v>
      </c>
      <c r="N149" s="4">
        <v>1.8775999999999999</v>
      </c>
      <c r="O149" s="60">
        <v>10316</v>
      </c>
      <c r="P149" s="5">
        <v>-3.1199999999999999E-2</v>
      </c>
      <c r="Q149" s="5">
        <v>5.8599999999999999E-2</v>
      </c>
      <c r="R149" s="81">
        <f t="shared" si="69"/>
        <v>-7.5844744596763852E-2</v>
      </c>
      <c r="S149" s="81">
        <f t="shared" si="70"/>
        <v>-3.3062107323102295E-2</v>
      </c>
      <c r="T149" s="81">
        <f t="shared" si="71"/>
        <v>-1.9383601473153711E-4</v>
      </c>
      <c r="U149" s="81">
        <f t="shared" si="72"/>
        <v>-1.6599999999999997E-2</v>
      </c>
      <c r="V149" s="83">
        <f t="shared" si="73"/>
        <v>-3.5600000000000007E-2</v>
      </c>
    </row>
    <row r="150" spans="1:24">
      <c r="A150" s="75">
        <v>127</v>
      </c>
      <c r="B150" s="122" t="s">
        <v>168</v>
      </c>
      <c r="C150" s="123" t="s">
        <v>74</v>
      </c>
      <c r="D150" s="4">
        <v>192106774.38592166</v>
      </c>
      <c r="E150" s="3">
        <f t="shared" si="67"/>
        <v>3.9956439371031773E-3</v>
      </c>
      <c r="F150" s="4">
        <v>249.95836913331138</v>
      </c>
      <c r="G150" s="4">
        <v>255.61633572737105</v>
      </c>
      <c r="H150" s="60">
        <v>183</v>
      </c>
      <c r="I150" s="5">
        <v>-2.3577644441507561E-2</v>
      </c>
      <c r="J150" s="5">
        <v>2.3499471108538561E-2</v>
      </c>
      <c r="K150" s="4">
        <v>180850351.04559004</v>
      </c>
      <c r="L150" s="16">
        <f t="shared" si="68"/>
        <v>3.830450571100963E-3</v>
      </c>
      <c r="M150" s="4">
        <v>235.31215361375277</v>
      </c>
      <c r="N150" s="4">
        <v>241.26741159274863</v>
      </c>
      <c r="O150" s="60">
        <v>183</v>
      </c>
      <c r="P150" s="5">
        <v>-5.8594619457399633E-2</v>
      </c>
      <c r="Q150" s="5">
        <v>-3.6472090915915967E-2</v>
      </c>
      <c r="R150" s="81">
        <f t="shared" si="69"/>
        <v>-5.8594619457399674E-2</v>
      </c>
      <c r="S150" s="81">
        <f t="shared" si="70"/>
        <v>-5.6134613203775607E-2</v>
      </c>
      <c r="T150" s="81">
        <f t="shared" si="71"/>
        <v>0</v>
      </c>
      <c r="U150" s="81">
        <f t="shared" si="72"/>
        <v>-3.5016975015892071E-2</v>
      </c>
      <c r="V150" s="83">
        <f t="shared" si="73"/>
        <v>-5.9971562024454528E-2</v>
      </c>
    </row>
    <row r="151" spans="1:24" ht="13.5" customHeight="1">
      <c r="A151" s="75">
        <v>128</v>
      </c>
      <c r="B151" s="122" t="s">
        <v>240</v>
      </c>
      <c r="C151" s="123" t="s">
        <v>32</v>
      </c>
      <c r="D151" s="2">
        <v>2599111351.1599998</v>
      </c>
      <c r="E151" s="3">
        <f t="shared" si="67"/>
        <v>5.4059121784304776E-2</v>
      </c>
      <c r="F151" s="4">
        <v>3.6063000000000001</v>
      </c>
      <c r="G151" s="4">
        <v>3.6728000000000001</v>
      </c>
      <c r="H151" s="60">
        <v>2320</v>
      </c>
      <c r="I151" s="5">
        <v>-2.737680438028911E-3</v>
      </c>
      <c r="J151" s="5">
        <v>-8.5228053776152946E-3</v>
      </c>
      <c r="K151" s="2">
        <v>2538058574.5839</v>
      </c>
      <c r="L151" s="16">
        <f t="shared" si="68"/>
        <v>5.3756643878738325E-2</v>
      </c>
      <c r="M151" s="4">
        <v>3.5247000000000002</v>
      </c>
      <c r="N151" s="4">
        <v>3.5876000000000001</v>
      </c>
      <c r="O151" s="60">
        <v>2318</v>
      </c>
      <c r="P151" s="5">
        <v>-2.2627069295399704E-2</v>
      </c>
      <c r="Q151" s="5">
        <v>-3.0957028565144484E-2</v>
      </c>
      <c r="R151" s="81">
        <f t="shared" si="69"/>
        <v>-2.3489865699232792E-2</v>
      </c>
      <c r="S151" s="81">
        <f t="shared" si="70"/>
        <v>-2.319756044434762E-2</v>
      </c>
      <c r="T151" s="81">
        <f t="shared" si="71"/>
        <v>-8.6206896551724137E-4</v>
      </c>
      <c r="U151" s="81">
        <f t="shared" si="72"/>
        <v>-1.9889388857370793E-2</v>
      </c>
      <c r="V151" s="83">
        <f>Q151-J151</f>
        <v>-2.243422318752919E-2</v>
      </c>
    </row>
    <row r="152" spans="1:24">
      <c r="A152" s="75">
        <v>129</v>
      </c>
      <c r="B152" s="122" t="s">
        <v>169</v>
      </c>
      <c r="C152" s="123" t="s">
        <v>114</v>
      </c>
      <c r="D152" s="2">
        <v>205420123.75</v>
      </c>
      <c r="E152" s="3">
        <f t="shared" si="67"/>
        <v>4.2725493395240847E-3</v>
      </c>
      <c r="F152" s="4">
        <v>178.92257000000001</v>
      </c>
      <c r="G152" s="4">
        <v>182.883847</v>
      </c>
      <c r="H152" s="60">
        <v>139</v>
      </c>
      <c r="I152" s="5">
        <v>-9.7000000000000003E-3</v>
      </c>
      <c r="J152" s="5">
        <v>-1.2200000000000001E-2</v>
      </c>
      <c r="K152" s="2">
        <v>205420123.75</v>
      </c>
      <c r="L152" s="16">
        <f t="shared" si="68"/>
        <v>4.3508438097278716E-3</v>
      </c>
      <c r="M152" s="4">
        <v>188.56</v>
      </c>
      <c r="N152" s="4">
        <v>192.57</v>
      </c>
      <c r="O152" s="60">
        <v>139</v>
      </c>
      <c r="P152" s="5">
        <v>-2.6100000000000002E-2</v>
      </c>
      <c r="Q152" s="5">
        <v>5.91E-2</v>
      </c>
      <c r="R152" s="81">
        <f t="shared" si="69"/>
        <v>0</v>
      </c>
      <c r="S152" s="81">
        <f t="shared" si="70"/>
        <v>5.2963414532722457E-2</v>
      </c>
      <c r="T152" s="81">
        <f t="shared" si="71"/>
        <v>0</v>
      </c>
      <c r="U152" s="81">
        <f t="shared" si="72"/>
        <v>-1.6400000000000001E-2</v>
      </c>
      <c r="V152" s="83">
        <f t="shared" si="73"/>
        <v>7.1300000000000002E-2</v>
      </c>
    </row>
    <row r="153" spans="1:24">
      <c r="A153" s="75">
        <v>130</v>
      </c>
      <c r="B153" s="122" t="s">
        <v>170</v>
      </c>
      <c r="C153" s="123" t="s">
        <v>29</v>
      </c>
      <c r="D153" s="2">
        <v>1691477871.71</v>
      </c>
      <c r="E153" s="3">
        <f t="shared" si="67"/>
        <v>3.5181181530147744E-2</v>
      </c>
      <c r="F153" s="4">
        <v>552.22</v>
      </c>
      <c r="G153" s="4">
        <v>552.22</v>
      </c>
      <c r="H153" s="60">
        <v>818</v>
      </c>
      <c r="I153" s="5">
        <v>-9.7999999999999997E-4</v>
      </c>
      <c r="J153" s="5">
        <v>8.1979999999999997E-2</v>
      </c>
      <c r="K153" s="2">
        <v>1704890612.8699999</v>
      </c>
      <c r="L153" s="16">
        <f t="shared" ref="L153:L161" si="74">(K153/$K$162)</f>
        <v>3.61099615454233E-2</v>
      </c>
      <c r="M153" s="4">
        <v>552.22</v>
      </c>
      <c r="N153" s="4">
        <v>552.22</v>
      </c>
      <c r="O153" s="60">
        <v>818</v>
      </c>
      <c r="P153" s="5">
        <v>7.9299999999999995E-3</v>
      </c>
      <c r="Q153" s="5">
        <v>9.0579999999999994E-2</v>
      </c>
      <c r="R153" s="81">
        <f t="shared" si="69"/>
        <v>7.9295989526840405E-3</v>
      </c>
      <c r="S153" s="81">
        <f t="shared" si="70"/>
        <v>0</v>
      </c>
      <c r="T153" s="81">
        <f t="shared" si="71"/>
        <v>0</v>
      </c>
      <c r="U153" s="81">
        <f t="shared" si="72"/>
        <v>8.9099999999999995E-3</v>
      </c>
      <c r="V153" s="83">
        <f t="shared" si="73"/>
        <v>8.5999999999999965E-3</v>
      </c>
    </row>
    <row r="154" spans="1:24">
      <c r="A154" s="75">
        <v>131</v>
      </c>
      <c r="B154" s="122" t="s">
        <v>171</v>
      </c>
      <c r="C154" s="123" t="s">
        <v>80</v>
      </c>
      <c r="D154" s="4">
        <v>25878872.5</v>
      </c>
      <c r="E154" s="3">
        <f t="shared" si="67"/>
        <v>5.3825670819898424E-4</v>
      </c>
      <c r="F154" s="4">
        <v>1.65</v>
      </c>
      <c r="G154" s="4">
        <v>1.65</v>
      </c>
      <c r="H154" s="60">
        <v>8</v>
      </c>
      <c r="I154" s="5">
        <v>-4.0830999999999999E-2</v>
      </c>
      <c r="J154" s="124">
        <v>1.0168999999999999E-2</v>
      </c>
      <c r="K154" s="4">
        <v>24648003.940000001</v>
      </c>
      <c r="L154" s="16">
        <f t="shared" si="74"/>
        <v>5.2205019355849348E-4</v>
      </c>
      <c r="M154" s="4">
        <v>1.58</v>
      </c>
      <c r="N154" s="4">
        <v>1.58</v>
      </c>
      <c r="O154" s="60">
        <v>8</v>
      </c>
      <c r="P154" s="5">
        <v>-3.9298E-2</v>
      </c>
      <c r="Q154" s="124">
        <v>-2.9529E-2</v>
      </c>
      <c r="R154" s="81">
        <f t="shared" si="69"/>
        <v>-4.7562681102122924E-2</v>
      </c>
      <c r="S154" s="81">
        <f t="shared" si="70"/>
        <v>-4.242424242424233E-2</v>
      </c>
      <c r="T154" s="81">
        <f t="shared" si="71"/>
        <v>0</v>
      </c>
      <c r="U154" s="81">
        <f t="shared" si="72"/>
        <v>1.5329999999999996E-3</v>
      </c>
      <c r="V154" s="83">
        <f t="shared" si="73"/>
        <v>-3.9697999999999997E-2</v>
      </c>
    </row>
    <row r="155" spans="1:24">
      <c r="A155" s="75">
        <v>132</v>
      </c>
      <c r="B155" s="122" t="s">
        <v>172</v>
      </c>
      <c r="C155" s="123" t="s">
        <v>38</v>
      </c>
      <c r="D155" s="4">
        <v>273585823.32999998</v>
      </c>
      <c r="E155" s="3">
        <f t="shared" si="67"/>
        <v>5.6903330960618422E-3</v>
      </c>
      <c r="F155" s="4">
        <v>2.67</v>
      </c>
      <c r="G155" s="4">
        <v>2.71</v>
      </c>
      <c r="H155" s="60">
        <v>119</v>
      </c>
      <c r="I155" s="5">
        <v>2.3199999999999998E-2</v>
      </c>
      <c r="J155" s="5">
        <v>0.1479</v>
      </c>
      <c r="K155" s="4">
        <v>261962880.69999999</v>
      </c>
      <c r="L155" s="16">
        <f t="shared" si="74"/>
        <v>5.5484319504119466E-3</v>
      </c>
      <c r="M155" s="4">
        <v>2.65</v>
      </c>
      <c r="N155" s="4">
        <v>2.7</v>
      </c>
      <c r="O155" s="60">
        <v>119</v>
      </c>
      <c r="P155" s="5">
        <v>5.1000000000000004E-3</v>
      </c>
      <c r="Q155" s="5">
        <v>0.1421</v>
      </c>
      <c r="R155" s="81">
        <f t="shared" si="69"/>
        <v>-4.2483716767664416E-2</v>
      </c>
      <c r="S155" s="81">
        <f t="shared" si="70"/>
        <v>-3.6900369003689251E-3</v>
      </c>
      <c r="T155" s="81">
        <f t="shared" si="71"/>
        <v>0</v>
      </c>
      <c r="U155" s="81">
        <f t="shared" si="72"/>
        <v>-1.8099999999999998E-2</v>
      </c>
      <c r="V155" s="83">
        <f t="shared" si="73"/>
        <v>-5.7999999999999996E-3</v>
      </c>
    </row>
    <row r="156" spans="1:24">
      <c r="A156" s="75">
        <v>133</v>
      </c>
      <c r="B156" s="122" t="s">
        <v>173</v>
      </c>
      <c r="C156" s="123" t="s">
        <v>42</v>
      </c>
      <c r="D156" s="2">
        <v>2837064543.0100002</v>
      </c>
      <c r="E156" s="3">
        <f t="shared" si="67"/>
        <v>5.9008328970615635E-2</v>
      </c>
      <c r="F156" s="4">
        <v>5344.62</v>
      </c>
      <c r="G156" s="4">
        <v>5397.68</v>
      </c>
      <c r="H156" s="60">
        <v>2257</v>
      </c>
      <c r="I156" s="5">
        <v>-2.8899999999999999E-2</v>
      </c>
      <c r="J156" s="5">
        <v>7.4999999999999997E-2</v>
      </c>
      <c r="K156" s="2">
        <v>2735681684.04</v>
      </c>
      <c r="L156" s="3">
        <f t="shared" si="74"/>
        <v>5.7942345195337037E-2</v>
      </c>
      <c r="M156" s="4">
        <v>5162.62</v>
      </c>
      <c r="N156" s="4">
        <v>5212.78</v>
      </c>
      <c r="O156" s="60">
        <v>2254</v>
      </c>
      <c r="P156" s="5">
        <v>-3.4299999999999997E-2</v>
      </c>
      <c r="Q156" s="5">
        <v>3.8100000000000002E-2</v>
      </c>
      <c r="R156" s="81">
        <f t="shared" si="69"/>
        <v>-3.5735126019529162E-2</v>
      </c>
      <c r="S156" s="81">
        <f t="shared" si="70"/>
        <v>-3.4255457900431392E-2</v>
      </c>
      <c r="T156" s="81">
        <f t="shared" si="71"/>
        <v>-1.329198050509526E-3</v>
      </c>
      <c r="U156" s="81">
        <f t="shared" si="72"/>
        <v>-5.3999999999999986E-3</v>
      </c>
      <c r="V156" s="83">
        <f t="shared" si="73"/>
        <v>-3.6899999999999995E-2</v>
      </c>
    </row>
    <row r="157" spans="1:24">
      <c r="A157" s="75">
        <v>134</v>
      </c>
      <c r="B157" s="122" t="s">
        <v>256</v>
      </c>
      <c r="C157" s="122" t="s">
        <v>257</v>
      </c>
      <c r="D157" s="2">
        <v>630132198.67999995</v>
      </c>
      <c r="E157" s="3">
        <f t="shared" si="67"/>
        <v>1.3106169250290371E-2</v>
      </c>
      <c r="F157" s="4">
        <v>1.21</v>
      </c>
      <c r="G157" s="4">
        <v>1.21</v>
      </c>
      <c r="H157" s="60">
        <v>32</v>
      </c>
      <c r="I157" s="5">
        <v>3.3E-3</v>
      </c>
      <c r="J157" s="5">
        <v>6.6100000000000006E-2</v>
      </c>
      <c r="K157" s="2">
        <v>631968395.99000001</v>
      </c>
      <c r="L157" s="3">
        <f t="shared" si="74"/>
        <v>1.3385230879244585E-2</v>
      </c>
      <c r="M157" s="4">
        <v>1.2130000000000001</v>
      </c>
      <c r="N157" s="4">
        <v>1.2130000000000001</v>
      </c>
      <c r="O157" s="60">
        <v>32</v>
      </c>
      <c r="P157" s="5">
        <v>2.5000000000000001E-3</v>
      </c>
      <c r="Q157" s="5">
        <v>6.9199999999999998E-2</v>
      </c>
      <c r="R157" s="81">
        <f>((K157-D157)/D157)</f>
        <v>2.9139874360436199E-3</v>
      </c>
      <c r="S157" s="81">
        <f>((N157-G157)/G157)</f>
        <v>2.4793388429753004E-3</v>
      </c>
      <c r="T157" s="81">
        <f>((O157-H157)/H157)</f>
        <v>0</v>
      </c>
      <c r="U157" s="81">
        <f>P157-I157</f>
        <v>-7.9999999999999993E-4</v>
      </c>
      <c r="V157" s="83">
        <f>Q157-J157</f>
        <v>3.0999999999999917E-3</v>
      </c>
    </row>
    <row r="158" spans="1:24">
      <c r="A158" s="75">
        <v>135</v>
      </c>
      <c r="B158" s="122" t="s">
        <v>174</v>
      </c>
      <c r="C158" s="123" t="s">
        <v>45</v>
      </c>
      <c r="D158" s="4">
        <v>1701335045.8399999</v>
      </c>
      <c r="E158" s="3">
        <f t="shared" si="67"/>
        <v>3.5386201671552979E-2</v>
      </c>
      <c r="F158" s="4">
        <v>1.8805000000000001</v>
      </c>
      <c r="G158" s="4">
        <v>1.8935</v>
      </c>
      <c r="H158" s="60">
        <v>2024</v>
      </c>
      <c r="I158" s="5">
        <v>-1.5599999999999999E-2</v>
      </c>
      <c r="J158" s="5">
        <v>1.6899999999999998E-2</v>
      </c>
      <c r="K158" s="4">
        <v>1651834943.1099999</v>
      </c>
      <c r="L158" s="16">
        <f t="shared" si="74"/>
        <v>3.4986230685309545E-2</v>
      </c>
      <c r="M158" s="4">
        <v>1.8459000000000001</v>
      </c>
      <c r="N158" s="4">
        <v>1.8584000000000001</v>
      </c>
      <c r="O158" s="60">
        <v>2033</v>
      </c>
      <c r="P158" s="5">
        <v>-1.84E-2</v>
      </c>
      <c r="Q158" s="5">
        <v>-1.6999999999999999E-3</v>
      </c>
      <c r="R158" s="81">
        <f t="shared" si="69"/>
        <v>-2.9094858682323997E-2</v>
      </c>
      <c r="S158" s="81">
        <f t="shared" si="70"/>
        <v>-1.8537100607340855E-2</v>
      </c>
      <c r="T158" s="81">
        <f t="shared" si="71"/>
        <v>4.4466403162055339E-3</v>
      </c>
      <c r="U158" s="81">
        <f t="shared" si="72"/>
        <v>-2.8000000000000004E-3</v>
      </c>
      <c r="V158" s="83">
        <f t="shared" si="73"/>
        <v>-1.8599999999999998E-2</v>
      </c>
    </row>
    <row r="159" spans="1:24">
      <c r="A159" s="75">
        <v>136</v>
      </c>
      <c r="B159" s="122" t="s">
        <v>175</v>
      </c>
      <c r="C159" s="123" t="s">
        <v>45</v>
      </c>
      <c r="D159" s="4">
        <v>1048095283.3</v>
      </c>
      <c r="E159" s="3">
        <f t="shared" si="67"/>
        <v>2.1799416379826433E-2</v>
      </c>
      <c r="F159" s="4">
        <v>1.6211</v>
      </c>
      <c r="G159" s="4">
        <v>1.6319999999999999</v>
      </c>
      <c r="H159" s="60">
        <v>629</v>
      </c>
      <c r="I159" s="5">
        <v>-4.7999999999999996E-3</v>
      </c>
      <c r="J159" s="5">
        <v>0.13950000000000001</v>
      </c>
      <c r="K159" s="4">
        <v>1032355530.26</v>
      </c>
      <c r="L159" s="16">
        <f t="shared" si="74"/>
        <v>2.1865519240638932E-2</v>
      </c>
      <c r="M159" s="4">
        <v>1.5974999999999999</v>
      </c>
      <c r="N159" s="4">
        <v>1.6077999999999999</v>
      </c>
      <c r="O159" s="60">
        <v>635</v>
      </c>
      <c r="P159" s="5">
        <v>-1.46E-2</v>
      </c>
      <c r="Q159" s="5">
        <v>0.1229</v>
      </c>
      <c r="R159" s="81">
        <f t="shared" si="69"/>
        <v>-1.5017482943384945E-2</v>
      </c>
      <c r="S159" s="81">
        <f t="shared" si="70"/>
        <v>-1.4828431372549021E-2</v>
      </c>
      <c r="T159" s="81">
        <f t="shared" si="71"/>
        <v>9.538950715421303E-3</v>
      </c>
      <c r="U159" s="81">
        <f t="shared" si="72"/>
        <v>-9.7999999999999997E-3</v>
      </c>
      <c r="V159" s="83">
        <f t="shared" si="73"/>
        <v>-1.6600000000000018E-2</v>
      </c>
    </row>
    <row r="160" spans="1:24">
      <c r="A160" s="75">
        <v>137</v>
      </c>
      <c r="B160" s="122" t="s">
        <v>176</v>
      </c>
      <c r="C160" s="123" t="s">
        <v>87</v>
      </c>
      <c r="D160" s="2">
        <v>7740661471.1000004</v>
      </c>
      <c r="E160" s="3">
        <f t="shared" si="67"/>
        <v>0.16099862784659544</v>
      </c>
      <c r="F160" s="4">
        <v>378.77</v>
      </c>
      <c r="G160" s="4">
        <v>383.17</v>
      </c>
      <c r="H160" s="60">
        <v>31</v>
      </c>
      <c r="I160" s="5">
        <v>-0.1038</v>
      </c>
      <c r="J160" s="5">
        <v>8.5999999999999993E-2</v>
      </c>
      <c r="K160" s="2">
        <v>7932263424.5100002</v>
      </c>
      <c r="L160" s="16">
        <f t="shared" si="74"/>
        <v>0.16800709973119243</v>
      </c>
      <c r="M160" s="4">
        <v>388.41</v>
      </c>
      <c r="N160" s="4">
        <v>392.52</v>
      </c>
      <c r="O160" s="60">
        <v>31</v>
      </c>
      <c r="P160" s="5">
        <v>0.113</v>
      </c>
      <c r="Q160" s="5">
        <v>0.113</v>
      </c>
      <c r="R160" s="81">
        <f t="shared" si="69"/>
        <v>2.4752658945924929E-2</v>
      </c>
      <c r="S160" s="81">
        <f t="shared" si="70"/>
        <v>2.4401701594592387E-2</v>
      </c>
      <c r="T160" s="81">
        <f t="shared" si="71"/>
        <v>0</v>
      </c>
      <c r="U160" s="81">
        <f t="shared" si="72"/>
        <v>0.21679999999999999</v>
      </c>
      <c r="V160" s="83">
        <f t="shared" si="73"/>
        <v>2.700000000000001E-2</v>
      </c>
    </row>
    <row r="161" spans="1:24">
      <c r="A161" s="75">
        <v>138</v>
      </c>
      <c r="B161" s="122" t="s">
        <v>177</v>
      </c>
      <c r="C161" s="123" t="s">
        <v>40</v>
      </c>
      <c r="D161" s="2">
        <v>370830321.04000002</v>
      </c>
      <c r="E161" s="3">
        <f t="shared" si="67"/>
        <v>7.7129290661083847E-3</v>
      </c>
      <c r="F161" s="4">
        <v>223.71</v>
      </c>
      <c r="G161" s="4">
        <v>226.26</v>
      </c>
      <c r="H161" s="60">
        <v>690</v>
      </c>
      <c r="I161" s="5">
        <v>-1.7399999999999999E-2</v>
      </c>
      <c r="J161" s="5">
        <v>9.2600000000000002E-2</v>
      </c>
      <c r="K161" s="2">
        <v>363926490.08999997</v>
      </c>
      <c r="L161" s="16">
        <f t="shared" si="74"/>
        <v>7.708043825984055E-3</v>
      </c>
      <c r="M161" s="4">
        <v>219.58</v>
      </c>
      <c r="N161" s="4">
        <v>222.02</v>
      </c>
      <c r="O161" s="60">
        <v>690</v>
      </c>
      <c r="P161" s="5">
        <v>-3.5799999999999998E-2</v>
      </c>
      <c r="Q161" s="5">
        <v>7.2400000000000006E-2</v>
      </c>
      <c r="R161" s="81">
        <f t="shared" si="69"/>
        <v>-1.8617223453136558E-2</v>
      </c>
      <c r="S161" s="81">
        <f t="shared" si="70"/>
        <v>-1.8739503226376651E-2</v>
      </c>
      <c r="T161" s="81">
        <f t="shared" si="71"/>
        <v>0</v>
      </c>
      <c r="U161" s="81">
        <f t="shared" si="72"/>
        <v>-1.84E-2</v>
      </c>
      <c r="V161" s="83">
        <f t="shared" si="73"/>
        <v>-2.0199999999999996E-2</v>
      </c>
    </row>
    <row r="162" spans="1:24">
      <c r="A162" s="84"/>
      <c r="B162" s="19"/>
      <c r="C162" s="71" t="s">
        <v>46</v>
      </c>
      <c r="D162" s="72">
        <f>SUM(D136:D161)</f>
        <v>48079052440.593132</v>
      </c>
      <c r="E162" s="100">
        <f>(D162/$D$188)</f>
        <v>1.911447442210408E-2</v>
      </c>
      <c r="F162" s="30"/>
      <c r="G162" s="36"/>
      <c r="H162" s="65">
        <f>SUM(H136:H161)</f>
        <v>69388</v>
      </c>
      <c r="I162" s="37"/>
      <c r="J162" s="37"/>
      <c r="K162" s="72">
        <f>SUM(K136:K161)</f>
        <v>47213858445.276672</v>
      </c>
      <c r="L162" s="100">
        <f>(K162/$K$188)</f>
        <v>1.8804324377053924E-2</v>
      </c>
      <c r="M162" s="30"/>
      <c r="N162" s="36"/>
      <c r="O162" s="65">
        <f>SUM(O136:O161)</f>
        <v>69434</v>
      </c>
      <c r="P162" s="37"/>
      <c r="Q162" s="37"/>
      <c r="R162" s="81">
        <f t="shared" si="69"/>
        <v>-1.799523807973338E-2</v>
      </c>
      <c r="S162" s="81" t="e">
        <f t="shared" si="70"/>
        <v>#DIV/0!</v>
      </c>
      <c r="T162" s="81">
        <f t="shared" si="71"/>
        <v>6.6293883668645879E-4</v>
      </c>
      <c r="U162" s="81">
        <f t="shared" si="72"/>
        <v>0</v>
      </c>
      <c r="V162" s="83">
        <f t="shared" si="73"/>
        <v>0</v>
      </c>
    </row>
    <row r="163" spans="1:24" ht="8.2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</row>
    <row r="164" spans="1:24" ht="15" customHeight="1">
      <c r="A164" s="165" t="s">
        <v>178</v>
      </c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</row>
    <row r="165" spans="1:24">
      <c r="A165" s="75">
        <v>139</v>
      </c>
      <c r="B165" s="122" t="s">
        <v>179</v>
      </c>
      <c r="C165" s="123" t="s">
        <v>21</v>
      </c>
      <c r="D165" s="17">
        <v>1016876003.38</v>
      </c>
      <c r="E165" s="3">
        <f>(D165/$D$168)</f>
        <v>0.20316213953882009</v>
      </c>
      <c r="F165" s="17">
        <v>63.987000000000002</v>
      </c>
      <c r="G165" s="17">
        <v>65.916200000000003</v>
      </c>
      <c r="H165" s="62">
        <v>1517</v>
      </c>
      <c r="I165" s="6">
        <v>-1.67E-2</v>
      </c>
      <c r="J165" s="6">
        <v>0.61639999999999995</v>
      </c>
      <c r="K165" s="17">
        <v>918156877.01999998</v>
      </c>
      <c r="L165" s="16">
        <f>(K165/$K$168)</f>
        <v>0.19318195525619608</v>
      </c>
      <c r="M165" s="17">
        <v>63.789299999999997</v>
      </c>
      <c r="N165" s="17">
        <v>65.712500000000006</v>
      </c>
      <c r="O165" s="62">
        <v>1523</v>
      </c>
      <c r="P165" s="6">
        <v>-0.16159999999999999</v>
      </c>
      <c r="Q165" s="6">
        <v>0.56510000000000005</v>
      </c>
      <c r="R165" s="81">
        <f>((K165-D165)/D165)</f>
        <v>-9.7080790609540335E-2</v>
      </c>
      <c r="S165" s="81">
        <f t="shared" ref="S165:T168" si="75">((N165-G165)/G165)</f>
        <v>-3.0902873648662658E-3</v>
      </c>
      <c r="T165" s="81">
        <f t="shared" si="75"/>
        <v>3.9551746868820041E-3</v>
      </c>
      <c r="U165" s="81">
        <f t="shared" ref="U165:V168" si="76">P165-I165</f>
        <v>-0.1449</v>
      </c>
      <c r="V165" s="83">
        <f t="shared" si="76"/>
        <v>-5.1299999999999901E-2</v>
      </c>
    </row>
    <row r="166" spans="1:24">
      <c r="A166" s="75">
        <v>140</v>
      </c>
      <c r="B166" s="122" t="s">
        <v>180</v>
      </c>
      <c r="C166" s="123" t="s">
        <v>181</v>
      </c>
      <c r="D166" s="98">
        <v>793053669.53999996</v>
      </c>
      <c r="E166" s="3">
        <f>(D166/$D$168)</f>
        <v>0.15844456918770444</v>
      </c>
      <c r="F166" s="17">
        <v>22.679600000000001</v>
      </c>
      <c r="G166" s="17">
        <v>22.878799999999998</v>
      </c>
      <c r="H166" s="60">
        <v>1499</v>
      </c>
      <c r="I166" s="5">
        <v>-1.0500000000000001E-2</v>
      </c>
      <c r="J166" s="5">
        <v>4.0599999999999997E-2</v>
      </c>
      <c r="K166" s="98">
        <v>774354245.11000001</v>
      </c>
      <c r="L166" s="16">
        <f>(K166/$K$168)</f>
        <v>0.16292560767698416</v>
      </c>
      <c r="M166" s="17">
        <v>21.891500000000001</v>
      </c>
      <c r="N166" s="17">
        <v>22.073399999999999</v>
      </c>
      <c r="O166" s="60">
        <v>1499</v>
      </c>
      <c r="P166" s="5">
        <v>-1.9300000000000001E-2</v>
      </c>
      <c r="Q166" s="5">
        <v>4.1999999999999997E-3</v>
      </c>
      <c r="R166" s="81">
        <f>((K166-D166)/D166)</f>
        <v>-2.3579015075797197E-2</v>
      </c>
      <c r="S166" s="81">
        <f t="shared" si="75"/>
        <v>-3.5202895256744186E-2</v>
      </c>
      <c r="T166" s="81">
        <f t="shared" si="75"/>
        <v>0</v>
      </c>
      <c r="U166" s="81">
        <f t="shared" si="76"/>
        <v>-8.8000000000000005E-3</v>
      </c>
      <c r="V166" s="83">
        <f t="shared" si="76"/>
        <v>-3.6399999999999995E-2</v>
      </c>
    </row>
    <row r="167" spans="1:24">
      <c r="A167" s="75">
        <v>141</v>
      </c>
      <c r="B167" s="122" t="s">
        <v>182</v>
      </c>
      <c r="C167" s="123" t="s">
        <v>42</v>
      </c>
      <c r="D167" s="9">
        <v>3195313950.1700001</v>
      </c>
      <c r="E167" s="3">
        <f>(D167/$D$168)</f>
        <v>0.63839329127347544</v>
      </c>
      <c r="F167" s="17">
        <v>2.2799999999999998</v>
      </c>
      <c r="G167" s="17">
        <v>2.31</v>
      </c>
      <c r="H167" s="60">
        <v>10054</v>
      </c>
      <c r="I167" s="5">
        <v>-3.7499999999999999E-2</v>
      </c>
      <c r="J167" s="5">
        <v>0.1106</v>
      </c>
      <c r="K167" s="9">
        <v>3060297574.7399998</v>
      </c>
      <c r="L167" s="16">
        <f>(K167/$K$168)</f>
        <v>0.64389243706681976</v>
      </c>
      <c r="M167" s="17">
        <v>2.19</v>
      </c>
      <c r="N167" s="17">
        <v>2.2200000000000002</v>
      </c>
      <c r="O167" s="60">
        <v>10057</v>
      </c>
      <c r="P167" s="5">
        <v>-3.9E-2</v>
      </c>
      <c r="Q167" s="5">
        <v>6.7299999999999999E-2</v>
      </c>
      <c r="R167" s="81">
        <f>((K167-D167)/D167)</f>
        <v>-4.2254494405101269E-2</v>
      </c>
      <c r="S167" s="81">
        <f t="shared" si="75"/>
        <v>-3.8961038961038898E-2</v>
      </c>
      <c r="T167" s="81">
        <f t="shared" si="75"/>
        <v>2.9838870101452157E-4</v>
      </c>
      <c r="U167" s="81">
        <f t="shared" si="76"/>
        <v>-1.5000000000000013E-3</v>
      </c>
      <c r="V167" s="83">
        <f t="shared" si="76"/>
        <v>-4.3300000000000005E-2</v>
      </c>
    </row>
    <row r="168" spans="1:24">
      <c r="A168" s="75"/>
      <c r="B168" s="19"/>
      <c r="C168" s="66" t="s">
        <v>46</v>
      </c>
      <c r="D168" s="72">
        <f>SUM(D165:D167)</f>
        <v>5005243623.0900002</v>
      </c>
      <c r="E168" s="100">
        <f>(D168/$D$188)</f>
        <v>1.989901970887783E-3</v>
      </c>
      <c r="F168" s="30"/>
      <c r="G168" s="36"/>
      <c r="H168" s="65">
        <f>SUM(H165:H167)</f>
        <v>13070</v>
      </c>
      <c r="I168" s="37"/>
      <c r="J168" s="37"/>
      <c r="K168" s="72">
        <f>SUM(K165:K167)</f>
        <v>4752808696.8699999</v>
      </c>
      <c r="L168" s="100">
        <f>(K168/$K$188)</f>
        <v>1.8929475239058214E-3</v>
      </c>
      <c r="M168" s="30"/>
      <c r="N168" s="36"/>
      <c r="O168" s="65">
        <f>SUM(O165:O167)</f>
        <v>13079</v>
      </c>
      <c r="P168" s="37"/>
      <c r="Q168" s="37"/>
      <c r="R168" s="81">
        <f>((K168-D168)/D168)</f>
        <v>-5.0434093768278739E-2</v>
      </c>
      <c r="S168" s="81" t="e">
        <f t="shared" si="75"/>
        <v>#DIV/0!</v>
      </c>
      <c r="T168" s="81">
        <f t="shared" si="75"/>
        <v>6.885998469778118E-4</v>
      </c>
      <c r="U168" s="81">
        <f t="shared" si="76"/>
        <v>0</v>
      </c>
      <c r="V168" s="83">
        <f t="shared" si="76"/>
        <v>0</v>
      </c>
    </row>
    <row r="169" spans="1:24" ht="6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</row>
    <row r="170" spans="1:24" ht="15" customHeight="1">
      <c r="A170" s="165" t="s">
        <v>183</v>
      </c>
      <c r="B170" s="165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</row>
    <row r="171" spans="1:24">
      <c r="A171" s="169" t="s">
        <v>232</v>
      </c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</row>
    <row r="172" spans="1:24">
      <c r="A172" s="75">
        <v>142</v>
      </c>
      <c r="B172" s="122" t="s">
        <v>184</v>
      </c>
      <c r="C172" s="123" t="s">
        <v>185</v>
      </c>
      <c r="D172" s="13">
        <v>4055244391.4200001</v>
      </c>
      <c r="E172" s="3">
        <f>(D172/$D$187)</f>
        <v>8.1908146860226697E-2</v>
      </c>
      <c r="F172" s="18">
        <v>1.92</v>
      </c>
      <c r="G172" s="18">
        <v>1.96</v>
      </c>
      <c r="H172" s="61">
        <v>14977</v>
      </c>
      <c r="I172" s="12">
        <v>-3.3999999999999998E-3</v>
      </c>
      <c r="J172" s="12">
        <v>5.4699999999999999E-2</v>
      </c>
      <c r="K172" s="13">
        <v>4058149433.27</v>
      </c>
      <c r="L172" s="3">
        <f>(K172/$K$187)</f>
        <v>7.9211471125962662E-2</v>
      </c>
      <c r="M172" s="18">
        <v>1.92</v>
      </c>
      <c r="N172" s="18">
        <v>1.96</v>
      </c>
      <c r="O172" s="61">
        <v>14985</v>
      </c>
      <c r="P172" s="12">
        <v>1E-4</v>
      </c>
      <c r="Q172" s="12">
        <v>6.4299999999999996E-2</v>
      </c>
      <c r="R172" s="81">
        <f>((K172-D172)/D172)</f>
        <v>7.1636665256139193E-4</v>
      </c>
      <c r="S172" s="81">
        <f>((N172-G172)/G172)</f>
        <v>0</v>
      </c>
      <c r="T172" s="81">
        <f>((O172-H172)/H172)</f>
        <v>5.3415236696267615E-4</v>
      </c>
      <c r="U172" s="81">
        <f>P172-I172</f>
        <v>3.4999999999999996E-3</v>
      </c>
      <c r="V172" s="83">
        <f>Q172-J172</f>
        <v>9.5999999999999974E-3</v>
      </c>
    </row>
    <row r="173" spans="1:24">
      <c r="A173" s="75">
        <v>143</v>
      </c>
      <c r="B173" s="122" t="s">
        <v>186</v>
      </c>
      <c r="C173" s="123" t="s">
        <v>42</v>
      </c>
      <c r="D173" s="13">
        <v>761024494.12</v>
      </c>
      <c r="E173" s="3">
        <f>(D173/$D$187)</f>
        <v>1.5371232905344956E-2</v>
      </c>
      <c r="F173" s="18">
        <v>428.19</v>
      </c>
      <c r="G173" s="18">
        <v>433.79</v>
      </c>
      <c r="H173" s="61">
        <v>824</v>
      </c>
      <c r="I173" s="12">
        <v>-1.9E-2</v>
      </c>
      <c r="J173" s="12">
        <v>0.13600000000000001</v>
      </c>
      <c r="K173" s="13">
        <v>744871382.66999996</v>
      </c>
      <c r="L173" s="3">
        <f>(K173/$K$187)</f>
        <v>1.4539227544752415E-2</v>
      </c>
      <c r="M173" s="18">
        <v>421.37</v>
      </c>
      <c r="N173" s="18">
        <v>426.84</v>
      </c>
      <c r="O173" s="61">
        <v>823</v>
      </c>
      <c r="P173" s="12">
        <v>-1.6E-2</v>
      </c>
      <c r="Q173" s="12">
        <v>0.1178</v>
      </c>
      <c r="R173" s="81">
        <f>((K173-D173)/D173)</f>
        <v>-2.1225481669520336E-2</v>
      </c>
      <c r="S173" s="81">
        <f>((N173-G173)/G173)</f>
        <v>-1.6021577260886707E-2</v>
      </c>
      <c r="T173" s="81">
        <f>((O173-H173)/H173)</f>
        <v>-1.2135922330097086E-3</v>
      </c>
      <c r="U173" s="81">
        <f>P173-I173</f>
        <v>2.9999999999999992E-3</v>
      </c>
      <c r="V173" s="83">
        <f>Q173-J173</f>
        <v>-1.8200000000000008E-2</v>
      </c>
    </row>
    <row r="174" spans="1:24" ht="6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4" ht="15" customHeight="1">
      <c r="A175" s="169" t="s">
        <v>231</v>
      </c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</row>
    <row r="176" spans="1:24">
      <c r="A176" s="75">
        <v>144</v>
      </c>
      <c r="B176" s="122" t="s">
        <v>187</v>
      </c>
      <c r="C176" s="123" t="s">
        <v>188</v>
      </c>
      <c r="D176" s="2">
        <v>403310850.61000001</v>
      </c>
      <c r="E176" s="3">
        <f t="shared" ref="E176:E186" si="77">(D176/$D$187)</f>
        <v>8.1461044498280805E-3</v>
      </c>
      <c r="F176" s="2">
        <v>1045.82</v>
      </c>
      <c r="G176" s="2">
        <v>1045.82</v>
      </c>
      <c r="H176" s="60">
        <v>20</v>
      </c>
      <c r="I176" s="5">
        <v>2.2000000000000001E-3</v>
      </c>
      <c r="J176" s="5">
        <v>3.39E-2</v>
      </c>
      <c r="K176" s="2">
        <v>403923563.58999997</v>
      </c>
      <c r="L176" s="3">
        <f t="shared" ref="L176:L186" si="78">(K176/$K$187)</f>
        <v>7.8842290606888268E-3</v>
      </c>
      <c r="M176" s="2">
        <v>1047.4100000000001</v>
      </c>
      <c r="N176" s="2">
        <v>1047.4100000000001</v>
      </c>
      <c r="O176" s="60">
        <v>20</v>
      </c>
      <c r="P176" s="5">
        <v>1.9E-3</v>
      </c>
      <c r="Q176" s="5">
        <v>3.5799999999999998E-2</v>
      </c>
      <c r="R176" s="81">
        <f>((K176-D176)/D176)</f>
        <v>1.5192077750282263E-3</v>
      </c>
      <c r="S176" s="81">
        <f>((N176-G176)/G176)</f>
        <v>1.5203381078963355E-3</v>
      </c>
      <c r="T176" s="81">
        <f>((O176-H176)/H176)</f>
        <v>0</v>
      </c>
      <c r="U176" s="81">
        <f>P176-I176</f>
        <v>-3.0000000000000014E-4</v>
      </c>
      <c r="V176" s="83">
        <f>Q176-J176</f>
        <v>1.8999999999999989E-3</v>
      </c>
      <c r="X176" s="70"/>
    </row>
    <row r="177" spans="1:22">
      <c r="A177" s="75">
        <v>145</v>
      </c>
      <c r="B177" s="122" t="s">
        <v>189</v>
      </c>
      <c r="C177" s="123" t="s">
        <v>58</v>
      </c>
      <c r="D177" s="2">
        <v>111074983.29000001</v>
      </c>
      <c r="E177" s="3">
        <f t="shared" si="77"/>
        <v>2.2435012950301559E-3</v>
      </c>
      <c r="F177" s="17">
        <v>112.11</v>
      </c>
      <c r="G177" s="17">
        <v>112.11</v>
      </c>
      <c r="H177" s="60">
        <v>69</v>
      </c>
      <c r="I177" s="5">
        <v>1.9E-3</v>
      </c>
      <c r="J177" s="5">
        <v>0.1028</v>
      </c>
      <c r="K177" s="2">
        <v>110076220.68000001</v>
      </c>
      <c r="L177" s="3">
        <f t="shared" si="78"/>
        <v>2.1485900209995534E-3</v>
      </c>
      <c r="M177" s="17">
        <v>112.32</v>
      </c>
      <c r="N177" s="17">
        <v>112.32</v>
      </c>
      <c r="O177" s="60">
        <v>70</v>
      </c>
      <c r="P177" s="5">
        <v>1.9E-3</v>
      </c>
      <c r="Q177" s="5">
        <v>0.1031</v>
      </c>
      <c r="R177" s="81">
        <f t="shared" ref="R177:R188" si="79">((K177-D177)/D177)</f>
        <v>-8.991787173106126E-3</v>
      </c>
      <c r="S177" s="81">
        <f t="shared" ref="S177:S187" si="80">((N177-G177)/G177)</f>
        <v>1.8731602890018175E-3</v>
      </c>
      <c r="T177" s="81">
        <f t="shared" ref="T177:T187" si="81">((O177-H177)/H177)</f>
        <v>1.4492753623188406E-2</v>
      </c>
      <c r="U177" s="81">
        <f t="shared" ref="U177:U187" si="82">P177-I177</f>
        <v>0</v>
      </c>
      <c r="V177" s="83">
        <f t="shared" ref="V177:V187" si="83">Q177-J177</f>
        <v>2.9999999999999472E-4</v>
      </c>
    </row>
    <row r="178" spans="1:22">
      <c r="A178" s="75">
        <v>146</v>
      </c>
      <c r="B178" s="130" t="s">
        <v>190</v>
      </c>
      <c r="C178" s="123" t="s">
        <v>64</v>
      </c>
      <c r="D178" s="9">
        <v>56355833.399999999</v>
      </c>
      <c r="E178" s="3">
        <f t="shared" si="77"/>
        <v>1.1382795789876702E-3</v>
      </c>
      <c r="F178" s="17">
        <v>101.53</v>
      </c>
      <c r="G178" s="17">
        <v>102.88</v>
      </c>
      <c r="H178" s="60">
        <v>13</v>
      </c>
      <c r="I178" s="5">
        <v>2E-3</v>
      </c>
      <c r="J178" s="5">
        <v>6.0199999999999997E-2</v>
      </c>
      <c r="K178" s="9">
        <v>56442678.399999999</v>
      </c>
      <c r="L178" s="3">
        <f t="shared" si="78"/>
        <v>1.1017109310218281E-3</v>
      </c>
      <c r="M178" s="17">
        <v>101.67</v>
      </c>
      <c r="N178" s="17">
        <v>103.13</v>
      </c>
      <c r="O178" s="60">
        <v>12</v>
      </c>
      <c r="P178" s="5">
        <v>2E-3</v>
      </c>
      <c r="Q178" s="5">
        <v>6.2199999999999998E-2</v>
      </c>
      <c r="R178" s="81">
        <f t="shared" si="79"/>
        <v>1.5410117242627807E-3</v>
      </c>
      <c r="S178" s="81">
        <f t="shared" si="80"/>
        <v>2.4300155520995334E-3</v>
      </c>
      <c r="T178" s="81">
        <f t="shared" si="81"/>
        <v>-7.6923076923076927E-2</v>
      </c>
      <c r="U178" s="81">
        <f t="shared" si="82"/>
        <v>0</v>
      </c>
      <c r="V178" s="83">
        <f t="shared" si="83"/>
        <v>2.0000000000000018E-3</v>
      </c>
    </row>
    <row r="179" spans="1:22">
      <c r="A179" s="75">
        <v>147</v>
      </c>
      <c r="B179" s="122" t="s">
        <v>191</v>
      </c>
      <c r="C179" s="123" t="s">
        <v>27</v>
      </c>
      <c r="D179" s="2">
        <v>9654913925.7999992</v>
      </c>
      <c r="E179" s="3">
        <f t="shared" si="77"/>
        <v>0.19501071487342811</v>
      </c>
      <c r="F179" s="17">
        <v>138.71</v>
      </c>
      <c r="G179" s="17">
        <v>138.71</v>
      </c>
      <c r="H179" s="60">
        <v>692</v>
      </c>
      <c r="I179" s="5">
        <v>2.8E-3</v>
      </c>
      <c r="J179" s="5">
        <v>3.7400000000000003E-2</v>
      </c>
      <c r="K179" s="2">
        <v>9608966619.6100006</v>
      </c>
      <c r="L179" s="3">
        <f t="shared" si="78"/>
        <v>0.18755849050296314</v>
      </c>
      <c r="M179" s="17">
        <v>139.1</v>
      </c>
      <c r="N179" s="17">
        <v>139.1</v>
      </c>
      <c r="O179" s="60">
        <v>698</v>
      </c>
      <c r="P179" s="5">
        <v>2.8E-3</v>
      </c>
      <c r="Q179" s="5">
        <v>4.0300000000000002E-2</v>
      </c>
      <c r="R179" s="81">
        <f t="shared" si="79"/>
        <v>-4.7589555477255555E-3</v>
      </c>
      <c r="S179" s="81">
        <f t="shared" si="80"/>
        <v>2.8116213683223009E-3</v>
      </c>
      <c r="T179" s="81">
        <f t="shared" si="81"/>
        <v>8.670520231213872E-3</v>
      </c>
      <c r="U179" s="81">
        <f t="shared" si="82"/>
        <v>0</v>
      </c>
      <c r="V179" s="83">
        <f t="shared" si="83"/>
        <v>2.8999999999999998E-3</v>
      </c>
    </row>
    <row r="180" spans="1:22">
      <c r="A180" s="75">
        <v>148</v>
      </c>
      <c r="B180" s="122" t="s">
        <v>249</v>
      </c>
      <c r="C180" s="123" t="s">
        <v>56</v>
      </c>
      <c r="D180" s="2">
        <v>270527382.78400499</v>
      </c>
      <c r="E180" s="3">
        <f t="shared" si="77"/>
        <v>5.4641334676813333E-3</v>
      </c>
      <c r="F180" s="4">
        <v>1063.4123489385299</v>
      </c>
      <c r="G180" s="4">
        <v>1063.4123489385299</v>
      </c>
      <c r="H180" s="60">
        <v>47</v>
      </c>
      <c r="I180" s="5">
        <v>0.12283136867028277</v>
      </c>
      <c r="J180" s="5">
        <v>0.11775531557125578</v>
      </c>
      <c r="K180" s="2">
        <v>277346467.15787202</v>
      </c>
      <c r="L180" s="3">
        <f t="shared" si="78"/>
        <v>5.413556606628258E-3</v>
      </c>
      <c r="M180" s="4">
        <v>1065.8291808751701</v>
      </c>
      <c r="N180" s="4">
        <v>1065.8291808751701</v>
      </c>
      <c r="O180" s="60">
        <v>60</v>
      </c>
      <c r="P180" s="5">
        <v>0.11883046519244596</v>
      </c>
      <c r="Q180" s="5">
        <v>0.11807432768940609</v>
      </c>
      <c r="R180" s="81">
        <f t="shared" si="79"/>
        <v>2.520663270272918E-2</v>
      </c>
      <c r="S180" s="81">
        <f t="shared" si="80"/>
        <v>2.2727138151560702E-3</v>
      </c>
      <c r="T180" s="81">
        <f t="shared" si="81"/>
        <v>0.27659574468085107</v>
      </c>
      <c r="U180" s="81">
        <f t="shared" si="82"/>
        <v>-4.0009034778368119E-3</v>
      </c>
      <c r="V180" s="83">
        <f t="shared" si="83"/>
        <v>3.1901211815031638E-4</v>
      </c>
    </row>
    <row r="181" spans="1:22">
      <c r="A181" s="75">
        <v>149</v>
      </c>
      <c r="B181" s="122" t="s">
        <v>192</v>
      </c>
      <c r="C181" s="123" t="s">
        <v>185</v>
      </c>
      <c r="D181" s="2">
        <v>20124097079.040001</v>
      </c>
      <c r="E181" s="3">
        <f t="shared" si="77"/>
        <v>0.40646810398578287</v>
      </c>
      <c r="F181" s="7">
        <v>1234.46</v>
      </c>
      <c r="G181" s="7">
        <v>1234.46</v>
      </c>
      <c r="H181" s="60">
        <v>5102</v>
      </c>
      <c r="I181" s="5">
        <v>2.5000000000000001E-3</v>
      </c>
      <c r="J181" s="5">
        <v>4.2000000000000003E-2</v>
      </c>
      <c r="K181" s="2">
        <v>20220809170.119999</v>
      </c>
      <c r="L181" s="3">
        <f t="shared" si="78"/>
        <v>0.39469222808582427</v>
      </c>
      <c r="M181" s="7">
        <v>1202.75</v>
      </c>
      <c r="N181" s="7">
        <v>1202.75</v>
      </c>
      <c r="O181" s="60">
        <v>8181</v>
      </c>
      <c r="P181" s="5">
        <v>-2.5700000000000001E-2</v>
      </c>
      <c r="Q181" s="5">
        <v>4.5100000000000001E-2</v>
      </c>
      <c r="R181" s="81">
        <f t="shared" si="79"/>
        <v>4.8057853577305222E-3</v>
      </c>
      <c r="S181" s="81">
        <f t="shared" si="80"/>
        <v>-2.5687345073959492E-2</v>
      </c>
      <c r="T181" s="81">
        <f t="shared" si="81"/>
        <v>0.6034888279106233</v>
      </c>
      <c r="U181" s="81">
        <f t="shared" si="82"/>
        <v>-2.8199999999999999E-2</v>
      </c>
      <c r="V181" s="83">
        <f t="shared" si="83"/>
        <v>3.0999999999999986E-3</v>
      </c>
    </row>
    <row r="182" spans="1:22" ht="12.75" customHeight="1">
      <c r="A182" s="75">
        <v>150</v>
      </c>
      <c r="B182" s="122" t="s">
        <v>193</v>
      </c>
      <c r="C182" s="123" t="s">
        <v>78</v>
      </c>
      <c r="D182" s="2">
        <v>1094463219.9300001</v>
      </c>
      <c r="E182" s="3">
        <f t="shared" si="77"/>
        <v>2.21060546537745E-2</v>
      </c>
      <c r="F182" s="14">
        <v>102.92</v>
      </c>
      <c r="G182" s="14">
        <v>102.92</v>
      </c>
      <c r="H182" s="60">
        <v>548</v>
      </c>
      <c r="I182" s="5">
        <v>2E-3</v>
      </c>
      <c r="J182" s="5">
        <v>3.1899999999999998E-2</v>
      </c>
      <c r="K182" s="2">
        <v>1066553051.9400001</v>
      </c>
      <c r="L182" s="3">
        <f t="shared" si="78"/>
        <v>2.0818167903190608E-2</v>
      </c>
      <c r="M182" s="14">
        <v>103.16</v>
      </c>
      <c r="N182" s="14">
        <v>103.16</v>
      </c>
      <c r="O182" s="60">
        <v>548</v>
      </c>
      <c r="P182" s="5">
        <v>2.3999999999999998E-3</v>
      </c>
      <c r="Q182" s="5">
        <v>3.4299999999999997E-2</v>
      </c>
      <c r="R182" s="81">
        <f t="shared" si="79"/>
        <v>-2.5501238855504978E-2</v>
      </c>
      <c r="S182" s="81">
        <f t="shared" si="80"/>
        <v>2.3319082782743382E-3</v>
      </c>
      <c r="T182" s="81">
        <f t="shared" si="81"/>
        <v>0</v>
      </c>
      <c r="U182" s="81">
        <f t="shared" si="82"/>
        <v>3.9999999999999975E-4</v>
      </c>
      <c r="V182" s="83">
        <f t="shared" si="83"/>
        <v>2.3999999999999994E-3</v>
      </c>
    </row>
    <row r="183" spans="1:22" ht="15.75" customHeight="1">
      <c r="A183" s="75">
        <v>151</v>
      </c>
      <c r="B183" s="122" t="s">
        <v>194</v>
      </c>
      <c r="C183" s="123" t="s">
        <v>42</v>
      </c>
      <c r="D183" s="2">
        <v>8111379193.9799995</v>
      </c>
      <c r="E183" s="3">
        <f t="shared" si="77"/>
        <v>0.16383427831506261</v>
      </c>
      <c r="F183" s="14">
        <v>130.51</v>
      </c>
      <c r="G183" s="14">
        <v>130.51</v>
      </c>
      <c r="H183" s="60">
        <v>1175</v>
      </c>
      <c r="I183" s="5">
        <v>2.0000000000000001E-4</v>
      </c>
      <c r="J183" s="5">
        <v>1.7299999999999999E-2</v>
      </c>
      <c r="K183" s="2">
        <v>9857770899.9200001</v>
      </c>
      <c r="L183" s="3">
        <f t="shared" si="78"/>
        <v>0.19241492898307869</v>
      </c>
      <c r="M183" s="14">
        <v>130.53</v>
      </c>
      <c r="N183" s="14">
        <v>130.53</v>
      </c>
      <c r="O183" s="60">
        <v>1181</v>
      </c>
      <c r="P183" s="5">
        <v>2.0000000000000001E-4</v>
      </c>
      <c r="Q183" s="5">
        <v>1.7500000000000002E-2</v>
      </c>
      <c r="R183" s="81">
        <f t="shared" si="79"/>
        <v>0.21530145049020952</v>
      </c>
      <c r="S183" s="81">
        <f t="shared" si="80"/>
        <v>1.5324496207195029E-4</v>
      </c>
      <c r="T183" s="81">
        <f t="shared" si="81"/>
        <v>5.106382978723404E-3</v>
      </c>
      <c r="U183" s="81">
        <f t="shared" si="82"/>
        <v>0</v>
      </c>
      <c r="V183" s="83">
        <f t="shared" si="83"/>
        <v>2.0000000000000226E-4</v>
      </c>
    </row>
    <row r="184" spans="1:22">
      <c r="A184" s="75">
        <v>152</v>
      </c>
      <c r="B184" s="122" t="s">
        <v>195</v>
      </c>
      <c r="C184" s="123" t="s">
        <v>45</v>
      </c>
      <c r="D184" s="2">
        <v>4296046644.8000002</v>
      </c>
      <c r="E184" s="3">
        <f t="shared" si="77"/>
        <v>8.6771889813882827E-2</v>
      </c>
      <c r="F184" s="14">
        <v>1.2105999999999999</v>
      </c>
      <c r="G184" s="14">
        <v>1.2105999999999999</v>
      </c>
      <c r="H184" s="60">
        <v>428</v>
      </c>
      <c r="I184" s="5">
        <v>9.4799999999999995E-2</v>
      </c>
      <c r="J184" s="5">
        <v>9.6000000000000002E-2</v>
      </c>
      <c r="K184" s="2">
        <v>4256031171.6500001</v>
      </c>
      <c r="L184" s="3">
        <f t="shared" si="78"/>
        <v>8.3073946834111331E-2</v>
      </c>
      <c r="M184" s="14">
        <v>1.2126999999999999</v>
      </c>
      <c r="N184" s="14">
        <v>1.2126999999999999</v>
      </c>
      <c r="O184" s="60">
        <v>638</v>
      </c>
      <c r="P184" s="5">
        <v>9.4600000000000004E-2</v>
      </c>
      <c r="Q184" s="5">
        <v>9.5899999999999999E-2</v>
      </c>
      <c r="R184" s="81">
        <f t="shared" si="79"/>
        <v>-9.3144875878932616E-3</v>
      </c>
      <c r="S184" s="81">
        <f t="shared" si="80"/>
        <v>1.7346770196596654E-3</v>
      </c>
      <c r="T184" s="81">
        <f t="shared" si="81"/>
        <v>0.49065420560747663</v>
      </c>
      <c r="U184" s="81">
        <f t="shared" si="82"/>
        <v>-1.9999999999999185E-4</v>
      </c>
      <c r="V184" s="83">
        <f t="shared" si="83"/>
        <v>-1.0000000000000286E-4</v>
      </c>
    </row>
    <row r="185" spans="1:22">
      <c r="A185" s="75">
        <v>153</v>
      </c>
      <c r="B185" s="122" t="s">
        <v>196</v>
      </c>
      <c r="C185" s="123" t="s">
        <v>197</v>
      </c>
      <c r="D185" s="2">
        <v>416729362.94</v>
      </c>
      <c r="E185" s="3">
        <f t="shared" si="77"/>
        <v>8.4171326228518386E-3</v>
      </c>
      <c r="F185" s="18">
        <v>111.65940000000001</v>
      </c>
      <c r="G185" s="18">
        <v>112.16540000000001</v>
      </c>
      <c r="H185" s="61">
        <v>159</v>
      </c>
      <c r="I185" s="5">
        <v>3.4880000000000002E-3</v>
      </c>
      <c r="J185" s="5">
        <v>0.12670000000000001</v>
      </c>
      <c r="K185" s="2">
        <v>415801940.94</v>
      </c>
      <c r="L185" s="3">
        <f t="shared" si="78"/>
        <v>8.1160844321960923E-3</v>
      </c>
      <c r="M185" s="18">
        <v>111.4448</v>
      </c>
      <c r="N185" s="18">
        <v>111.9478</v>
      </c>
      <c r="O185" s="61">
        <v>160</v>
      </c>
      <c r="P185" s="5">
        <v>-1.9403999999999999E-3</v>
      </c>
      <c r="Q185" s="5">
        <v>0.1246</v>
      </c>
      <c r="R185" s="81">
        <f>((K185-D185)/D185)</f>
        <v>-2.2254779299857703E-3</v>
      </c>
      <c r="S185" s="81">
        <f>((N185-G185)/G185)</f>
        <v>-1.9399921901050096E-3</v>
      </c>
      <c r="T185" s="81">
        <f>((O185-H185)/H185)</f>
        <v>6.2893081761006293E-3</v>
      </c>
      <c r="U185" s="81">
        <f>P185-I185</f>
        <v>-5.4283999999999999E-3</v>
      </c>
      <c r="V185" s="83">
        <f>Q185-J185</f>
        <v>-2.1000000000000046E-3</v>
      </c>
    </row>
    <row r="186" spans="1:22">
      <c r="A186" s="75">
        <v>154</v>
      </c>
      <c r="B186" s="122" t="s">
        <v>244</v>
      </c>
      <c r="C186" s="123" t="s">
        <v>197</v>
      </c>
      <c r="D186" s="2">
        <v>154491284.41999999</v>
      </c>
      <c r="E186" s="3">
        <f t="shared" si="77"/>
        <v>3.1204271781182106E-3</v>
      </c>
      <c r="F186" s="18">
        <v>101.9354</v>
      </c>
      <c r="G186" s="18">
        <v>101.9354</v>
      </c>
      <c r="H186" s="61">
        <v>64</v>
      </c>
      <c r="I186" s="5">
        <v>2.7690000000000002E-3</v>
      </c>
      <c r="J186" s="5">
        <v>1.7873E-2</v>
      </c>
      <c r="K186" s="2">
        <v>155097632.09</v>
      </c>
      <c r="L186" s="3">
        <f t="shared" si="78"/>
        <v>3.0273679685823502E-3</v>
      </c>
      <c r="M186" s="18">
        <v>102.21720000000001</v>
      </c>
      <c r="N186" s="18">
        <v>102.21720000000001</v>
      </c>
      <c r="O186" s="61">
        <v>65</v>
      </c>
      <c r="P186" s="5">
        <v>2.764E-3</v>
      </c>
      <c r="Q186" s="5">
        <v>2.0687000000000001E-2</v>
      </c>
      <c r="R186" s="81">
        <f t="shared" si="79"/>
        <v>3.9248017923884946E-3</v>
      </c>
      <c r="S186" s="81">
        <f t="shared" si="80"/>
        <v>2.764495945471387E-3</v>
      </c>
      <c r="T186" s="81">
        <f t="shared" si="81"/>
        <v>1.5625E-2</v>
      </c>
      <c r="U186" s="81">
        <f t="shared" si="82"/>
        <v>-5.00000000000023E-6</v>
      </c>
      <c r="V186" s="83">
        <f t="shared" si="83"/>
        <v>2.8140000000000005E-3</v>
      </c>
    </row>
    <row r="187" spans="1:22">
      <c r="A187" s="85"/>
      <c r="B187" s="19"/>
      <c r="C187" s="66" t="s">
        <v>46</v>
      </c>
      <c r="D187" s="59">
        <f>SUM(D172:D186)</f>
        <v>49509658646.534012</v>
      </c>
      <c r="E187" s="100">
        <f>(D187/$D$188)</f>
        <v>1.9683231174649242E-2</v>
      </c>
      <c r="F187" s="30"/>
      <c r="G187" s="34"/>
      <c r="H187" s="68">
        <f>SUM(H172:H186)</f>
        <v>24118</v>
      </c>
      <c r="I187" s="35"/>
      <c r="J187" s="35"/>
      <c r="K187" s="59">
        <f>SUM(K172:K186)</f>
        <v>51231840232.037872</v>
      </c>
      <c r="L187" s="100">
        <f>(K187/$K$188)</f>
        <v>2.0404605212964104E-2</v>
      </c>
      <c r="M187" s="30"/>
      <c r="N187" s="34"/>
      <c r="O187" s="68">
        <f>SUM(O172:O186)</f>
        <v>27441</v>
      </c>
      <c r="P187" s="35"/>
      <c r="Q187" s="35"/>
      <c r="R187" s="81">
        <f t="shared" si="79"/>
        <v>3.4784759834421197E-2</v>
      </c>
      <c r="S187" s="81" t="e">
        <f t="shared" si="80"/>
        <v>#DIV/0!</v>
      </c>
      <c r="T187" s="81">
        <f t="shared" si="81"/>
        <v>0.13778091052326064</v>
      </c>
      <c r="U187" s="81">
        <f t="shared" si="82"/>
        <v>0</v>
      </c>
      <c r="V187" s="83">
        <f t="shared" si="83"/>
        <v>0</v>
      </c>
    </row>
    <row r="188" spans="1:22">
      <c r="A188" s="86"/>
      <c r="B188" s="38"/>
      <c r="C188" s="67" t="s">
        <v>198</v>
      </c>
      <c r="D188" s="69">
        <f>SUM(D23,D57,D94,D125,D133,D162,D168,D187)</f>
        <v>2515321707459.2573</v>
      </c>
      <c r="E188" s="39"/>
      <c r="F188" s="39"/>
      <c r="G188" s="40"/>
      <c r="H188" s="69">
        <f>SUM(H23,H57,H94,H125,H133,H162,H168,H187)</f>
        <v>723811</v>
      </c>
      <c r="I188" s="41"/>
      <c r="J188" s="41"/>
      <c r="K188" s="69">
        <f>SUM(K23,K57,K94,K125,K133,K162,K168,K187)</f>
        <v>2510797915339.603</v>
      </c>
      <c r="L188" s="39"/>
      <c r="M188" s="39"/>
      <c r="N188" s="40"/>
      <c r="O188" s="69">
        <f>SUM(O23,O57,O94,O125,O133,O162,O168,O187)</f>
        <v>726228</v>
      </c>
      <c r="P188" s="42"/>
      <c r="Q188" s="69"/>
      <c r="R188" s="25">
        <f t="shared" si="79"/>
        <v>-1.7984944455569497E-3</v>
      </c>
      <c r="S188" s="25"/>
      <c r="T188" s="25"/>
      <c r="U188" s="25"/>
      <c r="V188" s="25"/>
    </row>
    <row r="189" spans="1:22" ht="6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9"/>
    </row>
    <row r="190" spans="1:22" ht="15.75">
      <c r="A190" s="165" t="s">
        <v>199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</row>
    <row r="191" spans="1:22">
      <c r="A191" s="75">
        <v>1</v>
      </c>
      <c r="B191" s="122" t="s">
        <v>200</v>
      </c>
      <c r="C191" s="123" t="s">
        <v>201</v>
      </c>
      <c r="D191" s="2">
        <v>103175705234</v>
      </c>
      <c r="E191" s="3">
        <f>(D191/$D$193)</f>
        <v>0.97990102271322932</v>
      </c>
      <c r="F191" s="14">
        <v>107.39</v>
      </c>
      <c r="G191" s="14">
        <v>107.39</v>
      </c>
      <c r="H191" s="64">
        <v>0</v>
      </c>
      <c r="I191" s="20">
        <v>0</v>
      </c>
      <c r="J191" s="20">
        <v>0.13800000000000001</v>
      </c>
      <c r="K191" s="2">
        <v>103175705234</v>
      </c>
      <c r="L191" s="3">
        <f>(K191/$K$193)</f>
        <v>0.97940773730018915</v>
      </c>
      <c r="M191" s="14">
        <v>107.39</v>
      </c>
      <c r="N191" s="14">
        <v>107.39</v>
      </c>
      <c r="O191" s="64">
        <v>0</v>
      </c>
      <c r="P191" s="20">
        <v>0</v>
      </c>
      <c r="Q191" s="20">
        <v>0.13800000000000001</v>
      </c>
      <c r="R191" s="81">
        <f>((K191-D191)/D191)</f>
        <v>0</v>
      </c>
      <c r="S191" s="81">
        <f>((N191-G191)/G191)</f>
        <v>0</v>
      </c>
      <c r="T191" s="81" t="e">
        <f>((O191-H191)/H191)</f>
        <v>#DIV/0!</v>
      </c>
      <c r="U191" s="81">
        <f>P191-I191</f>
        <v>0</v>
      </c>
      <c r="V191" s="83">
        <f>Q191-J191</f>
        <v>0</v>
      </c>
    </row>
    <row r="192" spans="1:22">
      <c r="A192" s="75">
        <v>2</v>
      </c>
      <c r="B192" s="122" t="s">
        <v>202</v>
      </c>
      <c r="C192" s="123" t="s">
        <v>45</v>
      </c>
      <c r="D192" s="2">
        <v>2116260834.49</v>
      </c>
      <c r="E192" s="3">
        <f>(D192/$D$193)</f>
        <v>2.0098977286770587E-2</v>
      </c>
      <c r="F192" s="21">
        <v>1000000</v>
      </c>
      <c r="G192" s="21">
        <v>1000000</v>
      </c>
      <c r="H192" s="64">
        <v>0</v>
      </c>
      <c r="I192" s="20">
        <v>0.1643</v>
      </c>
      <c r="J192" s="20">
        <v>0.1643</v>
      </c>
      <c r="K192" s="2">
        <v>2169291854.1500001</v>
      </c>
      <c r="L192" s="3">
        <f>(K192/$K$193)</f>
        <v>2.0592262699810911E-2</v>
      </c>
      <c r="M192" s="21">
        <v>1000000</v>
      </c>
      <c r="N192" s="21">
        <v>1000000</v>
      </c>
      <c r="O192" s="64">
        <v>0</v>
      </c>
      <c r="P192" s="20">
        <v>0.16420000000000001</v>
      </c>
      <c r="Q192" s="20">
        <v>0.16420000000000001</v>
      </c>
      <c r="R192" s="81">
        <f>((K192-D192)/D192)</f>
        <v>2.5058829609148861E-2</v>
      </c>
      <c r="S192" s="81">
        <f>((N192-G192)/G192)</f>
        <v>0</v>
      </c>
      <c r="T192" s="81" t="e">
        <f>((O192-H192)/H192)</f>
        <v>#DIV/0!</v>
      </c>
      <c r="U192" s="81">
        <f>P192-I192</f>
        <v>-9.9999999999988987E-5</v>
      </c>
      <c r="V192" s="83">
        <f>Q192-J192</f>
        <v>-9.9999999999988987E-5</v>
      </c>
    </row>
    <row r="193" spans="1:22">
      <c r="A193" s="38"/>
      <c r="B193" s="38"/>
      <c r="C193" s="67" t="s">
        <v>203</v>
      </c>
      <c r="D193" s="73">
        <f>SUM(D191:D192)</f>
        <v>105291966068.49001</v>
      </c>
      <c r="E193" s="24"/>
      <c r="F193" s="22"/>
      <c r="G193" s="22"/>
      <c r="H193" s="73">
        <f>SUM(H191:H192)</f>
        <v>0</v>
      </c>
      <c r="I193" s="23"/>
      <c r="J193" s="23"/>
      <c r="K193" s="73">
        <f>SUM(K191:K192)</f>
        <v>105344997088.14999</v>
      </c>
      <c r="L193" s="24"/>
      <c r="M193" s="22"/>
      <c r="N193" s="22"/>
      <c r="O193" s="23"/>
      <c r="P193" s="23"/>
      <c r="Q193" s="73"/>
      <c r="R193" s="25">
        <f>((K193-D193)/D193)</f>
        <v>5.0365684714722629E-4</v>
      </c>
      <c r="S193" s="26"/>
      <c r="T193" s="26"/>
      <c r="U193" s="25"/>
      <c r="V193" s="87"/>
    </row>
    <row r="194" spans="1:22" ht="8.25" customHeight="1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</row>
    <row r="195" spans="1:22" ht="15.75">
      <c r="A195" s="165" t="s">
        <v>204</v>
      </c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</row>
    <row r="196" spans="1:22">
      <c r="A196" s="75">
        <v>1</v>
      </c>
      <c r="B196" s="122" t="s">
        <v>205</v>
      </c>
      <c r="C196" s="123" t="s">
        <v>74</v>
      </c>
      <c r="D196" s="27">
        <v>988668480.16902673</v>
      </c>
      <c r="E196" s="10">
        <f t="shared" ref="E196:E207" si="84">(D196/$D$208)</f>
        <v>7.4873139061569893E-2</v>
      </c>
      <c r="F196" s="21">
        <v>232.9842064732006</v>
      </c>
      <c r="G196" s="21">
        <v>236.03132132202194</v>
      </c>
      <c r="H196" s="63">
        <v>61</v>
      </c>
      <c r="I196" s="28">
        <v>-1.0224427561540517E-2</v>
      </c>
      <c r="J196" s="28">
        <v>0.33266708590801386</v>
      </c>
      <c r="K196" s="27">
        <v>965554786.3474654</v>
      </c>
      <c r="L196" s="10">
        <f t="shared" ref="L196:L207" si="85">(K196/$K$208)</f>
        <v>7.5846365660083431E-2</v>
      </c>
      <c r="M196" s="21">
        <v>227.53735980852255</v>
      </c>
      <c r="N196" s="21">
        <v>229.51817624837986</v>
      </c>
      <c r="O196" s="63">
        <v>61</v>
      </c>
      <c r="P196" s="28">
        <v>-2.3378608992985939E-2</v>
      </c>
      <c r="Q196" s="28">
        <v>0.30151118318874848</v>
      </c>
      <c r="R196" s="81">
        <f>((K196-D196)/D196)</f>
        <v>-2.3378608992985928E-2</v>
      </c>
      <c r="S196" s="81">
        <f>((N196-G196)/G196)</f>
        <v>-2.7594410085753293E-2</v>
      </c>
      <c r="T196" s="81">
        <f>((O196-H196)/H196)</f>
        <v>0</v>
      </c>
      <c r="U196" s="81">
        <f>P196-I196</f>
        <v>-1.3154181431445422E-2</v>
      </c>
      <c r="V196" s="83">
        <f>Q196-J196</f>
        <v>-3.1155902719265383E-2</v>
      </c>
    </row>
    <row r="197" spans="1:22">
      <c r="A197" s="75">
        <v>2</v>
      </c>
      <c r="B197" s="122" t="s">
        <v>206</v>
      </c>
      <c r="C197" s="123" t="s">
        <v>185</v>
      </c>
      <c r="D197" s="27">
        <v>996414859.51999998</v>
      </c>
      <c r="E197" s="10">
        <f t="shared" si="84"/>
        <v>7.5459782360110098E-2</v>
      </c>
      <c r="F197" s="21">
        <v>28.34</v>
      </c>
      <c r="G197" s="21">
        <v>31.32</v>
      </c>
      <c r="H197" s="63">
        <v>211</v>
      </c>
      <c r="I197" s="28">
        <v>-3.7000000000000002E-3</v>
      </c>
      <c r="J197" s="28">
        <v>0.32219999999999999</v>
      </c>
      <c r="K197" s="27">
        <v>982649001.49000001</v>
      </c>
      <c r="L197" s="10">
        <f t="shared" si="85"/>
        <v>7.718915232605543E-2</v>
      </c>
      <c r="M197" s="21">
        <v>27.95</v>
      </c>
      <c r="N197" s="21">
        <v>30.89</v>
      </c>
      <c r="O197" s="63">
        <v>211</v>
      </c>
      <c r="P197" s="28">
        <v>-1.38E-2</v>
      </c>
      <c r="Q197" s="28">
        <v>0.3039</v>
      </c>
      <c r="R197" s="81">
        <f t="shared" ref="R197:R208" si="86">((K197-D197)/D197)</f>
        <v>-1.3815388137257766E-2</v>
      </c>
      <c r="S197" s="81">
        <f t="shared" ref="S197:S208" si="87">((N197-G197)/G197)</f>
        <v>-1.3729246487867169E-2</v>
      </c>
      <c r="T197" s="81">
        <f t="shared" ref="T197:T208" si="88">((O197-H197)/H197)</f>
        <v>0</v>
      </c>
      <c r="U197" s="81">
        <f t="shared" ref="U197:U208" si="89">P197-I197</f>
        <v>-1.01E-2</v>
      </c>
      <c r="V197" s="83">
        <f t="shared" ref="V197:V208" si="90">Q197-J197</f>
        <v>-1.8299999999999983E-2</v>
      </c>
    </row>
    <row r="198" spans="1:22">
      <c r="A198" s="75">
        <v>3</v>
      </c>
      <c r="B198" s="122" t="s">
        <v>207</v>
      </c>
      <c r="C198" s="123" t="s">
        <v>36</v>
      </c>
      <c r="D198" s="27">
        <v>292336441.19999999</v>
      </c>
      <c r="E198" s="10">
        <f t="shared" si="84"/>
        <v>2.2139015710291445E-2</v>
      </c>
      <c r="F198" s="21">
        <v>21.393536000000001</v>
      </c>
      <c r="G198" s="21">
        <v>21.889451000000001</v>
      </c>
      <c r="H198" s="63">
        <v>107</v>
      </c>
      <c r="I198" s="28">
        <v>-5.4502232259497463E-2</v>
      </c>
      <c r="J198" s="28">
        <v>-7.1437886832097064E-2</v>
      </c>
      <c r="K198" s="27">
        <v>263458808.47000003</v>
      </c>
      <c r="L198" s="10">
        <f t="shared" si="85"/>
        <v>2.0695245268448834E-2</v>
      </c>
      <c r="M198" s="21">
        <v>19.503527999999999</v>
      </c>
      <c r="N198" s="21">
        <v>20.005043000000001</v>
      </c>
      <c r="O198" s="63">
        <v>107</v>
      </c>
      <c r="P198" s="28">
        <v>-9.8782186071162847E-2</v>
      </c>
      <c r="Q198" s="28">
        <v>-0.16316328227368104</v>
      </c>
      <c r="R198" s="81">
        <f t="shared" si="86"/>
        <v>-9.8782186071162861E-2</v>
      </c>
      <c r="S198" s="81">
        <f t="shared" si="87"/>
        <v>-8.6087494839409195E-2</v>
      </c>
      <c r="T198" s="81">
        <f t="shared" si="88"/>
        <v>0</v>
      </c>
      <c r="U198" s="81">
        <f t="shared" si="89"/>
        <v>-4.4279953811665385E-2</v>
      </c>
      <c r="V198" s="83">
        <f t="shared" si="90"/>
        <v>-9.1725395441583979E-2</v>
      </c>
    </row>
    <row r="199" spans="1:22">
      <c r="A199" s="75">
        <v>4</v>
      </c>
      <c r="B199" s="122" t="s">
        <v>208</v>
      </c>
      <c r="C199" s="123" t="s">
        <v>36</v>
      </c>
      <c r="D199" s="27">
        <v>535257881.29000002</v>
      </c>
      <c r="E199" s="10">
        <f t="shared" si="84"/>
        <v>4.0535769657363621E-2</v>
      </c>
      <c r="F199" s="21">
        <v>39.282997000000002</v>
      </c>
      <c r="G199" s="21">
        <v>39.892252999999997</v>
      </c>
      <c r="H199" s="63">
        <v>98</v>
      </c>
      <c r="I199" s="28">
        <v>-5.3036812573749037E-3</v>
      </c>
      <c r="J199" s="28">
        <v>6.6744635214323278E-2</v>
      </c>
      <c r="K199" s="27">
        <v>507517317.77000004</v>
      </c>
      <c r="L199" s="10">
        <f t="shared" si="85"/>
        <v>3.9866556105036935E-2</v>
      </c>
      <c r="M199" s="21">
        <v>38.081083</v>
      </c>
      <c r="N199" s="21">
        <v>38.699537999999997</v>
      </c>
      <c r="O199" s="63">
        <v>98</v>
      </c>
      <c r="P199" s="28">
        <v>-5.1826539112593273E-2</v>
      </c>
      <c r="Q199" s="28">
        <v>1.1458952654239019E-2</v>
      </c>
      <c r="R199" s="81">
        <f t="shared" si="86"/>
        <v>-5.1826539112593252E-2</v>
      </c>
      <c r="S199" s="81">
        <f t="shared" si="87"/>
        <v>-2.989841160387707E-2</v>
      </c>
      <c r="T199" s="81">
        <f t="shared" si="88"/>
        <v>0</v>
      </c>
      <c r="U199" s="81">
        <f t="shared" si="89"/>
        <v>-4.6522857855218369E-2</v>
      </c>
      <c r="V199" s="83">
        <f t="shared" si="90"/>
        <v>-5.5285682560084259E-2</v>
      </c>
    </row>
    <row r="200" spans="1:22">
      <c r="A200" s="75">
        <v>5</v>
      </c>
      <c r="B200" s="122" t="s">
        <v>209</v>
      </c>
      <c r="C200" s="123" t="s">
        <v>210</v>
      </c>
      <c r="D200" s="27">
        <v>904271374.10000002</v>
      </c>
      <c r="E200" s="10">
        <f t="shared" si="84"/>
        <v>6.8481637374351173E-2</v>
      </c>
      <c r="F200" s="21">
        <v>23500</v>
      </c>
      <c r="G200" s="21">
        <v>24600</v>
      </c>
      <c r="H200" s="63">
        <v>222</v>
      </c>
      <c r="I200" s="28">
        <v>-0.01</v>
      </c>
      <c r="J200" s="28">
        <v>0.55000000000000004</v>
      </c>
      <c r="K200" s="27">
        <v>809664000</v>
      </c>
      <c r="L200" s="10">
        <f t="shared" si="85"/>
        <v>6.360081548361432E-2</v>
      </c>
      <c r="M200" s="21">
        <v>23500</v>
      </c>
      <c r="N200" s="21">
        <v>28600</v>
      </c>
      <c r="O200" s="63">
        <v>222</v>
      </c>
      <c r="P200" s="28">
        <v>-0.05</v>
      </c>
      <c r="Q200" s="28">
        <v>0.47</v>
      </c>
      <c r="R200" s="81">
        <f t="shared" si="86"/>
        <v>-0.10462276790986612</v>
      </c>
      <c r="S200" s="81">
        <f t="shared" si="87"/>
        <v>0.16260162601626016</v>
      </c>
      <c r="T200" s="81">
        <f t="shared" si="88"/>
        <v>0</v>
      </c>
      <c r="U200" s="81">
        <f t="shared" si="89"/>
        <v>-0.04</v>
      </c>
      <c r="V200" s="83">
        <f t="shared" si="90"/>
        <v>-8.0000000000000071E-2</v>
      </c>
    </row>
    <row r="201" spans="1:22">
      <c r="A201" s="75">
        <v>6</v>
      </c>
      <c r="B201" s="122" t="s">
        <v>211</v>
      </c>
      <c r="C201" s="123" t="s">
        <v>212</v>
      </c>
      <c r="D201" s="27">
        <v>1051446004.22</v>
      </c>
      <c r="E201" s="10">
        <f t="shared" si="84"/>
        <v>7.9627361920384998E-2</v>
      </c>
      <c r="F201" s="21">
        <v>1018.9</v>
      </c>
      <c r="G201" s="21">
        <v>1018.9</v>
      </c>
      <c r="H201" s="63">
        <v>113</v>
      </c>
      <c r="I201" s="28">
        <v>-7.7000000000000002E-3</v>
      </c>
      <c r="J201" s="28">
        <v>0.40870000000000001</v>
      </c>
      <c r="K201" s="27">
        <v>994711016.23000002</v>
      </c>
      <c r="L201" s="10">
        <f t="shared" si="85"/>
        <v>7.8136649033133151E-2</v>
      </c>
      <c r="M201" s="21">
        <v>917.01</v>
      </c>
      <c r="N201" s="21">
        <v>917.01</v>
      </c>
      <c r="O201" s="63">
        <v>113</v>
      </c>
      <c r="P201" s="28">
        <v>-5.3999999999999999E-2</v>
      </c>
      <c r="Q201" s="28">
        <v>4.3200000000000002E-2</v>
      </c>
      <c r="R201" s="81">
        <f t="shared" si="86"/>
        <v>-5.3959012409855546E-2</v>
      </c>
      <c r="S201" s="81">
        <f t="shared" si="87"/>
        <v>-9.9999999999999992E-2</v>
      </c>
      <c r="T201" s="81">
        <f t="shared" si="88"/>
        <v>0</v>
      </c>
      <c r="U201" s="81">
        <f t="shared" si="89"/>
        <v>-4.6300000000000001E-2</v>
      </c>
      <c r="V201" s="83">
        <f t="shared" si="90"/>
        <v>-0.36549999999999999</v>
      </c>
    </row>
    <row r="202" spans="1:22">
      <c r="A202" s="75">
        <v>7</v>
      </c>
      <c r="B202" s="122" t="s">
        <v>213</v>
      </c>
      <c r="C202" s="123" t="s">
        <v>212</v>
      </c>
      <c r="D202" s="27">
        <v>941495985.27999997</v>
      </c>
      <c r="E202" s="10">
        <f t="shared" si="84"/>
        <v>7.1300705186563118E-2</v>
      </c>
      <c r="F202" s="21">
        <v>651.20000000000005</v>
      </c>
      <c r="G202" s="21">
        <v>651.20000000000005</v>
      </c>
      <c r="H202" s="63">
        <v>533</v>
      </c>
      <c r="I202" s="28">
        <v>-7.7000000000000002E-3</v>
      </c>
      <c r="J202" s="28">
        <v>0.40870000000000001</v>
      </c>
      <c r="K202" s="27">
        <v>922539785.61000001</v>
      </c>
      <c r="L202" s="10">
        <f t="shared" si="85"/>
        <v>7.2467446596211169E-2</v>
      </c>
      <c r="M202" s="21">
        <v>574</v>
      </c>
      <c r="N202" s="21">
        <v>574</v>
      </c>
      <c r="O202" s="63">
        <v>533</v>
      </c>
      <c r="P202" s="28">
        <v>-2.0199999999999999E-2</v>
      </c>
      <c r="Q202" s="28">
        <v>0.38059999999999999</v>
      </c>
      <c r="R202" s="81">
        <f t="shared" si="86"/>
        <v>-2.0134126928180583E-2</v>
      </c>
      <c r="S202" s="81">
        <f t="shared" si="87"/>
        <v>-0.11855036855036861</v>
      </c>
      <c r="T202" s="81">
        <f t="shared" si="88"/>
        <v>0</v>
      </c>
      <c r="U202" s="81">
        <f t="shared" si="89"/>
        <v>-1.2499999999999999E-2</v>
      </c>
      <c r="V202" s="83">
        <f t="shared" si="90"/>
        <v>-2.8100000000000014E-2</v>
      </c>
    </row>
    <row r="203" spans="1:22">
      <c r="A203" s="75">
        <v>8</v>
      </c>
      <c r="B203" s="122" t="s">
        <v>214</v>
      </c>
      <c r="C203" s="123" t="s">
        <v>215</v>
      </c>
      <c r="D203" s="27">
        <v>361988662.57999998</v>
      </c>
      <c r="E203" s="10">
        <f t="shared" si="84"/>
        <v>2.7413868263940572E-2</v>
      </c>
      <c r="F203" s="21">
        <v>15.99</v>
      </c>
      <c r="G203" s="21">
        <v>16.09</v>
      </c>
      <c r="H203" s="63">
        <v>58</v>
      </c>
      <c r="I203" s="28">
        <v>0</v>
      </c>
      <c r="J203" s="28">
        <v>0.43230000000000002</v>
      </c>
      <c r="K203" s="27">
        <v>357691736.74000001</v>
      </c>
      <c r="L203" s="10">
        <f t="shared" si="85"/>
        <v>2.8097440603033218E-2</v>
      </c>
      <c r="M203" s="21">
        <v>15.84</v>
      </c>
      <c r="N203" s="21">
        <v>15.94</v>
      </c>
      <c r="O203" s="63">
        <v>58</v>
      </c>
      <c r="P203" s="28">
        <v>0</v>
      </c>
      <c r="Q203" s="28">
        <v>0.43230000000000002</v>
      </c>
      <c r="R203" s="81">
        <f t="shared" si="86"/>
        <v>-1.1870332649024188E-2</v>
      </c>
      <c r="S203" s="81">
        <f t="shared" si="87"/>
        <v>-9.3225605966438998E-3</v>
      </c>
      <c r="T203" s="81">
        <f t="shared" si="88"/>
        <v>0</v>
      </c>
      <c r="U203" s="81">
        <f t="shared" si="89"/>
        <v>0</v>
      </c>
      <c r="V203" s="83">
        <f t="shared" si="90"/>
        <v>0</v>
      </c>
    </row>
    <row r="204" spans="1:22">
      <c r="A204" s="75">
        <v>9</v>
      </c>
      <c r="B204" s="122" t="s">
        <v>216</v>
      </c>
      <c r="C204" s="123" t="s">
        <v>215</v>
      </c>
      <c r="D204" s="29">
        <v>718912898.55999994</v>
      </c>
      <c r="E204" s="10">
        <f t="shared" si="84"/>
        <v>5.4444200970012353E-2</v>
      </c>
      <c r="F204" s="21">
        <v>8.86</v>
      </c>
      <c r="G204" s="21">
        <v>8.9600000000000009</v>
      </c>
      <c r="H204" s="63">
        <v>99</v>
      </c>
      <c r="I204" s="28">
        <v>-4.9000000000000002E-2</v>
      </c>
      <c r="J204" s="28">
        <v>9.8500000000000004E-2</v>
      </c>
      <c r="K204" s="29">
        <v>637925135.89999998</v>
      </c>
      <c r="L204" s="10">
        <f t="shared" si="85"/>
        <v>5.0110365362342264E-2</v>
      </c>
      <c r="M204" s="21">
        <v>7.84</v>
      </c>
      <c r="N204" s="21">
        <v>7.94</v>
      </c>
      <c r="O204" s="63">
        <v>101</v>
      </c>
      <c r="P204" s="28">
        <v>-0.17530000000000001</v>
      </c>
      <c r="Q204" s="28">
        <v>-9.4E-2</v>
      </c>
      <c r="R204" s="81">
        <f t="shared" si="86"/>
        <v>-0.1126530944461011</v>
      </c>
      <c r="S204" s="81">
        <f t="shared" si="87"/>
        <v>-0.11383928571428575</v>
      </c>
      <c r="T204" s="81">
        <f t="shared" si="88"/>
        <v>2.0202020202020204E-2</v>
      </c>
      <c r="U204" s="81">
        <f t="shared" si="89"/>
        <v>-0.12630000000000002</v>
      </c>
      <c r="V204" s="83">
        <f t="shared" si="90"/>
        <v>-0.1925</v>
      </c>
    </row>
    <row r="205" spans="1:22" ht="15" customHeight="1">
      <c r="A205" s="75">
        <v>10</v>
      </c>
      <c r="B205" s="122" t="s">
        <v>217</v>
      </c>
      <c r="C205" s="123" t="s">
        <v>215</v>
      </c>
      <c r="D205" s="27">
        <v>454316668.94999999</v>
      </c>
      <c r="E205" s="10">
        <f t="shared" si="84"/>
        <v>3.4405987259214565E-2</v>
      </c>
      <c r="F205" s="21">
        <v>128.05000000000001</v>
      </c>
      <c r="G205" s="21">
        <v>130.05000000000001</v>
      </c>
      <c r="H205" s="63">
        <v>250</v>
      </c>
      <c r="I205" s="28">
        <v>0.5</v>
      </c>
      <c r="J205" s="28">
        <v>1.5338000000000001</v>
      </c>
      <c r="K205" s="27">
        <v>437992494.5</v>
      </c>
      <c r="L205" s="10">
        <f t="shared" si="85"/>
        <v>3.4405234549025838E-2</v>
      </c>
      <c r="M205" s="21">
        <v>123.42</v>
      </c>
      <c r="N205" s="21">
        <v>125.42</v>
      </c>
      <c r="O205" s="63">
        <v>250</v>
      </c>
      <c r="P205" s="28">
        <v>-6.7199999999999996E-2</v>
      </c>
      <c r="Q205" s="28">
        <v>1.3634999999999999</v>
      </c>
      <c r="R205" s="81">
        <f t="shared" si="86"/>
        <v>-3.5931269014909402E-2</v>
      </c>
      <c r="S205" s="81">
        <f t="shared" si="87"/>
        <v>-3.5601691657055047E-2</v>
      </c>
      <c r="T205" s="81">
        <f t="shared" si="88"/>
        <v>0</v>
      </c>
      <c r="U205" s="81">
        <f t="shared" si="89"/>
        <v>-0.56720000000000004</v>
      </c>
      <c r="V205" s="83">
        <f t="shared" si="90"/>
        <v>-0.17030000000000012</v>
      </c>
    </row>
    <row r="206" spans="1:22">
      <c r="A206" s="75">
        <v>11</v>
      </c>
      <c r="B206" s="122" t="s">
        <v>218</v>
      </c>
      <c r="C206" s="123" t="s">
        <v>215</v>
      </c>
      <c r="D206" s="27">
        <v>5461017768.75</v>
      </c>
      <c r="E206" s="10">
        <f t="shared" si="84"/>
        <v>0.41356991855087616</v>
      </c>
      <c r="F206" s="21">
        <v>38.200000000000003</v>
      </c>
      <c r="G206" s="21">
        <v>38.4</v>
      </c>
      <c r="H206" s="63">
        <v>262</v>
      </c>
      <c r="I206" s="28">
        <v>-3.6400000000000002E-2</v>
      </c>
      <c r="J206" s="28">
        <v>0.37409999999999999</v>
      </c>
      <c r="K206" s="27">
        <v>5352864395.4899998</v>
      </c>
      <c r="L206" s="10">
        <f t="shared" si="85"/>
        <v>0.42047879209939948</v>
      </c>
      <c r="M206" s="21">
        <v>37.119999999999997</v>
      </c>
      <c r="N206" s="21">
        <v>37.32</v>
      </c>
      <c r="O206" s="63">
        <v>265</v>
      </c>
      <c r="P206" s="28">
        <v>-1.89E-2</v>
      </c>
      <c r="Q206" s="28">
        <v>0.34810000000000002</v>
      </c>
      <c r="R206" s="81">
        <f t="shared" si="86"/>
        <v>-1.9804618450226359E-2</v>
      </c>
      <c r="S206" s="81">
        <f t="shared" si="87"/>
        <v>-2.8124999999999956E-2</v>
      </c>
      <c r="T206" s="81">
        <f t="shared" si="88"/>
        <v>1.1450381679389313E-2</v>
      </c>
      <c r="U206" s="81">
        <f t="shared" si="89"/>
        <v>1.7500000000000002E-2</v>
      </c>
      <c r="V206" s="83">
        <f t="shared" si="90"/>
        <v>-2.5999999999999968E-2</v>
      </c>
    </row>
    <row r="207" spans="1:22">
      <c r="A207" s="75">
        <v>12</v>
      </c>
      <c r="B207" s="122" t="s">
        <v>219</v>
      </c>
      <c r="C207" s="123" t="s">
        <v>215</v>
      </c>
      <c r="D207" s="29">
        <v>498454652.61000001</v>
      </c>
      <c r="E207" s="10">
        <f t="shared" si="84"/>
        <v>3.7748613685322022E-2</v>
      </c>
      <c r="F207" s="21">
        <v>48.07</v>
      </c>
      <c r="G207" s="21">
        <v>48.27</v>
      </c>
      <c r="H207" s="63">
        <v>58</v>
      </c>
      <c r="I207" s="28">
        <v>0</v>
      </c>
      <c r="J207" s="28">
        <v>0.81130000000000002</v>
      </c>
      <c r="K207" s="29">
        <v>497834329.07999998</v>
      </c>
      <c r="L207" s="10">
        <f t="shared" si="85"/>
        <v>3.9105936913616031E-2</v>
      </c>
      <c r="M207" s="21">
        <v>46.76</v>
      </c>
      <c r="N207" s="21">
        <v>46.96</v>
      </c>
      <c r="O207" s="63">
        <v>58</v>
      </c>
      <c r="P207" s="28">
        <v>0</v>
      </c>
      <c r="Q207" s="28">
        <v>0.81130000000000002</v>
      </c>
      <c r="R207" s="81">
        <f t="shared" si="86"/>
        <v>-1.24449340928388E-3</v>
      </c>
      <c r="S207" s="81">
        <f t="shared" si="87"/>
        <v>-2.7139009736896667E-2</v>
      </c>
      <c r="T207" s="81">
        <f t="shared" si="88"/>
        <v>0</v>
      </c>
      <c r="U207" s="81">
        <f t="shared" si="89"/>
        <v>0</v>
      </c>
      <c r="V207" s="83">
        <f t="shared" si="90"/>
        <v>0</v>
      </c>
    </row>
    <row r="208" spans="1:22">
      <c r="A208" s="43"/>
      <c r="B208" s="43"/>
      <c r="C208" s="74" t="s">
        <v>220</v>
      </c>
      <c r="D208" s="73">
        <f>SUM(D196:D207)</f>
        <v>13204581677.229027</v>
      </c>
      <c r="E208" s="24"/>
      <c r="F208" s="24"/>
      <c r="G208" s="22"/>
      <c r="H208" s="73">
        <f>SUM(H196:H207)</f>
        <v>2072</v>
      </c>
      <c r="I208" s="23"/>
      <c r="J208" s="23"/>
      <c r="K208" s="73">
        <f>SUM(K196:K207)</f>
        <v>12730402807.627464</v>
      </c>
      <c r="L208" s="24"/>
      <c r="M208" s="24"/>
      <c r="N208" s="22"/>
      <c r="O208" s="73">
        <f>SUM(O196:O207)</f>
        <v>2077</v>
      </c>
      <c r="P208" s="23"/>
      <c r="Q208" s="23"/>
      <c r="R208" s="81">
        <f t="shared" si="86"/>
        <v>-3.5910177330287729E-2</v>
      </c>
      <c r="S208" s="81" t="e">
        <f t="shared" si="87"/>
        <v>#DIV/0!</v>
      </c>
      <c r="T208" s="81">
        <f t="shared" si="88"/>
        <v>2.4131274131274131E-3</v>
      </c>
      <c r="U208" s="81">
        <f t="shared" si="89"/>
        <v>0</v>
      </c>
      <c r="V208" s="83">
        <f t="shared" si="90"/>
        <v>0</v>
      </c>
    </row>
    <row r="209" spans="1:22">
      <c r="A209" s="88"/>
      <c r="B209" s="88"/>
      <c r="C209" s="89" t="s">
        <v>221</v>
      </c>
      <c r="D209" s="90">
        <f>SUM(D188,D193,D208)</f>
        <v>2633818255204.9766</v>
      </c>
      <c r="E209" s="91"/>
      <c r="F209" s="91"/>
      <c r="G209" s="92"/>
      <c r="H209" s="90">
        <f>SUM(H188,H193,H208)</f>
        <v>725883</v>
      </c>
      <c r="I209" s="93"/>
      <c r="J209" s="93"/>
      <c r="K209" s="90">
        <f>SUM(K188,K193,K208)</f>
        <v>2628873315235.3804</v>
      </c>
      <c r="L209" s="91"/>
      <c r="M209" s="91"/>
      <c r="N209" s="92"/>
      <c r="O209" s="90">
        <f>SUM(O188,O193,O208)</f>
        <v>728305</v>
      </c>
      <c r="P209" s="94"/>
      <c r="Q209" s="90"/>
      <c r="R209" s="95"/>
      <c r="S209" s="96"/>
      <c r="T209" s="96"/>
      <c r="U209" s="97"/>
      <c r="V209" s="97"/>
    </row>
    <row r="210" spans="1:22">
      <c r="A210" s="109" t="s">
        <v>250</v>
      </c>
      <c r="B210" s="110" t="s">
        <v>272</v>
      </c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</row>
    <row r="212" spans="1:22">
      <c r="B212" s="113"/>
      <c r="C212" s="113"/>
      <c r="D212" s="112"/>
      <c r="K212" s="112"/>
    </row>
    <row r="213" spans="1:22">
      <c r="B213" s="113"/>
      <c r="D213" s="112"/>
    </row>
  </sheetData>
  <sheetProtection algorithmName="SHA-512" hashValue="/9gbwmGhj3vHlNmvN+iErzf8zsSKkyBbI6kz102p9pRpS9ew9nEuMttvdBNPNZbmyYi8ZDUOly3Yi0zFkJAgRw==" saltValue="OCsBjaI8VZ1WHWR4xp57FA==" spinCount="100000" sheet="1" objects="1" scenarios="1"/>
  <protectedRanges>
    <protectedRange password="CADF" sqref="P144 I144" name="BidOffer Prices_2_1_1_1_1_1_1_1_1_2_1"/>
  </protectedRanges>
  <mergeCells count="31">
    <mergeCell ref="A194:V194"/>
    <mergeCell ref="A195:V195"/>
    <mergeCell ref="A171:V171"/>
    <mergeCell ref="A174:V174"/>
    <mergeCell ref="A175:V175"/>
    <mergeCell ref="A189:U189"/>
    <mergeCell ref="A190:V190"/>
    <mergeCell ref="A170:V170"/>
    <mergeCell ref="A96:V96"/>
    <mergeCell ref="A97:V97"/>
    <mergeCell ref="A111:V111"/>
    <mergeCell ref="A112:V112"/>
    <mergeCell ref="A126:V126"/>
    <mergeCell ref="A127:V127"/>
    <mergeCell ref="A134:V134"/>
    <mergeCell ref="A135:V135"/>
    <mergeCell ref="A163:V163"/>
    <mergeCell ref="A164:V164"/>
    <mergeCell ref="A169:V169"/>
    <mergeCell ref="A95:V95"/>
    <mergeCell ref="A1:V1"/>
    <mergeCell ref="U2:V2"/>
    <mergeCell ref="A4:V4"/>
    <mergeCell ref="A5:V5"/>
    <mergeCell ref="A24:V24"/>
    <mergeCell ref="A25:V25"/>
    <mergeCell ref="A58:V58"/>
    <mergeCell ref="A59:V59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1 E81 E64" formula="1"/>
    <ignoredError sqref="S133 S23 T34 S57 S94 S125 T143 S162 S168 S187 S208 T191:T1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I6" sqref="I6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33" t="s">
        <v>222</v>
      </c>
      <c r="B2" s="134" t="s">
        <v>269</v>
      </c>
      <c r="C2" s="134" t="s">
        <v>273</v>
      </c>
      <c r="D2" s="99"/>
    </row>
    <row r="3" spans="1:4" ht="16.5">
      <c r="A3" s="135" t="s">
        <v>15</v>
      </c>
      <c r="B3" s="136">
        <f t="shared" ref="B3:C10" si="0">B12</f>
        <v>27.759764748769999</v>
      </c>
      <c r="C3" s="136">
        <f t="shared" si="0"/>
        <v>26.572100101452097</v>
      </c>
      <c r="D3" s="99"/>
    </row>
    <row r="4" spans="1:4" ht="17.25" customHeight="1">
      <c r="A4" s="137" t="s">
        <v>47</v>
      </c>
      <c r="B4" s="138">
        <f t="shared" si="0"/>
        <v>934.33490687448409</v>
      </c>
      <c r="C4" s="138">
        <f t="shared" si="0"/>
        <v>933.19302110314504</v>
      </c>
      <c r="D4" s="99"/>
    </row>
    <row r="5" spans="1:4" ht="19.5" customHeight="1">
      <c r="A5" s="137" t="s">
        <v>223</v>
      </c>
      <c r="B5" s="136">
        <f t="shared" si="0"/>
        <v>268.37162913721022</v>
      </c>
      <c r="C5" s="136">
        <f t="shared" si="0"/>
        <v>263.75246569742933</v>
      </c>
      <c r="D5" s="99"/>
    </row>
    <row r="6" spans="1:4" ht="16.5">
      <c r="A6" s="137" t="s">
        <v>128</v>
      </c>
      <c r="B6" s="138">
        <f t="shared" si="0"/>
        <v>1082.3913596713128</v>
      </c>
      <c r="C6" s="138">
        <f t="shared" si="0"/>
        <v>1084.1636331645548</v>
      </c>
      <c r="D6" s="99"/>
    </row>
    <row r="7" spans="1:4" ht="16.5">
      <c r="A7" s="137" t="s">
        <v>224</v>
      </c>
      <c r="B7" s="136">
        <f t="shared" si="0"/>
        <v>99.870092317262447</v>
      </c>
      <c r="C7" s="136">
        <f t="shared" si="0"/>
        <v>99.91818789883699</v>
      </c>
      <c r="D7" s="99"/>
    </row>
    <row r="8" spans="1:4" ht="16.5">
      <c r="A8" s="137" t="s">
        <v>154</v>
      </c>
      <c r="B8" s="139">
        <f t="shared" si="0"/>
        <v>48.079052440593131</v>
      </c>
      <c r="C8" s="139">
        <f t="shared" si="0"/>
        <v>47.213858445276671</v>
      </c>
      <c r="D8" s="99"/>
    </row>
    <row r="9" spans="1:4" ht="16.5">
      <c r="A9" s="137" t="s">
        <v>178</v>
      </c>
      <c r="B9" s="136">
        <f t="shared" si="0"/>
        <v>5.0052436230900001</v>
      </c>
      <c r="C9" s="136">
        <f t="shared" si="0"/>
        <v>4.7528086968699998</v>
      </c>
      <c r="D9" s="99"/>
    </row>
    <row r="10" spans="1:4" ht="16.5">
      <c r="A10" s="137" t="s">
        <v>225</v>
      </c>
      <c r="B10" s="136">
        <f t="shared" si="0"/>
        <v>49.509658646534014</v>
      </c>
      <c r="C10" s="136">
        <f t="shared" si="0"/>
        <v>51.231840232037875</v>
      </c>
      <c r="D10" s="99"/>
    </row>
    <row r="11" spans="1:4">
      <c r="A11" s="99"/>
      <c r="B11" s="99"/>
      <c r="C11" s="99"/>
      <c r="D11" s="99"/>
    </row>
    <row r="12" spans="1:4">
      <c r="A12" s="140" t="s">
        <v>15</v>
      </c>
      <c r="B12" s="141">
        <f>'Weekly Valuation'!D23/1000000000</f>
        <v>27.759764748769999</v>
      </c>
      <c r="C12" s="142">
        <f>'Weekly Valuation'!K23/1000000000</f>
        <v>26.572100101452097</v>
      </c>
      <c r="D12" s="99"/>
    </row>
    <row r="13" spans="1:4">
      <c r="A13" s="143" t="s">
        <v>47</v>
      </c>
      <c r="B13" s="141">
        <f>'Weekly Valuation'!D57/1000000000</f>
        <v>934.33490687448409</v>
      </c>
      <c r="C13" s="144">
        <f>'Weekly Valuation'!K57/1000000000</f>
        <v>933.19302110314504</v>
      </c>
      <c r="D13" s="99"/>
    </row>
    <row r="14" spans="1:4">
      <c r="A14" s="143" t="s">
        <v>223</v>
      </c>
      <c r="B14" s="141">
        <f>'Weekly Valuation'!D94/1000000000</f>
        <v>268.37162913721022</v>
      </c>
      <c r="C14" s="142">
        <f>'Weekly Valuation'!K94/1000000000</f>
        <v>263.75246569742933</v>
      </c>
      <c r="D14" s="99"/>
    </row>
    <row r="15" spans="1:4">
      <c r="A15" s="143" t="s">
        <v>128</v>
      </c>
      <c r="B15" s="141">
        <f>'Weekly Valuation'!D125/1000000000</f>
        <v>1082.3913596713128</v>
      </c>
      <c r="C15" s="144">
        <f>'Weekly Valuation'!K125/1000000000</f>
        <v>1084.1636331645548</v>
      </c>
      <c r="D15" s="99"/>
    </row>
    <row r="16" spans="1:4">
      <c r="A16" s="143" t="s">
        <v>224</v>
      </c>
      <c r="B16" s="141">
        <f>'Weekly Valuation'!D133/1000000000</f>
        <v>99.870092317262447</v>
      </c>
      <c r="C16" s="142">
        <f>'Weekly Valuation'!K133/1000000000</f>
        <v>99.91818789883699</v>
      </c>
      <c r="D16" s="99"/>
    </row>
    <row r="17" spans="1:4">
      <c r="A17" s="143" t="s">
        <v>154</v>
      </c>
      <c r="B17" s="141">
        <f>'Weekly Valuation'!D162/1000000000</f>
        <v>48.079052440593131</v>
      </c>
      <c r="C17" s="145">
        <f>'Weekly Valuation'!K162/1000000000</f>
        <v>47.213858445276671</v>
      </c>
      <c r="D17" s="99"/>
    </row>
    <row r="18" spans="1:4">
      <c r="A18" s="143" t="s">
        <v>178</v>
      </c>
      <c r="B18" s="141">
        <f>'Weekly Valuation'!D168/1000000000</f>
        <v>5.0052436230900001</v>
      </c>
      <c r="C18" s="142">
        <f>'Weekly Valuation'!K168/1000000000</f>
        <v>4.7528086968699998</v>
      </c>
      <c r="D18" s="99"/>
    </row>
    <row r="19" spans="1:4">
      <c r="A19" s="143" t="s">
        <v>225</v>
      </c>
      <c r="B19" s="141">
        <f>'Weekly Valuation'!D187/1000000000</f>
        <v>49.509658646534014</v>
      </c>
      <c r="C19" s="142">
        <f>'Weekly Valuation'!K187/1000000000</f>
        <v>51.231840232037875</v>
      </c>
      <c r="D19" s="99"/>
    </row>
    <row r="20" spans="1:4" ht="16.5">
      <c r="A20" s="146"/>
      <c r="B20" s="99"/>
      <c r="C20" s="147"/>
      <c r="D20" s="99"/>
    </row>
    <row r="21" spans="1:4" ht="16.5">
      <c r="A21" s="146"/>
      <c r="B21" s="99"/>
      <c r="C21" s="148"/>
      <c r="D21" s="99"/>
    </row>
    <row r="22" spans="1:4" ht="16.5">
      <c r="A22" s="115"/>
      <c r="B22" s="106"/>
      <c r="C22" s="127"/>
      <c r="D22" s="99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AAaBuke0zbeIrVrZMVhd4L8IIGXJtE6OICstnpQdGjh0fbX5utr2Xx1OmWjyKbYQegoNxr8UpDOrY7ifTfoXaw==" saltValue="7049mrNsdtf9c1IzsbxUs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E3" sqref="E3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33" t="s">
        <v>222</v>
      </c>
      <c r="B1" s="149">
        <v>45401</v>
      </c>
      <c r="C1" s="99"/>
    </row>
    <row r="2" spans="1:3" ht="16.5">
      <c r="A2" s="137" t="s">
        <v>178</v>
      </c>
      <c r="B2" s="136">
        <f>'Weekly Valuation'!K168</f>
        <v>4752808696.8699999</v>
      </c>
      <c r="C2" s="99"/>
    </row>
    <row r="3" spans="1:3" ht="16.5">
      <c r="A3" s="137" t="s">
        <v>15</v>
      </c>
      <c r="B3" s="136">
        <f>'Weekly Valuation'!K23</f>
        <v>26572100101.452099</v>
      </c>
      <c r="C3" s="99"/>
    </row>
    <row r="4" spans="1:3" ht="16.5">
      <c r="A4" s="137" t="s">
        <v>154</v>
      </c>
      <c r="B4" s="139">
        <f>'Weekly Valuation'!K162</f>
        <v>47213858445.276672</v>
      </c>
      <c r="C4" s="99"/>
    </row>
    <row r="5" spans="1:3" ht="16.5">
      <c r="A5" s="137" t="s">
        <v>225</v>
      </c>
      <c r="B5" s="136">
        <f>'Weekly Valuation'!K187</f>
        <v>51231840232.037872</v>
      </c>
      <c r="C5" s="99"/>
    </row>
    <row r="6" spans="1:3" ht="16.5">
      <c r="A6" s="137" t="s">
        <v>224</v>
      </c>
      <c r="B6" s="136">
        <f>'Weekly Valuation'!K133</f>
        <v>99918187898.83699</v>
      </c>
      <c r="C6" s="99"/>
    </row>
    <row r="7" spans="1:3" ht="16.5">
      <c r="A7" s="137" t="s">
        <v>223</v>
      </c>
      <c r="B7" s="136">
        <f>'Weekly Valuation'!K94</f>
        <v>263752465697.42932</v>
      </c>
      <c r="C7" s="99"/>
    </row>
    <row r="8" spans="1:3" ht="16.5">
      <c r="A8" s="137" t="s">
        <v>47</v>
      </c>
      <c r="B8" s="138">
        <f>'Weekly Valuation'!K57</f>
        <v>933193021103.14502</v>
      </c>
      <c r="C8" s="99"/>
    </row>
    <row r="9" spans="1:3" ht="16.5">
      <c r="A9" s="137" t="s">
        <v>128</v>
      </c>
      <c r="B9" s="138">
        <f>'Weekly Valuation'!K125</f>
        <v>1084163633164.5548</v>
      </c>
      <c r="C9" s="99"/>
    </row>
    <row r="10" spans="1:3">
      <c r="A10" s="99"/>
      <c r="B10" s="99"/>
      <c r="C10" s="99"/>
    </row>
    <row r="11" spans="1:3" ht="16.5">
      <c r="A11" s="150"/>
      <c r="B11" s="99"/>
      <c r="C11" s="99"/>
    </row>
    <row r="12" spans="1:3" ht="16.5">
      <c r="A12" s="148"/>
      <c r="B12" s="99"/>
      <c r="C12" s="99"/>
    </row>
    <row r="13" spans="1:3" ht="16.5">
      <c r="A13" s="148"/>
      <c r="B13" s="148"/>
      <c r="C13" s="99"/>
    </row>
    <row r="14" spans="1:3" ht="16.5">
      <c r="A14" s="106"/>
      <c r="B14" s="106"/>
      <c r="C14" s="101"/>
    </row>
    <row r="15" spans="1:3" ht="16.5" customHeight="1">
      <c r="A15" s="127"/>
      <c r="B15" s="127"/>
      <c r="C15" s="101"/>
    </row>
    <row r="16" spans="1:3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71" t="s">
        <v>274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07"/>
    </row>
    <row r="33" spans="1:17" ht="15" customHeight="1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07"/>
    </row>
  </sheetData>
  <sheetProtection algorithmName="SHA-512" hashValue="yOPPZFBxdma3uM9htfuKEH7ECrpnP2Ogf3X4E37bpYH1WIaZZWgIAYHqQZeKnoz1ZzVIeqjtIxsBAROMqeti5g==" saltValue="oR48rCxpEgeS9elXLP3/aA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G6" sqref="G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51" t="s">
        <v>233</v>
      </c>
      <c r="B2" s="152">
        <v>45352</v>
      </c>
      <c r="C2" s="152">
        <v>45359</v>
      </c>
      <c r="D2" s="152">
        <v>45366</v>
      </c>
      <c r="E2" s="152">
        <v>45373</v>
      </c>
      <c r="F2" s="152">
        <v>45379</v>
      </c>
      <c r="G2" s="152">
        <v>45387</v>
      </c>
      <c r="H2" s="152">
        <v>45394</v>
      </c>
      <c r="I2" s="152">
        <v>45401</v>
      </c>
      <c r="J2" s="99"/>
      <c r="K2" s="101"/>
      <c r="L2" s="101"/>
      <c r="M2" s="101"/>
    </row>
    <row r="3" spans="1:13">
      <c r="A3" s="151" t="s">
        <v>234</v>
      </c>
      <c r="B3" s="153">
        <f t="shared" ref="B3:I3" si="0">B4</f>
        <v>2842.1269159614767</v>
      </c>
      <c r="C3" s="153">
        <f t="shared" si="0"/>
        <v>2889.6753426082664</v>
      </c>
      <c r="D3" s="153">
        <f t="shared" si="0"/>
        <v>2600.1201124317486</v>
      </c>
      <c r="E3" s="153">
        <f t="shared" si="0"/>
        <v>2726.590314934399</v>
      </c>
      <c r="F3" s="153">
        <f t="shared" si="0"/>
        <v>2644.8482103597744</v>
      </c>
      <c r="G3" s="153">
        <f t="shared" si="0"/>
        <v>2589.6638814860466</v>
      </c>
      <c r="H3" s="153">
        <f t="shared" si="0"/>
        <v>2515.3217074592571</v>
      </c>
      <c r="I3" s="153">
        <f t="shared" si="0"/>
        <v>2510.7979153396032</v>
      </c>
      <c r="J3" s="99"/>
      <c r="K3" s="101"/>
      <c r="L3" s="101"/>
      <c r="M3" s="101"/>
    </row>
    <row r="4" spans="1:13">
      <c r="A4" s="99"/>
      <c r="B4" s="154">
        <f>'NAV Trend'!C10/1000000000</f>
        <v>2842.1269159614767</v>
      </c>
      <c r="C4" s="154">
        <f>'NAV Trend'!D10/1000000000</f>
        <v>2889.6753426082664</v>
      </c>
      <c r="D4" s="154">
        <f>'NAV Trend'!E10/1000000000</f>
        <v>2600.1201124317486</v>
      </c>
      <c r="E4" s="154">
        <f>'NAV Trend'!F10/1000000000</f>
        <v>2726.590314934399</v>
      </c>
      <c r="F4" s="154">
        <f>'NAV Trend'!G10/1000000000</f>
        <v>2644.8482103597744</v>
      </c>
      <c r="G4" s="154">
        <f>'NAV Trend'!H10/1000000000</f>
        <v>2589.6638814860466</v>
      </c>
      <c r="H4" s="155">
        <f>'NAV Trend'!I10/1000000000</f>
        <v>2515.3217074592571</v>
      </c>
      <c r="I4" s="155">
        <f>'NAV Trend'!J10/1000000000</f>
        <v>2510.7979153396032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2uP7SgRWWmHg1RJR9+RqC7K1WTg5Y6YrwgXzPE64b199hlICrzROhK6B9Keb4qvOstD7Ie+my1XJDB4dscPhVA==" saltValue="89IRvQp3cVQRE5AhLUE7K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F2" sqref="F2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51" t="s">
        <v>233</v>
      </c>
      <c r="B2" s="152">
        <v>45352</v>
      </c>
      <c r="C2" s="152">
        <v>45359</v>
      </c>
      <c r="D2" s="152">
        <v>45366</v>
      </c>
      <c r="E2" s="152">
        <v>45373</v>
      </c>
      <c r="F2" s="152">
        <v>45379</v>
      </c>
      <c r="G2" s="152">
        <v>45387</v>
      </c>
      <c r="H2" s="152">
        <v>45394</v>
      </c>
      <c r="I2" s="152">
        <v>45401</v>
      </c>
      <c r="J2" s="99"/>
      <c r="K2" s="101"/>
      <c r="L2" s="101"/>
    </row>
    <row r="3" spans="1:12">
      <c r="A3" s="151" t="s">
        <v>265</v>
      </c>
      <c r="B3" s="153">
        <f t="shared" ref="B3:I3" si="0">B4</f>
        <v>13.410122858662769</v>
      </c>
      <c r="C3" s="153">
        <f t="shared" si="0"/>
        <v>13.60527981782986</v>
      </c>
      <c r="D3" s="153">
        <f t="shared" si="0"/>
        <v>13.749994436969999</v>
      </c>
      <c r="E3" s="153">
        <f t="shared" si="0"/>
        <v>13.611683369310001</v>
      </c>
      <c r="F3" s="153">
        <f t="shared" si="0"/>
        <v>13.637941626835818</v>
      </c>
      <c r="G3" s="153">
        <f t="shared" si="0"/>
        <v>13.392488443196084</v>
      </c>
      <c r="H3" s="153">
        <f t="shared" si="0"/>
        <v>13.204581677229028</v>
      </c>
      <c r="I3" s="153">
        <f t="shared" si="0"/>
        <v>12.730402807627465</v>
      </c>
      <c r="J3" s="99"/>
      <c r="K3" s="101"/>
      <c r="L3" s="101"/>
    </row>
    <row r="4" spans="1:12">
      <c r="A4" s="99"/>
      <c r="B4" s="154">
        <f>'NAV Trend'!C16/1000000000</f>
        <v>13.410122858662769</v>
      </c>
      <c r="C4" s="154">
        <f>'NAV Trend'!D16/1000000000</f>
        <v>13.60527981782986</v>
      </c>
      <c r="D4" s="154">
        <f>'NAV Trend'!E16/1000000000</f>
        <v>13.749994436969999</v>
      </c>
      <c r="E4" s="154">
        <f>'NAV Trend'!F16/1000000000</f>
        <v>13.611683369310001</v>
      </c>
      <c r="F4" s="154">
        <f>'NAV Trend'!G16/1000000000</f>
        <v>13.637941626835818</v>
      </c>
      <c r="G4" s="154">
        <f>'NAV Trend'!H16/1000000000</f>
        <v>13.392488443196084</v>
      </c>
      <c r="H4" s="154">
        <f>'NAV Trend'!I16/1000000000</f>
        <v>13.204581677229028</v>
      </c>
      <c r="I4" s="155">
        <f>'NAV Trend'!J16/1000000000</f>
        <v>12.730402807627465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</sheetData>
  <sheetProtection algorithmName="SHA-512" hashValue="rli/o32lCnBYp9Tc1Wz4Z61YKAF8a6nX7ZtA6/Ny3l5URzl0SBxtsNO0v/rXWsaoM3II1V0NcSq+RhsA8rbRqg==" saltValue="qQa1YHcloPH2qYCHy38cK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45345</v>
      </c>
      <c r="C1" s="45">
        <v>45352</v>
      </c>
      <c r="D1" s="45">
        <v>45359</v>
      </c>
      <c r="E1" s="45">
        <v>45366</v>
      </c>
      <c r="F1" s="45">
        <v>45373</v>
      </c>
      <c r="G1" s="45">
        <v>45379</v>
      </c>
      <c r="H1" s="45">
        <v>45387</v>
      </c>
      <c r="I1" s="45">
        <v>45394</v>
      </c>
      <c r="J1" s="45">
        <v>45401</v>
      </c>
    </row>
    <row r="2" spans="1:11" ht="16.5">
      <c r="A2" s="46" t="s">
        <v>15</v>
      </c>
      <c r="B2" s="47">
        <v>28192321561.754601</v>
      </c>
      <c r="C2" s="47">
        <v>27345380292.449997</v>
      </c>
      <c r="D2" s="47">
        <v>27049856478.8204</v>
      </c>
      <c r="E2" s="47">
        <v>28276421739.200005</v>
      </c>
      <c r="F2" s="47">
        <v>28214914152.029099</v>
      </c>
      <c r="G2" s="47">
        <v>28499552255.214199</v>
      </c>
      <c r="H2" s="47">
        <v>27852455758.705902</v>
      </c>
      <c r="I2" s="47">
        <v>27759764748.77</v>
      </c>
      <c r="J2" s="47">
        <v>26572100101.452099</v>
      </c>
    </row>
    <row r="3" spans="1:11" ht="16.5">
      <c r="A3" s="46" t="s">
        <v>47</v>
      </c>
      <c r="B3" s="48">
        <v>949382861578.85535</v>
      </c>
      <c r="C3" s="48">
        <v>959419740927.82495</v>
      </c>
      <c r="D3" s="48">
        <v>920625552385.95117</v>
      </c>
      <c r="E3" s="48">
        <v>923190562024.35754</v>
      </c>
      <c r="F3" s="48">
        <v>920023842595.84558</v>
      </c>
      <c r="G3" s="48">
        <v>919496006574.40955</v>
      </c>
      <c r="H3" s="48">
        <v>932135468254.62366</v>
      </c>
      <c r="I3" s="132">
        <v>934334906874.48413</v>
      </c>
      <c r="J3" s="132">
        <v>933193021103.14502</v>
      </c>
    </row>
    <row r="4" spans="1:11" ht="16.5">
      <c r="A4" s="46" t="s">
        <v>223</v>
      </c>
      <c r="B4" s="47">
        <v>281780566180.14624</v>
      </c>
      <c r="C4" s="47">
        <v>282274672291.84991</v>
      </c>
      <c r="D4" s="47">
        <v>279125520198.89612</v>
      </c>
      <c r="E4" s="47">
        <v>278795170732.32147</v>
      </c>
      <c r="F4" s="47">
        <v>270220925639.65829</v>
      </c>
      <c r="G4" s="47">
        <v>271658696513.58481</v>
      </c>
      <c r="H4" s="47">
        <v>269472046413.53357</v>
      </c>
      <c r="I4" s="131">
        <v>268371629137.21021</v>
      </c>
      <c r="J4" s="131">
        <v>263752465697.42932</v>
      </c>
    </row>
    <row r="5" spans="1:11" ht="16.5">
      <c r="A5" s="46" t="s">
        <v>128</v>
      </c>
      <c r="B5" s="48">
        <v>1354299215906.8804</v>
      </c>
      <c r="C5" s="48">
        <v>1370513862524.3679</v>
      </c>
      <c r="D5" s="48">
        <v>1459704501021.9133</v>
      </c>
      <c r="E5" s="48">
        <v>1165595130957.3054</v>
      </c>
      <c r="F5" s="48">
        <v>1304383952109.4192</v>
      </c>
      <c r="G5" s="48">
        <v>1220986424851.5159</v>
      </c>
      <c r="H5" s="48">
        <v>1156417308460.8564</v>
      </c>
      <c r="I5" s="132">
        <v>1082391359671.3127</v>
      </c>
      <c r="J5" s="132">
        <v>1084163633164.5548</v>
      </c>
    </row>
    <row r="6" spans="1:11" ht="16.5">
      <c r="A6" s="46" t="s">
        <v>224</v>
      </c>
      <c r="B6" s="47">
        <v>99722351454.056747</v>
      </c>
      <c r="C6" s="47">
        <v>99747815398.121429</v>
      </c>
      <c r="D6" s="47">
        <v>99778864135.110001</v>
      </c>
      <c r="E6" s="47">
        <v>99792663694.00943</v>
      </c>
      <c r="F6" s="47">
        <v>99828191215.146545</v>
      </c>
      <c r="G6" s="47">
        <v>99892436477.227188</v>
      </c>
      <c r="H6" s="47">
        <v>99837132151.759857</v>
      </c>
      <c r="I6" s="47">
        <v>99870092317.262451</v>
      </c>
      <c r="J6" s="47">
        <v>99918187898.83699</v>
      </c>
    </row>
    <row r="7" spans="1:11" ht="16.5">
      <c r="A7" s="46" t="s">
        <v>154</v>
      </c>
      <c r="B7" s="49">
        <v>49943289569.649658</v>
      </c>
      <c r="C7" s="49">
        <v>48445217858.992096</v>
      </c>
      <c r="D7" s="49">
        <v>48553395375.67646</v>
      </c>
      <c r="E7" s="49">
        <v>50020197377.86998</v>
      </c>
      <c r="F7" s="49">
        <v>49695302922.37442</v>
      </c>
      <c r="G7" s="49">
        <v>49905453494.100525</v>
      </c>
      <c r="H7" s="49">
        <v>49320093297.825478</v>
      </c>
      <c r="I7" s="49">
        <v>48079052440.593132</v>
      </c>
      <c r="J7" s="49">
        <v>47213858445.276672</v>
      </c>
    </row>
    <row r="8" spans="1:11" ht="16.5">
      <c r="A8" s="46" t="s">
        <v>178</v>
      </c>
      <c r="B8" s="47">
        <v>5257385484.9699993</v>
      </c>
      <c r="C8" s="47">
        <v>5112400375.6199999</v>
      </c>
      <c r="D8" s="47">
        <v>5090348734.1000004</v>
      </c>
      <c r="E8" s="47">
        <v>5200581697.7199993</v>
      </c>
      <c r="F8" s="47">
        <v>5194175729.4800005</v>
      </c>
      <c r="G8" s="47">
        <v>5216241473.6000004</v>
      </c>
      <c r="H8" s="47">
        <v>5149295610.3599997</v>
      </c>
      <c r="I8" s="47">
        <v>5005243623.0900002</v>
      </c>
      <c r="J8" s="47">
        <v>4752808696.8699999</v>
      </c>
    </row>
    <row r="9" spans="1:11" ht="16.5">
      <c r="A9" s="46" t="s">
        <v>225</v>
      </c>
      <c r="B9" s="47">
        <v>49520617624.730827</v>
      </c>
      <c r="C9" s="47">
        <v>49267826292.249893</v>
      </c>
      <c r="D9" s="47">
        <v>49747304277.79908</v>
      </c>
      <c r="E9" s="47">
        <v>49249384208.9645</v>
      </c>
      <c r="F9" s="47">
        <v>49029010570.445801</v>
      </c>
      <c r="G9" s="47">
        <v>49193398720.121994</v>
      </c>
      <c r="H9" s="47">
        <v>49480081538.382065</v>
      </c>
      <c r="I9" s="47">
        <v>49509658646.534012</v>
      </c>
      <c r="J9" s="47">
        <v>51231840232.037872</v>
      </c>
    </row>
    <row r="10" spans="1:11" ht="15.75">
      <c r="A10" s="50" t="s">
        <v>226</v>
      </c>
      <c r="B10" s="51">
        <f t="shared" ref="B10:I10" si="0">SUM(B2:B9)</f>
        <v>2818098609361.0439</v>
      </c>
      <c r="C10" s="51">
        <f t="shared" si="0"/>
        <v>2842126915961.4766</v>
      </c>
      <c r="D10" s="51">
        <f t="shared" si="0"/>
        <v>2889675342608.2666</v>
      </c>
      <c r="E10" s="51">
        <f t="shared" si="0"/>
        <v>2600120112431.7485</v>
      </c>
      <c r="F10" s="51">
        <f t="shared" si="0"/>
        <v>2726590314934.3989</v>
      </c>
      <c r="G10" s="51">
        <f t="shared" si="0"/>
        <v>2644848210359.7744</v>
      </c>
      <c r="H10" s="51">
        <f t="shared" si="0"/>
        <v>2589663881486.0469</v>
      </c>
      <c r="I10" s="51">
        <f t="shared" si="0"/>
        <v>2515321707459.2573</v>
      </c>
      <c r="J10" s="51">
        <f t="shared" ref="B10:J10" si="1">SUM(J2:J9)</f>
        <v>2510797915339.603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2830112762661.2603</v>
      </c>
      <c r="D12" s="57">
        <f t="shared" ref="D12:J12" si="2">(C10+D10)/2</f>
        <v>2865901129284.8716</v>
      </c>
      <c r="E12" s="57">
        <f t="shared" si="2"/>
        <v>2744897727520.0078</v>
      </c>
      <c r="F12" s="57">
        <f t="shared" si="2"/>
        <v>2663355213683.0737</v>
      </c>
      <c r="G12" s="57">
        <f>(F10+G10)/2</f>
        <v>2685719262647.0869</v>
      </c>
      <c r="H12" s="57">
        <f t="shared" si="2"/>
        <v>2617256045922.9106</v>
      </c>
      <c r="I12" s="57">
        <f t="shared" si="2"/>
        <v>2552492794472.6523</v>
      </c>
      <c r="J12" s="57">
        <f t="shared" si="2"/>
        <v>2513059811399.4302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45345</v>
      </c>
      <c r="C15" s="45">
        <v>45352</v>
      </c>
      <c r="D15" s="45">
        <v>45359</v>
      </c>
      <c r="E15" s="45">
        <v>45366</v>
      </c>
      <c r="F15" s="45">
        <v>45373</v>
      </c>
      <c r="G15" s="45">
        <v>45379</v>
      </c>
      <c r="H15" s="45">
        <v>45387</v>
      </c>
      <c r="I15" s="45">
        <v>45394</v>
      </c>
      <c r="J15" s="45">
        <v>45401</v>
      </c>
      <c r="K15" s="101"/>
    </row>
    <row r="16" spans="1:11" ht="16.5">
      <c r="A16" s="126" t="s">
        <v>264</v>
      </c>
      <c r="B16" s="129">
        <v>13721097407.254545</v>
      </c>
      <c r="C16" s="129">
        <v>13410122858.662769</v>
      </c>
      <c r="D16" s="129">
        <v>13605279817.829861</v>
      </c>
      <c r="E16" s="129">
        <v>13749994436.969999</v>
      </c>
      <c r="F16" s="129">
        <v>13611683369.310001</v>
      </c>
      <c r="G16" s="129">
        <v>13637941626.835819</v>
      </c>
      <c r="H16" s="129">
        <v>13392488443.196085</v>
      </c>
      <c r="I16" s="129">
        <v>13204581677.229027</v>
      </c>
      <c r="J16" s="129">
        <v>12730402807.627464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8"/>
      <c r="D18" s="128"/>
      <c r="E18" s="128"/>
      <c r="F18" s="128"/>
      <c r="G18" s="128"/>
      <c r="H18" s="128"/>
      <c r="I18" s="128"/>
      <c r="J18" s="128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ReZbfSkdhF4lQfeDbG+mFsOQQa+tCQjl5u/tYbbtpnGTXv1lZR2/L37n4yZqqgcBl9Xi1hF9wUn+RsUo0WfpPA==" saltValue="P9bI3zx3ccdN8GH7+LS2h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2024-04-26T11:44:39Z</dcterms:modified>
</cp:coreProperties>
</file>