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93547090-1844-4696-9D16-673A566203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0" i="1" l="1"/>
  <c r="M100" i="1"/>
  <c r="K100" i="1"/>
  <c r="N116" i="1"/>
  <c r="M116" i="1"/>
  <c r="K116" i="1"/>
  <c r="R148" i="1" l="1"/>
  <c r="N117" i="1"/>
  <c r="M117" i="1"/>
  <c r="N115" i="1"/>
  <c r="M115" i="1"/>
  <c r="N106" i="1"/>
  <c r="M106" i="1"/>
  <c r="K106" i="1"/>
  <c r="N99" i="1"/>
  <c r="M99" i="1"/>
  <c r="K99" i="1"/>
  <c r="N121" i="1" l="1"/>
  <c r="M121" i="1"/>
  <c r="N122" i="1"/>
  <c r="M122" i="1"/>
  <c r="K122" i="1"/>
  <c r="N118" i="1"/>
  <c r="M118" i="1"/>
  <c r="N112" i="1"/>
  <c r="M112" i="1"/>
  <c r="K112" i="1"/>
  <c r="N107" i="1"/>
  <c r="M107" i="1"/>
  <c r="K107" i="1"/>
  <c r="N105" i="1"/>
  <c r="M105" i="1"/>
  <c r="K105" i="1"/>
  <c r="N104" i="1"/>
  <c r="M104" i="1"/>
  <c r="K104" i="1"/>
  <c r="N98" i="1"/>
  <c r="M98" i="1"/>
  <c r="K98" i="1"/>
  <c r="N97" i="1"/>
  <c r="M97" i="1"/>
  <c r="S54" i="1" l="1"/>
  <c r="G122" i="1" l="1"/>
  <c r="F122" i="1"/>
  <c r="G121" i="1"/>
  <c r="F121" i="1"/>
  <c r="G120" i="1"/>
  <c r="F120" i="1"/>
  <c r="G118" i="1"/>
  <c r="F118" i="1"/>
  <c r="G117" i="1"/>
  <c r="F117" i="1"/>
  <c r="G116" i="1"/>
  <c r="F116" i="1"/>
  <c r="G115" i="1"/>
  <c r="F115" i="1"/>
  <c r="G112" i="1"/>
  <c r="F112" i="1"/>
  <c r="G111" i="1"/>
  <c r="F111" i="1"/>
  <c r="D122" i="1"/>
  <c r="D116" i="1"/>
  <c r="D112" i="1"/>
  <c r="G108" i="1"/>
  <c r="F108" i="1"/>
  <c r="G107" i="1"/>
  <c r="F107" i="1"/>
  <c r="G106" i="1"/>
  <c r="F106" i="1"/>
  <c r="G105" i="1"/>
  <c r="F105" i="1"/>
  <c r="G104" i="1"/>
  <c r="F104" i="1"/>
  <c r="G100" i="1"/>
  <c r="F100" i="1"/>
  <c r="G99" i="1"/>
  <c r="F99" i="1"/>
  <c r="G98" i="1"/>
  <c r="F98" i="1"/>
  <c r="G97" i="1"/>
  <c r="F97" i="1"/>
  <c r="D107" i="1"/>
  <c r="D106" i="1"/>
  <c r="D105" i="1"/>
  <c r="D104" i="1"/>
  <c r="D100" i="1"/>
  <c r="D99" i="1"/>
  <c r="D98" i="1"/>
  <c r="D131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0" i="1" l="1"/>
  <c r="S100" i="1"/>
  <c r="T100" i="1"/>
  <c r="U100" i="1"/>
  <c r="V100" i="1"/>
  <c r="R101" i="1"/>
  <c r="S101" i="1"/>
  <c r="T101" i="1"/>
  <c r="U101" i="1"/>
  <c r="V101" i="1"/>
  <c r="R196" i="1" l="1"/>
  <c r="R197" i="1"/>
  <c r="V121" i="1" l="1"/>
  <c r="U121" i="1"/>
  <c r="T121" i="1"/>
  <c r="R121" i="1"/>
  <c r="R91" i="1"/>
  <c r="S91" i="1"/>
  <c r="T91" i="1"/>
  <c r="U91" i="1"/>
  <c r="V91" i="1"/>
  <c r="R54" i="1"/>
  <c r="V54" i="1"/>
  <c r="U54" i="1"/>
  <c r="T54" i="1"/>
  <c r="R176" i="1"/>
  <c r="S121" i="1" l="1"/>
  <c r="R137" i="1" l="1"/>
  <c r="R116" i="1" l="1"/>
  <c r="S116" i="1"/>
  <c r="T116" i="1"/>
  <c r="U116" i="1"/>
  <c r="V116" i="1"/>
  <c r="R77" i="1"/>
  <c r="S77" i="1"/>
  <c r="T77" i="1"/>
  <c r="U77" i="1"/>
  <c r="V77" i="1"/>
  <c r="V190" i="1" l="1"/>
  <c r="T153" i="1"/>
  <c r="S153" i="1"/>
  <c r="R119" i="1" l="1"/>
  <c r="V149" i="1" l="1"/>
  <c r="T141" i="1" l="1"/>
  <c r="R135" i="1"/>
  <c r="S135" i="1"/>
  <c r="T135" i="1"/>
  <c r="U135" i="1"/>
  <c r="V135" i="1"/>
  <c r="R155" i="1"/>
  <c r="S155" i="1"/>
  <c r="T155" i="1"/>
  <c r="U155" i="1"/>
  <c r="V155" i="1"/>
  <c r="R115" i="1" l="1"/>
  <c r="S115" i="1"/>
  <c r="S177" i="1" l="1"/>
  <c r="V115" i="1"/>
  <c r="U115" i="1"/>
  <c r="T115" i="1"/>
  <c r="R66" i="1" l="1"/>
  <c r="V74" i="1" l="1"/>
  <c r="U74" i="1"/>
  <c r="T74" i="1"/>
  <c r="S74" i="1"/>
  <c r="R74" i="1"/>
  <c r="V80" i="1" l="1"/>
  <c r="U80" i="1"/>
  <c r="T80" i="1"/>
  <c r="S80" i="1"/>
  <c r="R80" i="1"/>
  <c r="I10" i="4" l="1"/>
  <c r="H10" i="4"/>
  <c r="G10" i="4"/>
  <c r="F10" i="4"/>
  <c r="E10" i="4"/>
  <c r="D10" i="4"/>
  <c r="C10" i="4"/>
  <c r="B10" i="4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78" i="1"/>
  <c r="U178" i="1"/>
  <c r="T178" i="1"/>
  <c r="S178" i="1"/>
  <c r="R178" i="1"/>
  <c r="T32" i="1" l="1"/>
  <c r="S21" i="1" l="1"/>
  <c r="T21" i="1"/>
  <c r="V99" i="1" l="1"/>
  <c r="R99" i="1"/>
  <c r="S99" i="1"/>
  <c r="T99" i="1"/>
  <c r="U99" i="1"/>
  <c r="R12" i="1" l="1"/>
  <c r="R48" i="1" l="1"/>
  <c r="V48" i="1"/>
  <c r="U48" i="1"/>
  <c r="T48" i="1"/>
  <c r="S48" i="1"/>
  <c r="V127" i="1" l="1"/>
  <c r="U127" i="1"/>
  <c r="T127" i="1"/>
  <c r="S127" i="1"/>
  <c r="R127" i="1"/>
  <c r="R71" i="1" l="1"/>
  <c r="V183" i="1" l="1"/>
  <c r="U183" i="1"/>
  <c r="T183" i="1"/>
  <c r="S183" i="1"/>
  <c r="R183" i="1"/>
  <c r="S171" i="1" l="1"/>
  <c r="D166" i="1" l="1"/>
  <c r="B18" i="2" s="1"/>
  <c r="B9" i="2" s="1"/>
  <c r="D123" i="1"/>
  <c r="E121" i="1" l="1"/>
  <c r="B15" i="2"/>
  <c r="B6" i="2" s="1"/>
  <c r="E112" i="1"/>
  <c r="E116" i="1"/>
  <c r="E100" i="1"/>
  <c r="E115" i="1"/>
  <c r="R90" i="1"/>
  <c r="S90" i="1"/>
  <c r="T90" i="1"/>
  <c r="U90" i="1"/>
  <c r="V90" i="1"/>
  <c r="D206" i="1"/>
  <c r="D185" i="1"/>
  <c r="B19" i="2" s="1"/>
  <c r="B10" i="2" s="1"/>
  <c r="D56" i="1"/>
  <c r="B13" i="2" s="1"/>
  <c r="B4" i="2" s="1"/>
  <c r="E127" i="1" l="1"/>
  <c r="B16" i="2"/>
  <c r="B7" i="2" s="1"/>
  <c r="E175" i="1"/>
  <c r="E176" i="1"/>
  <c r="E177" i="1"/>
  <c r="E178" i="1"/>
  <c r="E179" i="1"/>
  <c r="E180" i="1"/>
  <c r="E181" i="1"/>
  <c r="E182" i="1"/>
  <c r="E183" i="1"/>
  <c r="E184" i="1"/>
  <c r="R164" i="1"/>
  <c r="R82" i="1" l="1"/>
  <c r="S82" i="1"/>
  <c r="T82" i="1"/>
  <c r="V82" i="1"/>
  <c r="U82" i="1"/>
  <c r="D22" i="1" l="1"/>
  <c r="B12" i="2" s="1"/>
  <c r="B3" i="2" s="1"/>
  <c r="R113" i="1" l="1"/>
  <c r="R19" i="1" l="1"/>
  <c r="R195" i="1" l="1"/>
  <c r="S195" i="1"/>
  <c r="T195" i="1"/>
  <c r="U195" i="1"/>
  <c r="V195" i="1"/>
  <c r="S196" i="1"/>
  <c r="T196" i="1"/>
  <c r="U196" i="1"/>
  <c r="V196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S206" i="1"/>
  <c r="U206" i="1"/>
  <c r="V206" i="1"/>
  <c r="V194" i="1"/>
  <c r="U194" i="1"/>
  <c r="T194" i="1"/>
  <c r="S194" i="1"/>
  <c r="R194" i="1"/>
  <c r="U190" i="1"/>
  <c r="T190" i="1"/>
  <c r="S190" i="1"/>
  <c r="R190" i="1"/>
  <c r="V189" i="1"/>
  <c r="U189" i="1"/>
  <c r="T189" i="1"/>
  <c r="S189" i="1"/>
  <c r="R189" i="1"/>
  <c r="R175" i="1"/>
  <c r="S175" i="1"/>
  <c r="T175" i="1"/>
  <c r="U175" i="1"/>
  <c r="V175" i="1"/>
  <c r="S176" i="1"/>
  <c r="T176" i="1"/>
  <c r="U176" i="1"/>
  <c r="V176" i="1"/>
  <c r="R177" i="1"/>
  <c r="T177" i="1"/>
  <c r="U177" i="1"/>
  <c r="V177" i="1"/>
  <c r="R179" i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4" i="1"/>
  <c r="S184" i="1"/>
  <c r="T184" i="1"/>
  <c r="U184" i="1"/>
  <c r="V184" i="1"/>
  <c r="S185" i="1"/>
  <c r="U185" i="1"/>
  <c r="V185" i="1"/>
  <c r="V174" i="1"/>
  <c r="U174" i="1"/>
  <c r="T174" i="1"/>
  <c r="S174" i="1"/>
  <c r="R174" i="1"/>
  <c r="V171" i="1"/>
  <c r="U171" i="1"/>
  <c r="T171" i="1"/>
  <c r="R171" i="1"/>
  <c r="V170" i="1"/>
  <c r="U170" i="1"/>
  <c r="T170" i="1"/>
  <c r="S170" i="1"/>
  <c r="R170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63" i="1"/>
  <c r="U163" i="1"/>
  <c r="T163" i="1"/>
  <c r="S163" i="1"/>
  <c r="R163" i="1"/>
  <c r="R136" i="1"/>
  <c r="S136" i="1"/>
  <c r="T136" i="1"/>
  <c r="U136" i="1"/>
  <c r="V136" i="1"/>
  <c r="S137" i="1"/>
  <c r="T137" i="1"/>
  <c r="U137" i="1"/>
  <c r="V137" i="1"/>
  <c r="R138" i="1"/>
  <c r="S138" i="1"/>
  <c r="T138" i="1"/>
  <c r="U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S148" i="1"/>
  <c r="T148" i="1"/>
  <c r="U148" i="1"/>
  <c r="V148" i="1"/>
  <c r="R149" i="1"/>
  <c r="S149" i="1"/>
  <c r="T149" i="1"/>
  <c r="U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U153" i="1"/>
  <c r="V153" i="1"/>
  <c r="R154" i="1"/>
  <c r="S154" i="1"/>
  <c r="T154" i="1"/>
  <c r="U154" i="1"/>
  <c r="V154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U160" i="1"/>
  <c r="V160" i="1"/>
  <c r="V134" i="1"/>
  <c r="U134" i="1"/>
  <c r="T134" i="1"/>
  <c r="S134" i="1"/>
  <c r="R13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S131" i="1"/>
  <c r="U131" i="1"/>
  <c r="V131" i="1"/>
  <c r="V126" i="1"/>
  <c r="U126" i="1"/>
  <c r="T126" i="1"/>
  <c r="S126" i="1"/>
  <c r="R126" i="1"/>
  <c r="R112" i="1"/>
  <c r="S112" i="1"/>
  <c r="T112" i="1"/>
  <c r="U112" i="1"/>
  <c r="V112" i="1"/>
  <c r="S113" i="1"/>
  <c r="T113" i="1"/>
  <c r="U113" i="1"/>
  <c r="V113" i="1"/>
  <c r="R114" i="1"/>
  <c r="S114" i="1"/>
  <c r="T114" i="1"/>
  <c r="U114" i="1"/>
  <c r="V114" i="1"/>
  <c r="R117" i="1"/>
  <c r="S117" i="1"/>
  <c r="T117" i="1"/>
  <c r="U117" i="1"/>
  <c r="V117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2" i="1"/>
  <c r="S122" i="1"/>
  <c r="T122" i="1"/>
  <c r="U122" i="1"/>
  <c r="V122" i="1"/>
  <c r="S123" i="1"/>
  <c r="U123" i="1"/>
  <c r="V123" i="1"/>
  <c r="V111" i="1"/>
  <c r="U111" i="1"/>
  <c r="T111" i="1"/>
  <c r="S111" i="1"/>
  <c r="R111" i="1"/>
  <c r="R98" i="1"/>
  <c r="S98" i="1"/>
  <c r="T98" i="1"/>
  <c r="U98" i="1"/>
  <c r="V98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V97" i="1"/>
  <c r="U97" i="1"/>
  <c r="T97" i="1"/>
  <c r="S97" i="1"/>
  <c r="R97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R65" i="1"/>
  <c r="S65" i="1"/>
  <c r="T65" i="1"/>
  <c r="U65" i="1"/>
  <c r="V65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2" i="1"/>
  <c r="S92" i="1"/>
  <c r="T92" i="1"/>
  <c r="U92" i="1"/>
  <c r="V92" i="1"/>
  <c r="S93" i="1"/>
  <c r="U93" i="1"/>
  <c r="V93" i="1"/>
  <c r="V59" i="1"/>
  <c r="U59" i="1"/>
  <c r="T59" i="1"/>
  <c r="S59" i="1"/>
  <c r="R59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5" i="1"/>
  <c r="S55" i="1"/>
  <c r="T55" i="1"/>
  <c r="U55" i="1"/>
  <c r="V55" i="1"/>
  <c r="S56" i="1"/>
  <c r="U56" i="1"/>
  <c r="V56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4" i="1" l="1"/>
  <c r="V138" i="1"/>
  <c r="O185" i="1" l="1"/>
  <c r="O206" i="1"/>
  <c r="K206" i="1"/>
  <c r="H206" i="1"/>
  <c r="K191" i="1"/>
  <c r="H191" i="1"/>
  <c r="D191" i="1"/>
  <c r="H185" i="1"/>
  <c r="K185" i="1"/>
  <c r="H166" i="1"/>
  <c r="O166" i="1"/>
  <c r="K166" i="1"/>
  <c r="O160" i="1"/>
  <c r="K160" i="1"/>
  <c r="C17" i="2" s="1"/>
  <c r="C8" i="2" s="1"/>
  <c r="H160" i="1"/>
  <c r="D160" i="1"/>
  <c r="B17" i="2" s="1"/>
  <c r="B8" i="2" s="1"/>
  <c r="O131" i="1"/>
  <c r="K131" i="1"/>
  <c r="H131" i="1"/>
  <c r="T131" i="1" s="1"/>
  <c r="H123" i="1"/>
  <c r="O123" i="1"/>
  <c r="K123" i="1"/>
  <c r="C15" i="2" s="1"/>
  <c r="C6" i="2" s="1"/>
  <c r="O93" i="1"/>
  <c r="K93" i="1"/>
  <c r="H93" i="1"/>
  <c r="D93" i="1"/>
  <c r="O56" i="1"/>
  <c r="K56" i="1"/>
  <c r="H56" i="1"/>
  <c r="O22" i="1"/>
  <c r="H22" i="1"/>
  <c r="L127" i="1" l="1"/>
  <c r="C16" i="2"/>
  <c r="C7" i="2" s="1"/>
  <c r="B6" i="3"/>
  <c r="C18" i="2"/>
  <c r="C9" i="2" s="1"/>
  <c r="B2" i="3"/>
  <c r="B4" i="3"/>
  <c r="C19" i="2"/>
  <c r="C10" i="2" s="1"/>
  <c r="B7" i="3"/>
  <c r="C14" i="2"/>
  <c r="C5" i="2" s="1"/>
  <c r="B8" i="3"/>
  <c r="C13" i="2"/>
  <c r="C4" i="2" s="1"/>
  <c r="E91" i="1"/>
  <c r="B14" i="2"/>
  <c r="B5" i="2" s="1"/>
  <c r="L155" i="1"/>
  <c r="B5" i="3"/>
  <c r="L121" i="1"/>
  <c r="B9" i="3"/>
  <c r="L77" i="1"/>
  <c r="L91" i="1"/>
  <c r="E54" i="1"/>
  <c r="L54" i="1"/>
  <c r="L175" i="1"/>
  <c r="L176" i="1"/>
  <c r="L177" i="1"/>
  <c r="L178" i="1"/>
  <c r="L179" i="1"/>
  <c r="L180" i="1"/>
  <c r="L181" i="1"/>
  <c r="L182" i="1"/>
  <c r="L183" i="1"/>
  <c r="L184" i="1"/>
  <c r="L115" i="1"/>
  <c r="L116" i="1"/>
  <c r="E74" i="1"/>
  <c r="E77" i="1"/>
  <c r="E154" i="1"/>
  <c r="E155" i="1"/>
  <c r="L84" i="1"/>
  <c r="L92" i="1"/>
  <c r="L74" i="1"/>
  <c r="L135" i="1"/>
  <c r="E135" i="1"/>
  <c r="L100" i="1"/>
  <c r="L113" i="1"/>
  <c r="L174" i="1"/>
  <c r="E80" i="1"/>
  <c r="L80" i="1"/>
  <c r="L52" i="1"/>
  <c r="L35" i="1"/>
  <c r="L204" i="1"/>
  <c r="L205" i="1"/>
  <c r="E48" i="1"/>
  <c r="L47" i="1"/>
  <c r="L49" i="1"/>
  <c r="L48" i="1"/>
  <c r="L50" i="1"/>
  <c r="L97" i="1"/>
  <c r="L111" i="1"/>
  <c r="L150" i="1"/>
  <c r="L156" i="1"/>
  <c r="L85" i="1"/>
  <c r="L62" i="1"/>
  <c r="L154" i="1"/>
  <c r="L99" i="1"/>
  <c r="L25" i="1"/>
  <c r="L38" i="1"/>
  <c r="T185" i="1"/>
  <c r="L89" i="1"/>
  <c r="L90" i="1"/>
  <c r="E82" i="1"/>
  <c r="E90" i="1"/>
  <c r="T206" i="1"/>
  <c r="L82" i="1"/>
  <c r="T56" i="1"/>
  <c r="T166" i="1"/>
  <c r="R166" i="1"/>
  <c r="T93" i="1"/>
  <c r="T160" i="1"/>
  <c r="T22" i="1"/>
  <c r="R131" i="1"/>
  <c r="R206" i="1"/>
  <c r="T123" i="1"/>
  <c r="O186" i="1"/>
  <c r="O207" i="1" s="1"/>
  <c r="R160" i="1"/>
  <c r="L149" i="1"/>
  <c r="R123" i="1"/>
  <c r="R93" i="1"/>
  <c r="L61" i="1"/>
  <c r="L63" i="1"/>
  <c r="L65" i="1"/>
  <c r="L67" i="1"/>
  <c r="L69" i="1"/>
  <c r="L71" i="1"/>
  <c r="L73" i="1"/>
  <c r="L76" i="1"/>
  <c r="L79" i="1"/>
  <c r="L83" i="1"/>
  <c r="L87" i="1"/>
  <c r="L60" i="1"/>
  <c r="L64" i="1"/>
  <c r="L66" i="1"/>
  <c r="L68" i="1"/>
  <c r="L70" i="1"/>
  <c r="L72" i="1"/>
  <c r="L75" i="1"/>
  <c r="L78" i="1"/>
  <c r="L81" i="1"/>
  <c r="L86" i="1"/>
  <c r="L88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5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5" i="1"/>
  <c r="H186" i="1"/>
  <c r="H207" i="1" s="1"/>
  <c r="J10" i="4"/>
  <c r="I12" i="4"/>
  <c r="H12" i="4"/>
  <c r="G12" i="4"/>
  <c r="F12" i="4"/>
  <c r="E12" i="4"/>
  <c r="C12" i="4"/>
  <c r="E202" i="1"/>
  <c r="L203" i="1"/>
  <c r="L202" i="1"/>
  <c r="L200" i="1"/>
  <c r="L199" i="1"/>
  <c r="L198" i="1"/>
  <c r="L196" i="1"/>
  <c r="L195" i="1"/>
  <c r="L194" i="1"/>
  <c r="V191" i="1"/>
  <c r="U191" i="1"/>
  <c r="L189" i="1"/>
  <c r="E189" i="1"/>
  <c r="L171" i="1"/>
  <c r="L163" i="1"/>
  <c r="E165" i="1"/>
  <c r="E159" i="1"/>
  <c r="E156" i="1"/>
  <c r="L148" i="1"/>
  <c r="L146" i="1"/>
  <c r="L143" i="1"/>
  <c r="L140" i="1"/>
  <c r="L138" i="1"/>
  <c r="L134" i="1"/>
  <c r="L129" i="1"/>
  <c r="E130" i="1"/>
  <c r="L130" i="1"/>
  <c r="E89" i="1"/>
  <c r="E88" i="1"/>
  <c r="E86" i="1"/>
  <c r="E84" i="1"/>
  <c r="E81" i="1"/>
  <c r="E78" i="1"/>
  <c r="E75" i="1"/>
  <c r="E72" i="1"/>
  <c r="E70" i="1"/>
  <c r="E68" i="1"/>
  <c r="E66" i="1"/>
  <c r="E64" i="1"/>
  <c r="E62" i="1"/>
  <c r="E60" i="1"/>
  <c r="L51" i="1"/>
  <c r="R56" i="1"/>
  <c r="L32" i="1"/>
  <c r="K22" i="1"/>
  <c r="E14" i="1"/>
  <c r="S6" i="1"/>
  <c r="R6" i="1"/>
  <c r="C12" i="2" l="1"/>
  <c r="C3" i="2" s="1"/>
  <c r="B3" i="3"/>
  <c r="J12" i="4"/>
  <c r="I4" i="5"/>
  <c r="I3" i="5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6" i="1"/>
  <c r="L136" i="1"/>
  <c r="L139" i="1"/>
  <c r="L142" i="1"/>
  <c r="L144" i="1"/>
  <c r="L147" i="1"/>
  <c r="L151" i="1"/>
  <c r="E18" i="1"/>
  <c r="L59" i="1"/>
  <c r="E63" i="1"/>
  <c r="E126" i="1"/>
  <c r="E134" i="1"/>
  <c r="E136" i="1"/>
  <c r="E137" i="1"/>
  <c r="E142" i="1"/>
  <c r="E143" i="1"/>
  <c r="E144" i="1"/>
  <c r="E145" i="1"/>
  <c r="E150" i="1"/>
  <c r="E153" i="1"/>
  <c r="E158" i="1"/>
  <c r="E11" i="1"/>
  <c r="E13" i="1"/>
  <c r="E16" i="1"/>
  <c r="E20" i="1"/>
  <c r="L29" i="1"/>
  <c r="L37" i="1"/>
  <c r="L43" i="1"/>
  <c r="K186" i="1"/>
  <c r="L128" i="1"/>
  <c r="E138" i="1"/>
  <c r="E139" i="1"/>
  <c r="E140" i="1"/>
  <c r="E141" i="1"/>
  <c r="E146" i="1"/>
  <c r="E147" i="1"/>
  <c r="E148" i="1"/>
  <c r="E149" i="1"/>
  <c r="E151" i="1"/>
  <c r="E152" i="1"/>
  <c r="E157" i="1"/>
  <c r="L170" i="1"/>
  <c r="L104" i="1"/>
  <c r="L103" i="1"/>
  <c r="L33" i="1"/>
  <c r="L44" i="1"/>
  <c r="L53" i="1"/>
  <c r="E129" i="1"/>
  <c r="L153" i="1"/>
  <c r="L158" i="1"/>
  <c r="L165" i="1"/>
  <c r="E197" i="1"/>
  <c r="E201" i="1"/>
  <c r="E205" i="1"/>
  <c r="D12" i="4"/>
  <c r="E98" i="1"/>
  <c r="L36" i="1"/>
  <c r="L39" i="1"/>
  <c r="L30" i="1"/>
  <c r="L41" i="1"/>
  <c r="L137" i="1"/>
  <c r="L141" i="1"/>
  <c r="L145" i="1"/>
  <c r="E164" i="1"/>
  <c r="E174" i="1"/>
  <c r="E190" i="1"/>
  <c r="L197" i="1"/>
  <c r="L201" i="1"/>
  <c r="L28" i="1"/>
  <c r="E7" i="1"/>
  <c r="E17" i="1"/>
  <c r="E21" i="1"/>
  <c r="L27" i="1"/>
  <c r="L46" i="1"/>
  <c r="E59" i="1"/>
  <c r="E67" i="1"/>
  <c r="E71" i="1"/>
  <c r="E76" i="1"/>
  <c r="E83" i="1"/>
  <c r="E87" i="1"/>
  <c r="E92" i="1"/>
  <c r="E128" i="1"/>
  <c r="L152" i="1"/>
  <c r="L157" i="1"/>
  <c r="L164" i="1"/>
  <c r="L190" i="1"/>
  <c r="R191" i="1"/>
  <c r="E196" i="1"/>
  <c r="E200" i="1"/>
  <c r="E204" i="1"/>
  <c r="E163" i="1"/>
  <c r="E171" i="1"/>
  <c r="E195" i="1"/>
  <c r="E199" i="1"/>
  <c r="E203" i="1"/>
  <c r="L45" i="1"/>
  <c r="L55" i="1"/>
  <c r="L26" i="1"/>
  <c r="L34" i="1"/>
  <c r="E170" i="1"/>
  <c r="E12" i="1"/>
  <c r="E15" i="1"/>
  <c r="L31" i="1"/>
  <c r="L42" i="1"/>
  <c r="E61" i="1"/>
  <c r="E65" i="1"/>
  <c r="E69" i="1"/>
  <c r="E73" i="1"/>
  <c r="E79" i="1"/>
  <c r="E85" i="1"/>
  <c r="L159" i="1"/>
  <c r="E194" i="1"/>
  <c r="E198" i="1"/>
  <c r="L114" i="1" l="1"/>
  <c r="L98" i="1"/>
  <c r="L101" i="1"/>
  <c r="L107" i="1"/>
  <c r="L118" i="1"/>
  <c r="L102" i="1"/>
  <c r="K207" i="1"/>
  <c r="L22" i="1"/>
  <c r="L160" i="1"/>
  <c r="L56" i="1"/>
  <c r="L131" i="1"/>
  <c r="L93" i="1"/>
  <c r="L123" i="1"/>
  <c r="L185" i="1"/>
  <c r="L166" i="1"/>
  <c r="L106" i="1"/>
  <c r="L105" i="1"/>
  <c r="L122" i="1"/>
  <c r="L117" i="1"/>
  <c r="L119" i="1"/>
  <c r="L108" i="1"/>
  <c r="L120" i="1"/>
  <c r="L112" i="1"/>
  <c r="E120" i="1"/>
  <c r="E117" i="1"/>
  <c r="E108" i="1"/>
  <c r="E105" i="1"/>
  <c r="E102" i="1"/>
  <c r="E107" i="1"/>
  <c r="E103" i="1"/>
  <c r="E113" i="1"/>
  <c r="E104" i="1"/>
  <c r="D186" i="1"/>
  <c r="E122" i="1"/>
  <c r="E97" i="1"/>
  <c r="E106" i="1"/>
  <c r="E101" i="1"/>
  <c r="E119" i="1"/>
  <c r="E118" i="1"/>
  <c r="E114" i="1"/>
  <c r="E111" i="1"/>
  <c r="E123" i="1" l="1"/>
  <c r="R186" i="1"/>
  <c r="E56" i="1"/>
  <c r="E160" i="1"/>
  <c r="D207" i="1"/>
  <c r="E93" i="1"/>
  <c r="E22" i="1"/>
  <c r="E185" i="1"/>
  <c r="E131" i="1"/>
  <c r="E166" i="1"/>
</calcChain>
</file>

<file path=xl/sharedStrings.xml><?xml version="1.0" encoding="utf-8"?>
<sst xmlns="http://schemas.openxmlformats.org/spreadsheetml/2006/main" count="434" uniqueCount="274">
  <si>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</si>
  <si>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</si>
  <si>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</si>
  <si>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</si>
  <si>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</si>
  <si>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</si>
  <si>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</si>
  <si>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</si>
  <si>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</si>
  <si>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</si>
  <si>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</si>
  <si>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</si>
  <si>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</si>
  <si>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</si>
  <si>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</si>
  <si>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</si>
  <si>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</si>
  <si>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</si>
  <si>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</si>
  <si>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</si>
  <si>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</si>
  <si>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</si>
  <si>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</si>
  <si>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</si>
  <si>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</si>
  <si>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</si>
  <si>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</si>
  <si>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</si>
  <si>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</si>
  <si>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</si>
  <si>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</si>
  <si>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</si>
  <si>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</si>
  <si>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</si>
  <si>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</si>
  <si>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</si>
  <si>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</si>
  <si>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</si>
  <si>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</si>
  <si>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</si>
  <si>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</si>
  <si>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</si>
  <si>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</si>
  <si>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</si>
  <si>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</si>
  <si>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</si>
  <si>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</si>
  <si>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</si>
  <si>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</si>
  <si>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</si>
  <si>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</si>
  <si>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</si>
  <si>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</si>
  <si>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</si>
  <si>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</si>
  <si>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</si>
  <si>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</si>
  <si>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</si>
  <si>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</si>
  <si>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</si>
  <si>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</si>
  <si>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</si>
  <si>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</si>
  <si>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</si>
  <si>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</si>
  <si>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</si>
  <si>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</si>
  <si>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</si>
  <si>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</si>
  <si>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</si>
  <si>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</si>
  <si>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</si>
  <si>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</si>
  <si>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</si>
  <si>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</si>
  <si>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</si>
  <si>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</si>
  <si>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</si>
  <si>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</si>
  <si>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</si>
  <si>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</si>
  <si>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</si>
  <si>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</si>
  <si>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</si>
  <si>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</si>
  <si>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</si>
  <si>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</si>
  <si>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</si>
  <si>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</si>
  <si>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</si>
  <si>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</si>
  <si>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</si>
  <si>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</si>
  <si>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</si>
  <si>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</si>
  <si>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</si>
  <si>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</si>
  <si>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</si>
  <si>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</si>
  <si>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</si>
  <si>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</si>
  <si>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</si>
  <si>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</si>
  <si>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</si>
  <si>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</si>
  <si>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</si>
  <si>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</si>
  <si>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</si>
  <si>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</si>
  <si>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</si>
  <si>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</si>
  <si>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</si>
  <si>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</si>
  <si>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</si>
  <si>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</si>
  <si>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</si>
  <si>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</si>
  <si>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</si>
  <si>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</si>
  <si>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</si>
  <si>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</si>
  <si>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</si>
  <si>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</si>
  <si>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</si>
  <si>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</si>
  <si>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</si>
  <si>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</si>
  <si>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</si>
  <si>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</si>
  <si>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</si>
  <si>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</si>
  <si>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</si>
  <si>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</si>
  <si>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</si>
  <si>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</si>
  <si>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</si>
  <si>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</si>
  <si>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</si>
  <si>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</si>
  <si>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</si>
  <si>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</si>
  <si>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</si>
  <si>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</si>
  <si>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</si>
  <si>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</si>
  <si>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</si>
  <si>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</si>
  <si>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</si>
  <si>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</si>
  <si>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</si>
  <si>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</si>
  <si>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</si>
  <si>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</si>
  <si>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</si>
  <si>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</si>
  <si>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</si>
  <si>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</si>
  <si>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</si>
  <si>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</si>
  <si>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</si>
  <si>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</si>
  <si>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</si>
  <si>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</si>
  <si>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</si>
  <si>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</si>
  <si>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</si>
  <si>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</si>
  <si>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</si>
  <si>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</si>
  <si>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</si>
  <si>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</si>
  <si>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</si>
  <si>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</si>
  <si>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</si>
  <si>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</si>
  <si>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</si>
  <si>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</si>
  <si>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</si>
  <si>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</si>
  <si>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</si>
  <si>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</si>
  <si>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</si>
  <si>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</si>
  <si>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</si>
  <si>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</si>
  <si>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</si>
  <si>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</si>
  <si>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</si>
  <si>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</si>
  <si>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</si>
  <si>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</si>
  <si>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</si>
  <si>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</si>
  <si>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</si>
  <si>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</si>
  <si>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</si>
  <si>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</si>
  <si>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</si>
  <si>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</si>
  <si>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</si>
  <si>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</si>
  <si>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</si>
  <si>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</si>
  <si>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</si>
  <si>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</si>
  <si>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</si>
  <si>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</si>
  <si>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</si>
  <si>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</si>
  <si>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</si>
  <si>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</si>
  <si>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</si>
  <si>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</si>
  <si>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</si>
  <si>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</si>
  <si>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</si>
  <si>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</si>
  <si>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</si>
  <si>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</si>
  <si>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</si>
  <si>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</si>
  <si>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</si>
  <si>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</si>
  <si>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</si>
  <si>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</si>
  <si>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</si>
  <si>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</si>
  <si>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</si>
  <si>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</si>
  <si>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</si>
  <si>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</si>
  <si>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</si>
  <si>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</si>
  <si>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</si>
  <si>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</si>
  <si>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</si>
  <si>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</si>
  <si>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</si>
  <si>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</si>
  <si>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</si>
  <si>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</si>
  <si>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</si>
  <si>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</si>
  <si>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</si>
  <si>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</si>
  <si>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</si>
  <si>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</si>
  <si>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</si>
  <si>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</si>
  <si>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</si>
  <si>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</si>
  <si>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</si>
  <si>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</si>
  <si>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</si>
  <si>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</si>
  <si>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</si>
  <si>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</si>
  <si>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</si>
  <si>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</si>
  <si>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</si>
  <si>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</si>
  <si>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</si>
  <si>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</si>
  <si>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</si>
  <si>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</si>
  <si>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</si>
  <si>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NAV, Unit Price and Yield as at Week Ended March 28, 2024</t>
  </si>
  <si>
    <t>Week Ended March 28, 2024</t>
  </si>
  <si>
    <t>WEEKLY VALUATION REPORT OF COLLECTIVE INVESTMENT SCHEMES AS AT WEEK ENDED FRIDAY, APRIL 5, 2024</t>
  </si>
  <si>
    <t>NAV, Unit Price and Yield as at Week Ended April 5, 2024</t>
  </si>
  <si>
    <t>*0.01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</si>
  <si>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5th April, 2024 = N1,247.165</t>
    </r>
  </si>
  <si>
    <t>Week Ended April 5, 2024</t>
  </si>
  <si>
    <t>The chart above shows that the Dollar Fund category (Eurobonds and Fixed Income) has the highest share of the Aggregate Net Asset Value (NAV) at 44.66%, followed by Money Market Fund with 35.99%, Bond/Fixed Income Fund at 10.41%, Real Estate Investment Trust at 3.86%.  Next is Balanced Fund at 1.90%, Shari'ah Compliant Fund at 1.91%,  Equity Fund at 1.08%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</si>
</sst>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0"/>
      <color rgb="FF000000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5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5" fontId="6" fillId="5" borderId="5" xfId="2" applyNumberFormat="1" applyFont="1" applyFill="1" applyBorder="1" applyAlignment="1">
      <alignment horizontal="center"/>
    </xf>
    <xf numFmtId="4" fontId="31" fillId="3" borderId="0" xfId="0" applyNumberFormat="1" applyFont="1" applyFill="1" applyAlignment="1">
      <alignment horizontal="right"/>
    </xf>
    <xf numFmtId="0" fontId="6" fillId="5" borderId="5" xfId="2" applyNumberFormat="1" applyFont="1" applyFill="1" applyBorder="1" applyAlignment="1">
      <alignment horizontal="center"/>
    </xf>
    <xf numFmtId="0" fontId="47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0" fontId="50" fillId="0" borderId="5" xfId="0" applyFont="1" applyBorder="1" applyAlignment="1">
      <alignment horizontal="right"/>
    </xf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4" fontId="31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 applyAlignment="1">
      <alignment horizontal="right"/>
    </xf>
    <xf numFmtId="164" fontId="31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16" fontId="30" fillId="3" borderId="5" xfId="0" applyNumberFormat="1" applyFont="1" applyFill="1" applyBorder="1"/>
    <xf numFmtId="0" fontId="30" fillId="0" borderId="10" xfId="0" applyFont="1" applyBorder="1" applyAlignment="1">
      <alignment horizontal="right"/>
    </xf>
    <xf numFmtId="0" fontId="41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10" fontId="55" fillId="10" borderId="20" xfId="0" applyNumberFormat="1" applyFont="1" applyFill="1" applyBorder="1" applyAlignment="1">
      <alignment horizontal="right" vertical="center" wrapText="1"/>
    </xf>
    <xf numFmtId="10" fontId="55" fillId="10" borderId="21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" fontId="4" fillId="3" borderId="5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28,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28.499552255214198</c:v>
                </c:pt>
                <c:pt idx="1">
                  <c:v>919.49600657440953</c:v>
                </c:pt>
                <c:pt idx="2">
                  <c:v>271.6586965135848</c:v>
                </c:pt>
                <c:pt idx="3">
                  <c:v>1220.9864248515159</c:v>
                </c:pt>
                <c:pt idx="4">
                  <c:v>99.892436477227193</c:v>
                </c:pt>
                <c:pt idx="5" formatCode="_-* #,##0.00_-;\-* #,##0.00_-;_-* &quot;-&quot;??_-;_-@_-">
                  <c:v>49.905453494100527</c:v>
                </c:pt>
                <c:pt idx="6">
                  <c:v>5.2162414736000002</c:v>
                </c:pt>
                <c:pt idx="7">
                  <c:v>49.193398720121991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5,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27.852455758705901</c:v>
                </c:pt>
                <c:pt idx="1">
                  <c:v>932.13546825462367</c:v>
                </c:pt>
                <c:pt idx="2">
                  <c:v>269.47204641353358</c:v>
                </c:pt>
                <c:pt idx="3">
                  <c:v>1156.4173084608565</c:v>
                </c:pt>
                <c:pt idx="4">
                  <c:v>99.83713215175986</c:v>
                </c:pt>
                <c:pt idx="5" formatCode="_-* #,##0.00_-;\-* #,##0.00_-;_-* &quot;-&quot;??_-;_-@_-">
                  <c:v>49.32009329782548</c:v>
                </c:pt>
                <c:pt idx="6">
                  <c:v>5.1492956103599994</c:v>
                </c:pt>
                <c:pt idx="7">
                  <c:v>49.480081538382066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5TH APRIL,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5-Apr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5149295610.3599997</c:v>
                </c:pt>
                <c:pt idx="1">
                  <c:v>27852455758.705902</c:v>
                </c:pt>
                <c:pt idx="2">
                  <c:v>49480081538.382065</c:v>
                </c:pt>
                <c:pt idx="3" formatCode="_-* #,##0.00_-;\-* #,##0.00_-;_-* &quot;-&quot;??_-;_-@_-">
                  <c:v>49320093297.825478</c:v>
                </c:pt>
                <c:pt idx="4">
                  <c:v>99837132151.759857</c:v>
                </c:pt>
                <c:pt idx="5">
                  <c:v>269472046413.53357</c:v>
                </c:pt>
                <c:pt idx="6">
                  <c:v>932135468254.62366</c:v>
                </c:pt>
                <c:pt idx="7">
                  <c:v>1156417308460.8564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45338</c:v>
                </c:pt>
                <c:pt idx="1">
                  <c:v>45345</c:v>
                </c:pt>
                <c:pt idx="2">
                  <c:v>45352</c:v>
                </c:pt>
                <c:pt idx="3">
                  <c:v>45359</c:v>
                </c:pt>
                <c:pt idx="4">
                  <c:v>45366</c:v>
                </c:pt>
                <c:pt idx="5">
                  <c:v>45373</c:v>
                </c:pt>
                <c:pt idx="6">
                  <c:v>45379</c:v>
                </c:pt>
                <c:pt idx="7">
                  <c:v>45387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2804.0140317422242</c:v>
                </c:pt>
                <c:pt idx="1">
                  <c:v>2818.0986093610441</c:v>
                </c:pt>
                <c:pt idx="2">
                  <c:v>2842.1269159614767</c:v>
                </c:pt>
                <c:pt idx="3">
                  <c:v>2889.6753426082664</c:v>
                </c:pt>
                <c:pt idx="4">
                  <c:v>2600.1201124317486</c:v>
                </c:pt>
                <c:pt idx="5">
                  <c:v>2726.590314934399</c:v>
                </c:pt>
                <c:pt idx="6">
                  <c:v>2644.8482103597744</c:v>
                </c:pt>
                <c:pt idx="7">
                  <c:v>2589.6638814860466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45338</c:v>
                </c:pt>
                <c:pt idx="1">
                  <c:v>45345</c:v>
                </c:pt>
                <c:pt idx="2">
                  <c:v>45352</c:v>
                </c:pt>
                <c:pt idx="3">
                  <c:v>45359</c:v>
                </c:pt>
                <c:pt idx="4">
                  <c:v>45366</c:v>
                </c:pt>
                <c:pt idx="5">
                  <c:v>45373</c:v>
                </c:pt>
                <c:pt idx="6">
                  <c:v>45379</c:v>
                </c:pt>
                <c:pt idx="7">
                  <c:v>45387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14.091854833619999</c:v>
                </c:pt>
                <c:pt idx="1">
                  <c:v>13.721097407254545</c:v>
                </c:pt>
                <c:pt idx="2">
                  <c:v>13.410122858662769</c:v>
                </c:pt>
                <c:pt idx="3">
                  <c:v>13.60527981782986</c:v>
                </c:pt>
                <c:pt idx="4">
                  <c:v>13.749994436969999</c:v>
                </c:pt>
                <c:pt idx="5">
                  <c:v>13.611683369310001</c:v>
                </c:pt>
                <c:pt idx="6">
                  <c:v>13.637941626835818</c:v>
                </c:pt>
                <c:pt idx="7">
                  <c:v>13.392488443196084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1"/>
  <sheetViews>
    <sheetView tabSelected="1" zoomScale="120" zoomScaleNormal="12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2" t="s">
        <v>268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5"/>
    </row>
    <row r="2" spans="1:25" ht="15" customHeight="1">
      <c r="A2" s="1"/>
      <c r="B2" s="1"/>
      <c r="C2" s="1"/>
      <c r="D2" s="169" t="s">
        <v>266</v>
      </c>
      <c r="E2" s="170"/>
      <c r="F2" s="170"/>
      <c r="G2" s="170"/>
      <c r="H2" s="170"/>
      <c r="I2" s="170"/>
      <c r="J2" s="171"/>
      <c r="K2" s="169" t="s">
        <v>269</v>
      </c>
      <c r="L2" s="170"/>
      <c r="M2" s="170"/>
      <c r="N2" s="170"/>
      <c r="O2" s="170"/>
      <c r="P2" s="170"/>
      <c r="Q2" s="171"/>
      <c r="R2" s="169" t="s">
        <v>0</v>
      </c>
      <c r="S2" s="170"/>
      <c r="T2" s="171"/>
      <c r="U2" s="166" t="s">
        <v>1</v>
      </c>
      <c r="V2" s="166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</row>
    <row r="5" spans="1:25" ht="15" customHeight="1">
      <c r="A5" s="168" t="s">
        <v>15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</row>
    <row r="6" spans="1:25">
      <c r="A6" s="75">
        <v>1</v>
      </c>
      <c r="B6" s="125" t="s">
        <v>16</v>
      </c>
      <c r="C6" s="126" t="s">
        <v>17</v>
      </c>
      <c r="D6" s="2">
        <v>1318189721.3900001</v>
      </c>
      <c r="E6" s="3">
        <f t="shared" ref="E6:E21" si="0">(D6/$D$22)</f>
        <v>4.6252997576438339E-2</v>
      </c>
      <c r="F6" s="8">
        <v>364.16629999999998</v>
      </c>
      <c r="G6" s="8">
        <v>364.16629999999998</v>
      </c>
      <c r="H6" s="60">
        <v>1736</v>
      </c>
      <c r="I6" s="5">
        <v>4.7000000000000002E-3</v>
      </c>
      <c r="J6" s="5">
        <v>0.17519999999999999</v>
      </c>
      <c r="K6" s="2">
        <v>1280830361.6300001</v>
      </c>
      <c r="L6" s="3">
        <f>(K6/$K$22)</f>
        <v>4.5986263212343427E-2</v>
      </c>
      <c r="M6" s="8">
        <v>352.7167</v>
      </c>
      <c r="N6" s="8">
        <v>352.7167</v>
      </c>
      <c r="O6" s="60">
        <v>1739</v>
      </c>
      <c r="P6" s="5">
        <v>3.1399999999999997E-2</v>
      </c>
      <c r="Q6" s="5">
        <v>0.13819999999999999</v>
      </c>
      <c r="R6" s="80">
        <f>((K6-D6)/D6)</f>
        <v>-2.834141334420771E-2</v>
      </c>
      <c r="S6" s="80">
        <f>((N6-G6)/G6)</f>
        <v>-3.1440580855504684E-2</v>
      </c>
      <c r="T6" s="80">
        <f>((O6-H6)/H6)</f>
        <v>1.7281105990783411E-3</v>
      </c>
      <c r="U6" s="81">
        <f>P6-I6</f>
        <v>2.6699999999999998E-2</v>
      </c>
      <c r="V6" s="83">
        <f>Q6-J6</f>
        <v>-3.7000000000000005E-2</v>
      </c>
    </row>
    <row r="7" spans="1:25">
      <c r="A7" s="75">
        <v>2</v>
      </c>
      <c r="B7" s="125" t="s">
        <v>18</v>
      </c>
      <c r="C7" s="126" t="s">
        <v>19</v>
      </c>
      <c r="D7" s="4">
        <v>633184533.49000001</v>
      </c>
      <c r="E7" s="3">
        <f t="shared" si="0"/>
        <v>2.2217350217288215E-2</v>
      </c>
      <c r="F7" s="4">
        <v>230.49289999999999</v>
      </c>
      <c r="G7" s="4">
        <v>233.2578</v>
      </c>
      <c r="H7" s="60">
        <v>390</v>
      </c>
      <c r="I7" s="5">
        <v>5.8999999999999998E-5</v>
      </c>
      <c r="J7" s="5">
        <v>0.1915</v>
      </c>
      <c r="K7" s="4">
        <v>627010372.63</v>
      </c>
      <c r="L7" s="3">
        <f t="shared" ref="L7:L21" si="1">(K7/$K$22)</f>
        <v>2.2511852386086783E-2</v>
      </c>
      <c r="M7" s="4">
        <v>228.24469999999999</v>
      </c>
      <c r="N7" s="4">
        <v>230.9717</v>
      </c>
      <c r="O7" s="60">
        <v>390</v>
      </c>
      <c r="P7" s="5">
        <v>-1.751E-3</v>
      </c>
      <c r="Q7" s="5">
        <v>0.17979999999999999</v>
      </c>
      <c r="R7" s="80">
        <f t="shared" ref="R7:R22" si="2">((K7-D7)/D7)</f>
        <v>-9.7509660034952889E-3</v>
      </c>
      <c r="S7" s="80">
        <f t="shared" ref="S7:S22" si="3">((N7-G7)/G7)</f>
        <v>-9.8007440694373553E-3</v>
      </c>
      <c r="T7" s="80">
        <f t="shared" ref="T7:T22" si="4">((O7-H7)/H7)</f>
        <v>0</v>
      </c>
      <c r="U7" s="81">
        <f t="shared" ref="U7:U22" si="5">P7-I7</f>
        <v>-1.81E-3</v>
      </c>
      <c r="V7" s="83">
        <f t="shared" ref="V7:V22" si="6">Q7-J7</f>
        <v>-1.1700000000000016E-2</v>
      </c>
    </row>
    <row r="8" spans="1:25">
      <c r="A8" s="75">
        <v>3</v>
      </c>
      <c r="B8" s="125" t="s">
        <v>20</v>
      </c>
      <c r="C8" s="126" t="s">
        <v>21</v>
      </c>
      <c r="D8" s="4">
        <v>4050590918.6100001</v>
      </c>
      <c r="E8" s="3">
        <f t="shared" si="0"/>
        <v>0.1421282300275056</v>
      </c>
      <c r="F8" s="4">
        <v>37.686300000000003</v>
      </c>
      <c r="G8" s="4">
        <v>38.822600000000001</v>
      </c>
      <c r="H8" s="62">
        <v>6399</v>
      </c>
      <c r="I8" s="6">
        <v>-0.10979999999999999</v>
      </c>
      <c r="J8" s="6">
        <v>0.96079999999999999</v>
      </c>
      <c r="K8" s="4">
        <v>3998665155.6199999</v>
      </c>
      <c r="L8" s="3">
        <f t="shared" si="1"/>
        <v>0.14356598176698041</v>
      </c>
      <c r="M8" s="4">
        <v>37.194899999999997</v>
      </c>
      <c r="N8" s="4">
        <v>38.316299999999998</v>
      </c>
      <c r="O8" s="62">
        <v>6403</v>
      </c>
      <c r="P8" s="6">
        <v>-0.68189999999999995</v>
      </c>
      <c r="Q8" s="6">
        <v>0.82940000000000003</v>
      </c>
      <c r="R8" s="80">
        <f t="shared" si="2"/>
        <v>-1.2819305635489619E-2</v>
      </c>
      <c r="S8" s="80">
        <f t="shared" si="3"/>
        <v>-1.3041372808621861E-2</v>
      </c>
      <c r="T8" s="80">
        <f t="shared" si="4"/>
        <v>6.2509767151117362E-4</v>
      </c>
      <c r="U8" s="81">
        <f t="shared" si="5"/>
        <v>-0.57209999999999994</v>
      </c>
      <c r="V8" s="83">
        <f t="shared" si="6"/>
        <v>-0.13139999999999996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711852189.99000001</v>
      </c>
      <c r="E9" s="3">
        <f t="shared" si="0"/>
        <v>2.4977662231860556E-2</v>
      </c>
      <c r="F9" s="4">
        <v>239.83</v>
      </c>
      <c r="G9" s="4">
        <v>239.83</v>
      </c>
      <c r="H9" s="60">
        <v>1792</v>
      </c>
      <c r="I9" s="5">
        <v>3.5000000000000001E-3</v>
      </c>
      <c r="J9" s="5">
        <v>0.17710000000000001</v>
      </c>
      <c r="K9" s="4">
        <v>707195245.60000002</v>
      </c>
      <c r="L9" s="3">
        <f t="shared" si="1"/>
        <v>2.5390768114906724E-2</v>
      </c>
      <c r="M9" s="4">
        <v>236.52</v>
      </c>
      <c r="N9" s="4">
        <v>236.52</v>
      </c>
      <c r="O9" s="60">
        <v>1798</v>
      </c>
      <c r="P9" s="5">
        <v>-1.38E-2</v>
      </c>
      <c r="Q9" s="5">
        <v>0.16089999999999999</v>
      </c>
      <c r="R9" s="80">
        <f t="shared" si="2"/>
        <v>-6.5420103435593919E-3</v>
      </c>
      <c r="S9" s="80">
        <f t="shared" si="3"/>
        <v>-1.3801442688571079E-2</v>
      </c>
      <c r="T9" s="80">
        <f t="shared" si="4"/>
        <v>3.3482142857142855E-3</v>
      </c>
      <c r="U9" s="81">
        <f t="shared" si="5"/>
        <v>-1.7299999999999999E-2</v>
      </c>
      <c r="V9" s="83">
        <f t="shared" si="6"/>
        <v>-1.620000000000002E-2</v>
      </c>
    </row>
    <row r="10" spans="1:25">
      <c r="A10" s="75">
        <v>5</v>
      </c>
      <c r="B10" s="125" t="s">
        <v>24</v>
      </c>
      <c r="C10" s="126" t="s">
        <v>25</v>
      </c>
      <c r="D10" s="7">
        <v>88502088.790000007</v>
      </c>
      <c r="E10" s="3">
        <f t="shared" si="0"/>
        <v>3.1053852354402485E-3</v>
      </c>
      <c r="F10" s="4">
        <v>155.05770000000001</v>
      </c>
      <c r="G10" s="4">
        <v>155.62180000000001</v>
      </c>
      <c r="H10" s="62">
        <v>88</v>
      </c>
      <c r="I10" s="6">
        <v>8.0699999999999999E-4</v>
      </c>
      <c r="J10" s="6">
        <v>0.3402</v>
      </c>
      <c r="K10" s="7">
        <v>87882220.230000004</v>
      </c>
      <c r="L10" s="3">
        <f t="shared" si="1"/>
        <v>3.1552772578242213E-3</v>
      </c>
      <c r="M10" s="4">
        <v>154.65450000000001</v>
      </c>
      <c r="N10" s="4">
        <v>155.21539999999999</v>
      </c>
      <c r="O10" s="62">
        <v>87</v>
      </c>
      <c r="P10" s="6">
        <v>-1.438E-3</v>
      </c>
      <c r="Q10" s="6">
        <v>0.30780000000000002</v>
      </c>
      <c r="R10" s="80">
        <f t="shared" si="2"/>
        <v>-7.003999210355839E-3</v>
      </c>
      <c r="S10" s="80">
        <f t="shared" si="3"/>
        <v>-2.6114593199668629E-3</v>
      </c>
      <c r="T10" s="80">
        <f t="shared" si="4"/>
        <v>-1.1363636363636364E-2</v>
      </c>
      <c r="U10" s="81">
        <f t="shared" si="5"/>
        <v>-2.245E-3</v>
      </c>
      <c r="V10" s="83">
        <f t="shared" si="6"/>
        <v>-3.2399999999999984E-2</v>
      </c>
    </row>
    <row r="11" spans="1:25">
      <c r="A11" s="75">
        <v>6</v>
      </c>
      <c r="B11" s="125" t="s">
        <v>26</v>
      </c>
      <c r="C11" s="126" t="s">
        <v>27</v>
      </c>
      <c r="D11" s="4">
        <v>1084728478.03</v>
      </c>
      <c r="E11" s="3">
        <f t="shared" si="0"/>
        <v>3.8061246307178075E-2</v>
      </c>
      <c r="F11" s="4">
        <v>283.58</v>
      </c>
      <c r="G11" s="4">
        <v>287.69</v>
      </c>
      <c r="H11" s="62">
        <v>1621</v>
      </c>
      <c r="I11" s="6">
        <v>2.2599999999999999E-2</v>
      </c>
      <c r="J11" s="6">
        <v>0.1152</v>
      </c>
      <c r="K11" s="4">
        <v>1032928458.8200001</v>
      </c>
      <c r="L11" s="3">
        <f t="shared" si="1"/>
        <v>3.708572298861422E-2</v>
      </c>
      <c r="M11" s="4">
        <v>277.04000000000002</v>
      </c>
      <c r="N11" s="4">
        <v>280.98</v>
      </c>
      <c r="O11" s="62">
        <v>1621</v>
      </c>
      <c r="P11" s="6">
        <v>-2.3199999999999998E-2</v>
      </c>
      <c r="Q11" s="6">
        <v>0.114</v>
      </c>
      <c r="R11" s="80">
        <f t="shared" si="2"/>
        <v>-4.775390363501391E-2</v>
      </c>
      <c r="S11" s="80">
        <f t="shared" si="3"/>
        <v>-2.3323716500399664E-2</v>
      </c>
      <c r="T11" s="80">
        <f t="shared" si="4"/>
        <v>0</v>
      </c>
      <c r="U11" s="81">
        <f t="shared" si="5"/>
        <v>-4.5799999999999993E-2</v>
      </c>
      <c r="V11" s="83">
        <f t="shared" si="6"/>
        <v>-1.1999999999999927E-3</v>
      </c>
    </row>
    <row r="12" spans="1:25">
      <c r="A12" s="75">
        <v>7</v>
      </c>
      <c r="B12" s="125" t="s">
        <v>28</v>
      </c>
      <c r="C12" s="126" t="s">
        <v>29</v>
      </c>
      <c r="D12" s="2">
        <v>340772765.19999999</v>
      </c>
      <c r="E12" s="3">
        <f t="shared" si="0"/>
        <v>1.195712698039504E-2</v>
      </c>
      <c r="F12" s="4">
        <v>171.18</v>
      </c>
      <c r="G12" s="4">
        <v>174.35</v>
      </c>
      <c r="H12" s="60">
        <v>2381</v>
      </c>
      <c r="I12" s="5">
        <v>1.7600000000000001E-2</v>
      </c>
      <c r="J12" s="5">
        <v>2.0199999999999999E-2</v>
      </c>
      <c r="K12" s="2">
        <v>320785920.72000003</v>
      </c>
      <c r="L12" s="3">
        <f t="shared" si="1"/>
        <v>1.1517329872060968E-2</v>
      </c>
      <c r="M12" s="4">
        <v>161.13999999999999</v>
      </c>
      <c r="N12" s="4">
        <v>164.62</v>
      </c>
      <c r="O12" s="60">
        <v>2381</v>
      </c>
      <c r="P12" s="5">
        <v>-5.8500000000000003E-2</v>
      </c>
      <c r="Q12" s="5">
        <v>-3.9629999999999999E-2</v>
      </c>
      <c r="R12" s="80">
        <f t="shared" si="2"/>
        <v>-5.8651531228646324E-2</v>
      </c>
      <c r="S12" s="80">
        <f t="shared" si="3"/>
        <v>-5.5807284198451337E-2</v>
      </c>
      <c r="T12" s="80">
        <f t="shared" si="4"/>
        <v>0</v>
      </c>
      <c r="U12" s="81">
        <f t="shared" si="5"/>
        <v>-7.6100000000000001E-2</v>
      </c>
      <c r="V12" s="83">
        <f t="shared" si="6"/>
        <v>-5.9829999999999994E-2</v>
      </c>
    </row>
    <row r="13" spans="1:25">
      <c r="A13" s="75">
        <v>8</v>
      </c>
      <c r="B13" s="125" t="s">
        <v>30</v>
      </c>
      <c r="C13" s="126" t="s">
        <v>31</v>
      </c>
      <c r="D13" s="7">
        <v>51501353.140000001</v>
      </c>
      <c r="E13" s="3">
        <f t="shared" si="0"/>
        <v>1.8070934125141371E-3</v>
      </c>
      <c r="F13" s="4">
        <v>186.04</v>
      </c>
      <c r="G13" s="4">
        <v>191.34</v>
      </c>
      <c r="H13" s="60">
        <v>7</v>
      </c>
      <c r="I13" s="5">
        <v>1.2999999999999999E-3</v>
      </c>
      <c r="J13" s="5">
        <v>-7.6E-3</v>
      </c>
      <c r="K13" s="7">
        <v>51369888.960000001</v>
      </c>
      <c r="L13" s="3">
        <f t="shared" si="1"/>
        <v>1.8443576180510834E-3</v>
      </c>
      <c r="M13" s="4">
        <v>185.22</v>
      </c>
      <c r="N13" s="4">
        <v>190.48</v>
      </c>
      <c r="O13" s="60">
        <v>7</v>
      </c>
      <c r="P13" s="5">
        <v>-4.4999999999999997E-3</v>
      </c>
      <c r="Q13" s="5">
        <v>2.64E-2</v>
      </c>
      <c r="R13" s="80">
        <f t="shared" si="2"/>
        <v>-2.5526354548904909E-3</v>
      </c>
      <c r="S13" s="80">
        <f t="shared" si="3"/>
        <v>-4.4946169123027783E-3</v>
      </c>
      <c r="T13" s="80">
        <f t="shared" si="4"/>
        <v>0</v>
      </c>
      <c r="U13" s="81">
        <f t="shared" si="5"/>
        <v>-5.7999999999999996E-3</v>
      </c>
      <c r="V13" s="83">
        <f t="shared" si="6"/>
        <v>3.4000000000000002E-2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499730048.81419998</v>
      </c>
      <c r="E14" s="3">
        <f t="shared" si="0"/>
        <v>1.7534663153270093E-2</v>
      </c>
      <c r="F14" s="4">
        <v>1.5932999999999999</v>
      </c>
      <c r="G14" s="4">
        <v>1.6444000000000001</v>
      </c>
      <c r="H14" s="60">
        <v>443</v>
      </c>
      <c r="I14" s="5">
        <v>1.3678585061712489E-2</v>
      </c>
      <c r="J14" s="5">
        <v>-5.9833598867056192E-2</v>
      </c>
      <c r="K14" s="2">
        <v>496635458.85589999</v>
      </c>
      <c r="L14" s="3">
        <f t="shared" si="1"/>
        <v>1.7830939690144397E-2</v>
      </c>
      <c r="M14" s="4">
        <v>1.5764</v>
      </c>
      <c r="N14" s="4">
        <v>1.6267</v>
      </c>
      <c r="O14" s="60">
        <v>445</v>
      </c>
      <c r="P14" s="5">
        <v>-1.060691646268741E-2</v>
      </c>
      <c r="Q14" s="5">
        <v>-6.9805865344898854E-2</v>
      </c>
      <c r="R14" s="80">
        <f t="shared" si="2"/>
        <v>-6.1925232746021354E-3</v>
      </c>
      <c r="S14" s="80">
        <f t="shared" si="3"/>
        <v>-1.0763804427146709E-2</v>
      </c>
      <c r="T14" s="80">
        <f t="shared" si="4"/>
        <v>4.5146726862302479E-3</v>
      </c>
      <c r="U14" s="81">
        <f t="shared" si="5"/>
        <v>-2.42855015243999E-2</v>
      </c>
      <c r="V14" s="83">
        <f t="shared" si="6"/>
        <v>-9.9722664778426617E-3</v>
      </c>
    </row>
    <row r="15" spans="1:25">
      <c r="A15" s="75">
        <v>10</v>
      </c>
      <c r="B15" s="125" t="s">
        <v>33</v>
      </c>
      <c r="C15" s="126" t="s">
        <v>34</v>
      </c>
      <c r="D15" s="2">
        <v>1669220242.8499999</v>
      </c>
      <c r="E15" s="3">
        <f t="shared" si="0"/>
        <v>5.8570051483689677E-2</v>
      </c>
      <c r="F15" s="4">
        <v>3.38</v>
      </c>
      <c r="G15" s="4">
        <v>3.45</v>
      </c>
      <c r="H15" s="60">
        <v>3669</v>
      </c>
      <c r="I15" s="5">
        <v>5.3E-3</v>
      </c>
      <c r="J15" s="5">
        <v>0.21970000000000001</v>
      </c>
      <c r="K15" s="2">
        <v>1638538249.4000001</v>
      </c>
      <c r="L15" s="3">
        <f t="shared" si="1"/>
        <v>5.8829220072913628E-2</v>
      </c>
      <c r="M15" s="4">
        <v>3.32</v>
      </c>
      <c r="N15" s="4">
        <v>3.38</v>
      </c>
      <c r="O15" s="60">
        <v>3669</v>
      </c>
      <c r="P15" s="5">
        <v>-2.7799999999999998E-2</v>
      </c>
      <c r="Q15" s="5">
        <v>0.1973</v>
      </c>
      <c r="R15" s="80">
        <f t="shared" si="2"/>
        <v>-1.8381033648150507E-2</v>
      </c>
      <c r="S15" s="80">
        <f t="shared" si="3"/>
        <v>-2.028985507246385E-2</v>
      </c>
      <c r="T15" s="80">
        <f t="shared" si="4"/>
        <v>0</v>
      </c>
      <c r="U15" s="81">
        <f t="shared" si="5"/>
        <v>-3.3099999999999997E-2</v>
      </c>
      <c r="V15" s="83">
        <f t="shared" si="6"/>
        <v>-2.2400000000000003E-2</v>
      </c>
    </row>
    <row r="16" spans="1:25">
      <c r="A16" s="75">
        <v>11</v>
      </c>
      <c r="B16" s="125" t="s">
        <v>35</v>
      </c>
      <c r="C16" s="126" t="s">
        <v>36</v>
      </c>
      <c r="D16" s="4">
        <v>660848645.96000004</v>
      </c>
      <c r="E16" s="3">
        <f t="shared" si="0"/>
        <v>2.3188036080078873E-2</v>
      </c>
      <c r="F16" s="4">
        <v>20.337439</v>
      </c>
      <c r="G16" s="4">
        <v>20.450182000000002</v>
      </c>
      <c r="H16" s="60">
        <v>324</v>
      </c>
      <c r="I16" s="5">
        <v>1.4901721288462788E-2</v>
      </c>
      <c r="J16" s="5">
        <v>0.10772277495205107</v>
      </c>
      <c r="K16" s="4">
        <v>657783302.00999999</v>
      </c>
      <c r="L16" s="3">
        <f t="shared" si="1"/>
        <v>2.3616707543082455E-2</v>
      </c>
      <c r="M16" s="4">
        <v>19.458850000000002</v>
      </c>
      <c r="N16" s="4">
        <v>19.583295</v>
      </c>
      <c r="O16" s="60">
        <v>328</v>
      </c>
      <c r="P16" s="5">
        <v>-4.3200572107431889E-2</v>
      </c>
      <c r="Q16" s="5">
        <v>5.9868517337690497E-2</v>
      </c>
      <c r="R16" s="80">
        <f t="shared" si="2"/>
        <v>-4.638496225632862E-3</v>
      </c>
      <c r="S16" s="80">
        <f t="shared" si="3"/>
        <v>-4.2390185084905448E-2</v>
      </c>
      <c r="T16" s="80">
        <f t="shared" si="4"/>
        <v>1.2345679012345678E-2</v>
      </c>
      <c r="U16" s="81">
        <f t="shared" si="5"/>
        <v>-5.8102293395894677E-2</v>
      </c>
      <c r="V16" s="83">
        <f t="shared" si="6"/>
        <v>-4.7854257614360574E-2</v>
      </c>
    </row>
    <row r="17" spans="1:22">
      <c r="A17" s="75">
        <v>12</v>
      </c>
      <c r="B17" s="125" t="s">
        <v>37</v>
      </c>
      <c r="C17" s="126" t="s">
        <v>38</v>
      </c>
      <c r="D17" s="4">
        <v>376846678.62</v>
      </c>
      <c r="E17" s="3">
        <f t="shared" si="0"/>
        <v>1.3222898214165914E-2</v>
      </c>
      <c r="F17" s="4">
        <v>2.7092559999999999</v>
      </c>
      <c r="G17" s="4">
        <v>2.7400150000000001</v>
      </c>
      <c r="H17" s="60">
        <v>17</v>
      </c>
      <c r="I17" s="5">
        <v>-3.7999999999999999E-2</v>
      </c>
      <c r="J17" s="5">
        <v>0.25519999999999998</v>
      </c>
      <c r="K17" s="4">
        <v>376846678.62</v>
      </c>
      <c r="L17" s="3">
        <f t="shared" si="1"/>
        <v>1.3530105994413373E-2</v>
      </c>
      <c r="M17" s="4">
        <v>2.4684409999999999</v>
      </c>
      <c r="N17" s="4">
        <v>2.5002300000000002</v>
      </c>
      <c r="O17" s="60">
        <v>17</v>
      </c>
      <c r="P17" s="5">
        <v>8.8195283369096295E-2</v>
      </c>
      <c r="Q17" s="5">
        <v>0.14449999999999999</v>
      </c>
      <c r="R17" s="80">
        <f t="shared" si="2"/>
        <v>0</v>
      </c>
      <c r="S17" s="80">
        <f t="shared" si="3"/>
        <v>-8.7512294640722729E-2</v>
      </c>
      <c r="T17" s="80">
        <f t="shared" si="4"/>
        <v>0</v>
      </c>
      <c r="U17" s="81">
        <f t="shared" si="5"/>
        <v>0.1261952833690963</v>
      </c>
      <c r="V17" s="83">
        <f t="shared" si="6"/>
        <v>-0.11069999999999999</v>
      </c>
    </row>
    <row r="18" spans="1:22">
      <c r="A18" s="75">
        <v>13</v>
      </c>
      <c r="B18" s="125" t="s">
        <v>39</v>
      </c>
      <c r="C18" s="126" t="s">
        <v>40</v>
      </c>
      <c r="D18" s="2">
        <v>1281053338.51</v>
      </c>
      <c r="E18" s="3">
        <f t="shared" si="0"/>
        <v>4.4949946126807028E-2</v>
      </c>
      <c r="F18" s="4">
        <v>27.4</v>
      </c>
      <c r="G18" s="4">
        <v>28.01</v>
      </c>
      <c r="H18" s="60">
        <v>8834</v>
      </c>
      <c r="I18" s="5">
        <v>2.1999999999999999E-2</v>
      </c>
      <c r="J18" s="5">
        <v>8.9800000000000005E-2</v>
      </c>
      <c r="K18" s="2">
        <v>1279263952.53</v>
      </c>
      <c r="L18" s="3">
        <f t="shared" si="1"/>
        <v>4.5930023679514785E-2</v>
      </c>
      <c r="M18" s="4">
        <v>27.19</v>
      </c>
      <c r="N18" s="4">
        <v>27.79</v>
      </c>
      <c r="O18" s="60">
        <v>8834</v>
      </c>
      <c r="P18" s="5">
        <v>-8.9999999999999998E-4</v>
      </c>
      <c r="Q18" s="5">
        <v>8.14E-2</v>
      </c>
      <c r="R18" s="80">
        <f t="shared" si="2"/>
        <v>-1.3968083343674539E-3</v>
      </c>
      <c r="S18" s="80">
        <f t="shared" si="3"/>
        <v>-7.8543377365227571E-3</v>
      </c>
      <c r="T18" s="80">
        <f t="shared" si="4"/>
        <v>0</v>
      </c>
      <c r="U18" s="81">
        <f t="shared" si="5"/>
        <v>-2.29E-2</v>
      </c>
      <c r="V18" s="83">
        <f t="shared" si="6"/>
        <v>-8.4000000000000047E-3</v>
      </c>
    </row>
    <row r="19" spans="1:22" ht="12.75" customHeight="1">
      <c r="A19" s="75">
        <v>14</v>
      </c>
      <c r="B19" s="125" t="s">
        <v>41</v>
      </c>
      <c r="C19" s="126" t="s">
        <v>42</v>
      </c>
      <c r="D19" s="2">
        <v>633799285.67999995</v>
      </c>
      <c r="E19" s="3">
        <f t="shared" si="0"/>
        <v>2.2238920808450309E-2</v>
      </c>
      <c r="F19" s="4">
        <v>6082.02</v>
      </c>
      <c r="G19" s="4">
        <v>6158.16</v>
      </c>
      <c r="H19" s="60">
        <v>22</v>
      </c>
      <c r="I19" s="5">
        <v>2.1100000000000001E-2</v>
      </c>
      <c r="J19" s="5">
        <v>0.13039999999999999</v>
      </c>
      <c r="K19" s="2">
        <v>615334391.85000002</v>
      </c>
      <c r="L19" s="3">
        <f t="shared" si="1"/>
        <v>2.209264408068088E-2</v>
      </c>
      <c r="M19" s="4">
        <v>5905.42</v>
      </c>
      <c r="N19" s="4">
        <v>5978.35</v>
      </c>
      <c r="O19" s="60">
        <v>22</v>
      </c>
      <c r="P19" s="5">
        <v>-2.92E-2</v>
      </c>
      <c r="Q19" s="5">
        <v>9.74E-2</v>
      </c>
      <c r="R19" s="80">
        <f t="shared" si="2"/>
        <v>-2.913366147168979E-2</v>
      </c>
      <c r="S19" s="80">
        <f t="shared" si="3"/>
        <v>-2.919865674162404E-2</v>
      </c>
      <c r="T19" s="80">
        <f t="shared" si="4"/>
        <v>0</v>
      </c>
      <c r="U19" s="81">
        <f t="shared" si="5"/>
        <v>-5.0299999999999997E-2</v>
      </c>
      <c r="V19" s="83">
        <f t="shared" si="6"/>
        <v>-3.2999999999999988E-2</v>
      </c>
    </row>
    <row r="20" spans="1:22">
      <c r="A20" s="75">
        <v>15</v>
      </c>
      <c r="B20" s="125" t="s">
        <v>43</v>
      </c>
      <c r="C20" s="126" t="s">
        <v>42</v>
      </c>
      <c r="D20" s="4">
        <v>11801033749.75</v>
      </c>
      <c r="E20" s="3">
        <f t="shared" si="0"/>
        <v>0.41407786494578752</v>
      </c>
      <c r="F20" s="4">
        <v>19639.89</v>
      </c>
      <c r="G20" s="4">
        <v>19882.55</v>
      </c>
      <c r="H20" s="60">
        <v>17363</v>
      </c>
      <c r="I20" s="5">
        <v>6.7000000000000002E-3</v>
      </c>
      <c r="J20" s="5">
        <v>8.2699999999999996E-2</v>
      </c>
      <c r="K20" s="4">
        <v>11582450047.4</v>
      </c>
      <c r="L20" s="3">
        <f t="shared" si="1"/>
        <v>0.41585022691507728</v>
      </c>
      <c r="M20" s="4">
        <v>19274.36</v>
      </c>
      <c r="N20" s="4">
        <v>19539.02</v>
      </c>
      <c r="O20" s="60">
        <v>17393</v>
      </c>
      <c r="P20" s="5">
        <v>-1.7299999999999999E-2</v>
      </c>
      <c r="Q20" s="5">
        <v>6.4000000000000001E-2</v>
      </c>
      <c r="R20" s="80">
        <f t="shared" si="2"/>
        <v>-1.8522419898564478E-2</v>
      </c>
      <c r="S20" s="80">
        <f t="shared" si="3"/>
        <v>-1.7277964848573187E-2</v>
      </c>
      <c r="T20" s="80">
        <f t="shared" si="4"/>
        <v>1.7278120140528711E-3</v>
      </c>
      <c r="U20" s="81">
        <f t="shared" si="5"/>
        <v>-2.4E-2</v>
      </c>
      <c r="V20" s="83">
        <f t="shared" si="6"/>
        <v>-1.8699999999999994E-2</v>
      </c>
    </row>
    <row r="21" spans="1:22">
      <c r="A21" s="75">
        <v>16</v>
      </c>
      <c r="B21" s="126" t="s">
        <v>44</v>
      </c>
      <c r="C21" s="126" t="s">
        <v>45</v>
      </c>
      <c r="D21" s="4">
        <v>3297698216.3899999</v>
      </c>
      <c r="E21" s="3">
        <f t="shared" si="0"/>
        <v>0.11571052719913037</v>
      </c>
      <c r="F21" s="4">
        <v>1.6002000000000001</v>
      </c>
      <c r="G21" s="8">
        <v>1.6173</v>
      </c>
      <c r="H21" s="60">
        <v>3738</v>
      </c>
      <c r="I21" s="5">
        <v>2.3099999999999999E-2</v>
      </c>
      <c r="J21" s="5">
        <v>0.17749999999999999</v>
      </c>
      <c r="K21" s="4">
        <v>3098936053.8299999</v>
      </c>
      <c r="L21" s="3">
        <f t="shared" si="1"/>
        <v>0.11126257880730531</v>
      </c>
      <c r="M21" s="4">
        <v>1.5104</v>
      </c>
      <c r="N21" s="8">
        <v>1.5269999999999999</v>
      </c>
      <c r="O21" s="60">
        <v>3748</v>
      </c>
      <c r="P21" s="5">
        <v>-5.5899999999999998E-2</v>
      </c>
      <c r="Q21" s="5">
        <v>0.1114</v>
      </c>
      <c r="R21" s="80">
        <f t="shared" si="2"/>
        <v>-6.0272999382455769E-2</v>
      </c>
      <c r="S21" s="80">
        <f t="shared" si="3"/>
        <v>-5.5833797069189423E-2</v>
      </c>
      <c r="T21" s="80">
        <f t="shared" si="4"/>
        <v>2.6752273943285178E-3</v>
      </c>
      <c r="U21" s="81">
        <f t="shared" si="5"/>
        <v>-7.9000000000000001E-2</v>
      </c>
      <c r="V21" s="83">
        <f t="shared" si="6"/>
        <v>-6.6099999999999992E-2</v>
      </c>
    </row>
    <row r="22" spans="1:22">
      <c r="A22" s="75"/>
      <c r="B22" s="19"/>
      <c r="C22" s="71" t="s">
        <v>46</v>
      </c>
      <c r="D22" s="58">
        <f>SUM(D6:D21)</f>
        <v>28499552255.214199</v>
      </c>
      <c r="E22" s="100">
        <f>(D22/$D$186)</f>
        <v>1.0775496356873143E-2</v>
      </c>
      <c r="F22" s="30"/>
      <c r="G22" s="31"/>
      <c r="H22" s="65">
        <f>SUM(H6:H21)</f>
        <v>48824</v>
      </c>
      <c r="I22" s="28"/>
      <c r="J22" s="60">
        <v>0</v>
      </c>
      <c r="K22" s="58">
        <f>SUM(K6:K21)</f>
        <v>27852455758.705902</v>
      </c>
      <c r="L22" s="100">
        <f>(K22/$K$186)</f>
        <v>1.0755239688759575E-2</v>
      </c>
      <c r="M22" s="30"/>
      <c r="N22" s="31"/>
      <c r="O22" s="65">
        <f>SUM(O6:O21)</f>
        <v>48882</v>
      </c>
      <c r="P22" s="28"/>
      <c r="Q22" s="65"/>
      <c r="R22" s="80">
        <f t="shared" si="2"/>
        <v>-2.2705496939514409E-2</v>
      </c>
      <c r="S22" s="80" t="e">
        <f t="shared" si="3"/>
        <v>#DIV/0!</v>
      </c>
      <c r="T22" s="80">
        <f t="shared" si="4"/>
        <v>1.1879403572013763E-3</v>
      </c>
      <c r="U22" s="81">
        <f t="shared" si="5"/>
        <v>0</v>
      </c>
      <c r="V22" s="83">
        <f t="shared" si="6"/>
        <v>0</v>
      </c>
    </row>
    <row r="23" spans="1:22" ht="9" customHeight="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</row>
    <row r="24" spans="1:22" ht="15" customHeight="1">
      <c r="A24" s="168" t="s">
        <v>47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</row>
    <row r="25" spans="1:22">
      <c r="A25" s="75">
        <v>17</v>
      </c>
      <c r="B25" s="125" t="s">
        <v>48</v>
      </c>
      <c r="C25" s="126" t="s">
        <v>17</v>
      </c>
      <c r="D25" s="9">
        <v>876354402.94000006</v>
      </c>
      <c r="E25" s="3">
        <f>(D25/$K$56)</f>
        <v>9.4015776975092387E-4</v>
      </c>
      <c r="F25" s="8">
        <v>100</v>
      </c>
      <c r="G25" s="8">
        <v>100</v>
      </c>
      <c r="H25" s="60">
        <v>761</v>
      </c>
      <c r="I25" s="5">
        <v>0.1431</v>
      </c>
      <c r="J25" s="5">
        <v>0.1431</v>
      </c>
      <c r="K25" s="9">
        <v>888827947.50999999</v>
      </c>
      <c r="L25" s="3">
        <f t="shared" ref="L25:L55" si="7">(K25/$K$56)</f>
        <v>9.5353945620617266E-4</v>
      </c>
      <c r="M25" s="8">
        <v>100</v>
      </c>
      <c r="N25" s="8">
        <v>100</v>
      </c>
      <c r="O25" s="60">
        <v>773</v>
      </c>
      <c r="P25" s="5">
        <v>0.14069999999999999</v>
      </c>
      <c r="Q25" s="5">
        <v>0.14069999999999999</v>
      </c>
      <c r="R25" s="80">
        <f>((K25-D25)/D25)</f>
        <v>1.4233447710371052E-2</v>
      </c>
      <c r="S25" s="80">
        <f>((N25-G25)/G25)</f>
        <v>0</v>
      </c>
      <c r="T25" s="80">
        <f>((O25-H25)/H25)</f>
        <v>1.5768725361366621E-2</v>
      </c>
      <c r="U25" s="81">
        <f>P25-I25</f>
        <v>-2.4000000000000132E-3</v>
      </c>
      <c r="V25" s="83">
        <f>Q25-J25</f>
        <v>-2.4000000000000132E-3</v>
      </c>
    </row>
    <row r="26" spans="1:22">
      <c r="A26" s="75">
        <v>18</v>
      </c>
      <c r="B26" s="125" t="s">
        <v>49</v>
      </c>
      <c r="C26" s="126" t="s">
        <v>50</v>
      </c>
      <c r="D26" s="9">
        <v>5234313990.7700005</v>
      </c>
      <c r="E26" s="3">
        <f t="shared" ref="E26:E55" si="8">(D26/$K$56)</f>
        <v>5.6154005174494518E-3</v>
      </c>
      <c r="F26" s="8">
        <v>100</v>
      </c>
      <c r="G26" s="8">
        <v>100</v>
      </c>
      <c r="H26" s="60">
        <v>1368</v>
      </c>
      <c r="I26" s="5">
        <v>0.1578</v>
      </c>
      <c r="J26" s="5">
        <v>0.1578</v>
      </c>
      <c r="K26" s="9">
        <v>5238606546.6599998</v>
      </c>
      <c r="L26" s="3">
        <f t="shared" si="7"/>
        <v>5.6200055947544028E-3</v>
      </c>
      <c r="M26" s="8">
        <v>100</v>
      </c>
      <c r="N26" s="8">
        <v>100</v>
      </c>
      <c r="O26" s="60">
        <v>1259</v>
      </c>
      <c r="P26" s="5">
        <v>0.15340000000000001</v>
      </c>
      <c r="Q26" s="5">
        <v>0.15340000000000001</v>
      </c>
      <c r="R26" s="80">
        <f t="shared" ref="R26:R56" si="9">((K26-D26)/D26)</f>
        <v>8.2007993742231114E-4</v>
      </c>
      <c r="S26" s="80">
        <f t="shared" ref="S26:S56" si="10">((N26-G26)/G26)</f>
        <v>0</v>
      </c>
      <c r="T26" s="80">
        <f t="shared" ref="T26:T56" si="11">((O26-H26)/H26)</f>
        <v>-7.9678362573099418E-2</v>
      </c>
      <c r="U26" s="81">
        <f t="shared" ref="U26:U56" si="12">P26-I26</f>
        <v>-4.3999999999999873E-3</v>
      </c>
      <c r="V26" s="83">
        <f t="shared" ref="V26:V56" si="13">Q26-J26</f>
        <v>-4.3999999999999873E-3</v>
      </c>
    </row>
    <row r="27" spans="1:22">
      <c r="A27" s="75">
        <v>19</v>
      </c>
      <c r="B27" s="125" t="s">
        <v>51</v>
      </c>
      <c r="C27" s="126" t="s">
        <v>19</v>
      </c>
      <c r="D27" s="9">
        <v>332889029.97000003</v>
      </c>
      <c r="E27" s="3">
        <f t="shared" si="8"/>
        <v>3.5712516185369263E-4</v>
      </c>
      <c r="F27" s="8">
        <v>100</v>
      </c>
      <c r="G27" s="8">
        <v>100</v>
      </c>
      <c r="H27" s="60">
        <v>1398</v>
      </c>
      <c r="I27" s="5">
        <v>0.13689999999999999</v>
      </c>
      <c r="J27" s="5">
        <v>0.13689999999999999</v>
      </c>
      <c r="K27" s="9">
        <v>339584144.30000001</v>
      </c>
      <c r="L27" s="3">
        <f t="shared" si="7"/>
        <v>3.6430771692000315E-4</v>
      </c>
      <c r="M27" s="8">
        <v>100</v>
      </c>
      <c r="N27" s="8">
        <v>100</v>
      </c>
      <c r="O27" s="60">
        <v>1401</v>
      </c>
      <c r="P27" s="5">
        <v>0.1308</v>
      </c>
      <c r="Q27" s="5">
        <v>0.1308</v>
      </c>
      <c r="R27" s="80">
        <f t="shared" si="9"/>
        <v>2.0112150678571014E-2</v>
      </c>
      <c r="S27" s="80">
        <f t="shared" si="10"/>
        <v>0</v>
      </c>
      <c r="T27" s="80">
        <f t="shared" si="11"/>
        <v>2.1459227467811159E-3</v>
      </c>
      <c r="U27" s="81">
        <f t="shared" si="12"/>
        <v>-6.0999999999999943E-3</v>
      </c>
      <c r="V27" s="83">
        <f t="shared" si="13"/>
        <v>-6.0999999999999943E-3</v>
      </c>
    </row>
    <row r="28" spans="1:22">
      <c r="A28" s="75">
        <v>20</v>
      </c>
      <c r="B28" s="125" t="s">
        <v>52</v>
      </c>
      <c r="C28" s="126" t="s">
        <v>21</v>
      </c>
      <c r="D28" s="9">
        <v>84102313240.229996</v>
      </c>
      <c r="E28" s="3">
        <f t="shared" si="8"/>
        <v>9.0225419055995487E-2</v>
      </c>
      <c r="F28" s="8">
        <v>1</v>
      </c>
      <c r="G28" s="8">
        <v>1</v>
      </c>
      <c r="H28" s="60">
        <v>56832</v>
      </c>
      <c r="I28" s="5">
        <v>0.14280000000000001</v>
      </c>
      <c r="J28" s="5">
        <v>0.14280000000000001</v>
      </c>
      <c r="K28" s="9">
        <v>86067843535.199997</v>
      </c>
      <c r="L28" s="3">
        <f t="shared" si="7"/>
        <v>9.2334050646477026E-2</v>
      </c>
      <c r="M28" s="8">
        <v>1</v>
      </c>
      <c r="N28" s="8">
        <v>1</v>
      </c>
      <c r="O28" s="60">
        <v>56967</v>
      </c>
      <c r="P28" s="5">
        <v>0.1389</v>
      </c>
      <c r="Q28" s="5">
        <v>0.1389</v>
      </c>
      <c r="R28" s="80">
        <f t="shared" si="9"/>
        <v>2.3370704315298165E-2</v>
      </c>
      <c r="S28" s="80">
        <f t="shared" si="10"/>
        <v>0</v>
      </c>
      <c r="T28" s="80">
        <f t="shared" si="11"/>
        <v>2.3754222972972973E-3</v>
      </c>
      <c r="U28" s="81">
        <f t="shared" si="12"/>
        <v>-3.9000000000000146E-3</v>
      </c>
      <c r="V28" s="83">
        <f t="shared" si="13"/>
        <v>-3.9000000000000146E-3</v>
      </c>
    </row>
    <row r="29" spans="1:22">
      <c r="A29" s="75">
        <v>21</v>
      </c>
      <c r="B29" s="125" t="s">
        <v>53</v>
      </c>
      <c r="C29" s="126" t="s">
        <v>23</v>
      </c>
      <c r="D29" s="9">
        <v>48932224857.699997</v>
      </c>
      <c r="E29" s="3">
        <f t="shared" si="8"/>
        <v>5.2494756957723217E-2</v>
      </c>
      <c r="F29" s="8">
        <v>1</v>
      </c>
      <c r="G29" s="8">
        <v>1</v>
      </c>
      <c r="H29" s="60">
        <v>26994</v>
      </c>
      <c r="I29" s="5">
        <v>0.1482</v>
      </c>
      <c r="J29" s="5">
        <v>0.1482</v>
      </c>
      <c r="K29" s="9">
        <v>48932224857.699997</v>
      </c>
      <c r="L29" s="3">
        <f t="shared" si="7"/>
        <v>5.2494756957723217E-2</v>
      </c>
      <c r="M29" s="8">
        <v>1</v>
      </c>
      <c r="N29" s="8">
        <v>1</v>
      </c>
      <c r="O29" s="60">
        <v>27138</v>
      </c>
      <c r="P29" s="5">
        <v>0.15359999999999999</v>
      </c>
      <c r="Q29" s="5">
        <v>0.15359999999999999</v>
      </c>
      <c r="R29" s="80">
        <f t="shared" si="9"/>
        <v>0</v>
      </c>
      <c r="S29" s="80">
        <f t="shared" si="10"/>
        <v>0</v>
      </c>
      <c r="T29" s="80">
        <f t="shared" si="11"/>
        <v>5.3345187819515451E-3</v>
      </c>
      <c r="U29" s="81">
        <f t="shared" si="12"/>
        <v>5.3999999999999881E-3</v>
      </c>
      <c r="V29" s="83">
        <f t="shared" si="13"/>
        <v>5.3999999999999881E-3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8717517256.0799999</v>
      </c>
      <c r="E30" s="3">
        <f t="shared" si="8"/>
        <v>9.3521999247631986E-3</v>
      </c>
      <c r="F30" s="8">
        <v>100</v>
      </c>
      <c r="G30" s="8">
        <v>100</v>
      </c>
      <c r="H30" s="60">
        <v>2891</v>
      </c>
      <c r="I30" s="5">
        <v>0.16200000000000001</v>
      </c>
      <c r="J30" s="5">
        <v>0.16200000000000001</v>
      </c>
      <c r="K30" s="9">
        <v>8386292588</v>
      </c>
      <c r="L30" s="3">
        <f t="shared" si="7"/>
        <v>8.9968602993971535E-3</v>
      </c>
      <c r="M30" s="8">
        <v>100</v>
      </c>
      <c r="N30" s="8">
        <v>100</v>
      </c>
      <c r="O30" s="60">
        <v>2891</v>
      </c>
      <c r="P30" s="5">
        <v>0.16800000000000001</v>
      </c>
      <c r="Q30" s="5">
        <v>0.16800000000000001</v>
      </c>
      <c r="R30" s="80">
        <f t="shared" si="9"/>
        <v>-3.7995298242626194E-2</v>
      </c>
      <c r="S30" s="80">
        <f t="shared" si="10"/>
        <v>0</v>
      </c>
      <c r="T30" s="80">
        <f t="shared" si="11"/>
        <v>0</v>
      </c>
      <c r="U30" s="81">
        <f t="shared" si="12"/>
        <v>6.0000000000000053E-3</v>
      </c>
      <c r="V30" s="83">
        <f t="shared" si="13"/>
        <v>6.0000000000000053E-3</v>
      </c>
    </row>
    <row r="31" spans="1:22">
      <c r="A31" s="75">
        <v>23</v>
      </c>
      <c r="B31" s="125" t="s">
        <v>55</v>
      </c>
      <c r="C31" s="126" t="s">
        <v>56</v>
      </c>
      <c r="D31" s="9">
        <v>14515095078.169998</v>
      </c>
      <c r="E31" s="3">
        <f t="shared" si="8"/>
        <v>1.5571872943906722E-2</v>
      </c>
      <c r="F31" s="8">
        <v>100</v>
      </c>
      <c r="G31" s="8">
        <v>100</v>
      </c>
      <c r="H31" s="60">
        <v>2094</v>
      </c>
      <c r="I31" s="5">
        <v>0.16898411060344201</v>
      </c>
      <c r="J31" s="5">
        <v>0.16898411060344201</v>
      </c>
      <c r="K31" s="9">
        <v>15321852537.689999</v>
      </c>
      <c r="L31" s="3">
        <f t="shared" si="7"/>
        <v>1.6437366734235948E-2</v>
      </c>
      <c r="M31" s="8">
        <v>100</v>
      </c>
      <c r="N31" s="8">
        <v>100</v>
      </c>
      <c r="O31" s="60">
        <v>2112</v>
      </c>
      <c r="P31" s="5">
        <v>0.16584784858732199</v>
      </c>
      <c r="Q31" s="5">
        <v>0.16584784858732199</v>
      </c>
      <c r="R31" s="80">
        <f t="shared" si="9"/>
        <v>5.5580583880110071E-2</v>
      </c>
      <c r="S31" s="80">
        <f t="shared" si="10"/>
        <v>0</v>
      </c>
      <c r="T31" s="80">
        <f t="shared" si="11"/>
        <v>8.5959885386819486E-3</v>
      </c>
      <c r="U31" s="81">
        <f t="shared" si="12"/>
        <v>-3.1362620161200228E-3</v>
      </c>
      <c r="V31" s="83">
        <f t="shared" si="13"/>
        <v>-3.1362620161200228E-3</v>
      </c>
    </row>
    <row r="32" spans="1:22">
      <c r="A32" s="75">
        <v>24</v>
      </c>
      <c r="B32" s="125" t="s">
        <v>57</v>
      </c>
      <c r="C32" s="126" t="s">
        <v>58</v>
      </c>
      <c r="D32" s="9">
        <v>5632728397.96</v>
      </c>
      <c r="E32" s="3">
        <f t="shared" si="8"/>
        <v>6.042821660361233E-3</v>
      </c>
      <c r="F32" s="8">
        <v>100</v>
      </c>
      <c r="G32" s="8">
        <v>100</v>
      </c>
      <c r="H32" s="60">
        <v>5866</v>
      </c>
      <c r="I32" s="5">
        <v>0.15290000000000001</v>
      </c>
      <c r="J32" s="5">
        <v>0.15290000000000001</v>
      </c>
      <c r="K32" s="9">
        <v>5894337087.7700005</v>
      </c>
      <c r="L32" s="3">
        <f t="shared" si="7"/>
        <v>6.3234768856149709E-3</v>
      </c>
      <c r="M32" s="8">
        <v>100</v>
      </c>
      <c r="N32" s="8">
        <v>100</v>
      </c>
      <c r="O32" s="60">
        <v>5879</v>
      </c>
      <c r="P32" s="5">
        <v>0.1525</v>
      </c>
      <c r="Q32" s="5">
        <v>0.1525</v>
      </c>
      <c r="R32" s="80">
        <f t="shared" si="9"/>
        <v>4.6444399823138464E-2</v>
      </c>
      <c r="S32" s="80">
        <f t="shared" si="10"/>
        <v>0</v>
      </c>
      <c r="T32" s="80">
        <f t="shared" si="11"/>
        <v>2.2161609273781109E-3</v>
      </c>
      <c r="U32" s="81">
        <f t="shared" si="12"/>
        <v>-4.0000000000001146E-4</v>
      </c>
      <c r="V32" s="83">
        <f t="shared" si="13"/>
        <v>-4.0000000000001146E-4</v>
      </c>
    </row>
    <row r="33" spans="1:22">
      <c r="A33" s="75">
        <v>25</v>
      </c>
      <c r="B33" s="125" t="s">
        <v>59</v>
      </c>
      <c r="C33" s="126" t="s">
        <v>60</v>
      </c>
      <c r="D33" s="9">
        <v>44514190.369999997</v>
      </c>
      <c r="E33" s="3">
        <f t="shared" si="8"/>
        <v>4.7755065530711492E-5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4.7755065530711492E-5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5218394491.4799995</v>
      </c>
      <c r="E34" s="3">
        <f t="shared" si="8"/>
        <v>5.5983219920288825E-3</v>
      </c>
      <c r="F34" s="8">
        <v>1</v>
      </c>
      <c r="G34" s="8">
        <v>1</v>
      </c>
      <c r="H34" s="60">
        <v>2172</v>
      </c>
      <c r="I34" s="5">
        <v>0.14080000000000001</v>
      </c>
      <c r="J34" s="5">
        <v>0.14080000000000001</v>
      </c>
      <c r="K34" s="9">
        <v>5261897099.2700005</v>
      </c>
      <c r="L34" s="3">
        <f t="shared" si="7"/>
        <v>5.6449918262660211E-3</v>
      </c>
      <c r="M34" s="8">
        <v>1</v>
      </c>
      <c r="N34" s="8">
        <v>1</v>
      </c>
      <c r="O34" s="60">
        <v>2181</v>
      </c>
      <c r="P34" s="5">
        <v>0.13220000000000001</v>
      </c>
      <c r="Q34" s="5">
        <v>0.13220000000000001</v>
      </c>
      <c r="R34" s="80">
        <f t="shared" si="9"/>
        <v>8.3363969245765189E-3</v>
      </c>
      <c r="S34" s="80">
        <f t="shared" si="10"/>
        <v>0</v>
      </c>
      <c r="T34" s="80">
        <f t="shared" si="11"/>
        <v>4.1436464088397788E-3</v>
      </c>
      <c r="U34" s="81">
        <f t="shared" si="12"/>
        <v>-8.5999999999999965E-3</v>
      </c>
      <c r="V34" s="83">
        <f t="shared" si="13"/>
        <v>-8.5999999999999965E-3</v>
      </c>
    </row>
    <row r="35" spans="1:22">
      <c r="A35" s="75">
        <v>27</v>
      </c>
      <c r="B35" s="125" t="s">
        <v>63</v>
      </c>
      <c r="C35" s="126" t="s">
        <v>64</v>
      </c>
      <c r="D35" s="9">
        <v>12678502906.73</v>
      </c>
      <c r="E35" s="3">
        <f t="shared" si="8"/>
        <v>1.3601566873611035E-2</v>
      </c>
      <c r="F35" s="11">
        <v>100</v>
      </c>
      <c r="G35" s="11">
        <v>100</v>
      </c>
      <c r="H35" s="60">
        <v>2619</v>
      </c>
      <c r="I35" s="5">
        <v>0.1502</v>
      </c>
      <c r="J35" s="5">
        <v>0.1502</v>
      </c>
      <c r="K35" s="9">
        <v>12891030195.940001</v>
      </c>
      <c r="L35" s="3">
        <f t="shared" si="7"/>
        <v>1.3829567305359381E-2</v>
      </c>
      <c r="M35" s="11">
        <v>100</v>
      </c>
      <c r="N35" s="11">
        <v>100</v>
      </c>
      <c r="O35" s="60">
        <v>2619</v>
      </c>
      <c r="P35" s="5">
        <v>0.16220000000000001</v>
      </c>
      <c r="Q35" s="5">
        <v>0.16220000000000001</v>
      </c>
      <c r="R35" s="80">
        <f t="shared" si="9"/>
        <v>1.6762806363927029E-2</v>
      </c>
      <c r="S35" s="80">
        <f t="shared" si="10"/>
        <v>0</v>
      </c>
      <c r="T35" s="80">
        <f t="shared" si="11"/>
        <v>0</v>
      </c>
      <c r="U35" s="81">
        <f t="shared" si="12"/>
        <v>1.2000000000000011E-2</v>
      </c>
      <c r="V35" s="83">
        <f t="shared" si="13"/>
        <v>1.2000000000000011E-2</v>
      </c>
    </row>
    <row r="36" spans="1:22">
      <c r="A36" s="75">
        <v>28</v>
      </c>
      <c r="B36" s="125" t="s">
        <v>65</v>
      </c>
      <c r="C36" s="126" t="s">
        <v>64</v>
      </c>
      <c r="D36" s="9">
        <v>913575832.90999997</v>
      </c>
      <c r="E36" s="3">
        <f t="shared" si="8"/>
        <v>9.8008912226097821E-4</v>
      </c>
      <c r="F36" s="11">
        <v>1000000</v>
      </c>
      <c r="G36" s="11">
        <v>1000000</v>
      </c>
      <c r="H36" s="60">
        <v>5</v>
      </c>
      <c r="I36" s="5">
        <v>0.13339999999999999</v>
      </c>
      <c r="J36" s="5">
        <v>0.13339999999999999</v>
      </c>
      <c r="K36" s="9">
        <v>911620715.80999994</v>
      </c>
      <c r="L36" s="3">
        <f t="shared" si="7"/>
        <v>9.7799166200269517E-4</v>
      </c>
      <c r="M36" s="11">
        <v>1000000</v>
      </c>
      <c r="N36" s="11">
        <v>1000000</v>
      </c>
      <c r="O36" s="60">
        <v>5</v>
      </c>
      <c r="P36" s="5">
        <v>8.7999999999999995E-2</v>
      </c>
      <c r="Q36" s="5">
        <v>8.7999999999999995E-2</v>
      </c>
      <c r="R36" s="80">
        <f t="shared" si="9"/>
        <v>-2.1400709493074235E-3</v>
      </c>
      <c r="S36" s="80">
        <f t="shared" si="10"/>
        <v>0</v>
      </c>
      <c r="T36" s="80">
        <f t="shared" si="11"/>
        <v>0</v>
      </c>
      <c r="U36" s="81">
        <f t="shared" si="12"/>
        <v>-4.5399999999999996E-2</v>
      </c>
      <c r="V36" s="83">
        <f t="shared" si="13"/>
        <v>-4.5399999999999996E-2</v>
      </c>
    </row>
    <row r="37" spans="1:22">
      <c r="A37" s="75">
        <v>29</v>
      </c>
      <c r="B37" s="125" t="s">
        <v>66</v>
      </c>
      <c r="C37" s="126" t="s">
        <v>67</v>
      </c>
      <c r="D37" s="9">
        <v>3404544237.5599999</v>
      </c>
      <c r="E37" s="3">
        <f t="shared" si="8"/>
        <v>3.6524135745363666E-3</v>
      </c>
      <c r="F37" s="8">
        <v>1</v>
      </c>
      <c r="G37" s="8">
        <v>1</v>
      </c>
      <c r="H37" s="60">
        <v>475</v>
      </c>
      <c r="I37" s="5">
        <v>0.17380000000000001</v>
      </c>
      <c r="J37" s="5">
        <v>0.17380000000000001</v>
      </c>
      <c r="K37" s="9">
        <v>3528246541</v>
      </c>
      <c r="L37" s="3">
        <f t="shared" si="7"/>
        <v>3.7851220784533204E-3</v>
      </c>
      <c r="M37" s="8">
        <v>1</v>
      </c>
      <c r="N37" s="8">
        <v>1</v>
      </c>
      <c r="O37" s="60">
        <v>475</v>
      </c>
      <c r="P37" s="5">
        <v>0.1779</v>
      </c>
      <c r="Q37" s="5">
        <v>0.1779</v>
      </c>
      <c r="R37" s="80">
        <f t="shared" si="9"/>
        <v>3.6334467937081692E-2</v>
      </c>
      <c r="S37" s="80">
        <f t="shared" si="10"/>
        <v>0</v>
      </c>
      <c r="T37" s="80">
        <f t="shared" si="11"/>
        <v>0</v>
      </c>
      <c r="U37" s="81">
        <f t="shared" si="12"/>
        <v>4.0999999999999925E-3</v>
      </c>
      <c r="V37" s="83">
        <f t="shared" si="13"/>
        <v>4.0999999999999925E-3</v>
      </c>
    </row>
    <row r="38" spans="1:22">
      <c r="A38" s="75">
        <v>30</v>
      </c>
      <c r="B38" s="125" t="s">
        <v>68</v>
      </c>
      <c r="C38" s="126" t="s">
        <v>27</v>
      </c>
      <c r="D38" s="9">
        <v>207484235238.29999</v>
      </c>
      <c r="E38" s="3">
        <f t="shared" si="8"/>
        <v>0.2225902160195703</v>
      </c>
      <c r="F38" s="8">
        <v>100</v>
      </c>
      <c r="G38" s="8">
        <v>100</v>
      </c>
      <c r="H38" s="60">
        <v>15459</v>
      </c>
      <c r="I38" s="5">
        <v>0.1691</v>
      </c>
      <c r="J38" s="5">
        <v>0.1691</v>
      </c>
      <c r="K38" s="9">
        <v>211746875868.82999</v>
      </c>
      <c r="L38" s="3">
        <f t="shared" si="7"/>
        <v>0.22716320007146093</v>
      </c>
      <c r="M38" s="8">
        <v>100</v>
      </c>
      <c r="N38" s="8">
        <v>100</v>
      </c>
      <c r="O38" s="60">
        <v>14632</v>
      </c>
      <c r="P38" s="5">
        <v>0.16139999999999999</v>
      </c>
      <c r="Q38" s="5">
        <v>0.16139999999999999</v>
      </c>
      <c r="R38" s="80">
        <f t="shared" si="9"/>
        <v>2.0544407268505323E-2</v>
      </c>
      <c r="S38" s="80">
        <f t="shared" si="10"/>
        <v>0</v>
      </c>
      <c r="T38" s="80">
        <f t="shared" si="11"/>
        <v>-5.3496345171097741E-2</v>
      </c>
      <c r="U38" s="81">
        <f t="shared" si="12"/>
        <v>-7.7000000000000124E-3</v>
      </c>
      <c r="V38" s="83">
        <f t="shared" si="13"/>
        <v>-7.7000000000000124E-3</v>
      </c>
    </row>
    <row r="39" spans="1:22">
      <c r="A39" s="75">
        <v>31</v>
      </c>
      <c r="B39" s="125" t="s">
        <v>69</v>
      </c>
      <c r="C39" s="126" t="s">
        <v>70</v>
      </c>
      <c r="D39" s="9">
        <v>289156947.16000003</v>
      </c>
      <c r="E39" s="3">
        <f t="shared" si="8"/>
        <v>3.102091455670405E-4</v>
      </c>
      <c r="F39" s="8">
        <v>1</v>
      </c>
      <c r="G39" s="8">
        <v>1</v>
      </c>
      <c r="H39" s="61">
        <v>471</v>
      </c>
      <c r="I39" s="12">
        <v>0.12970000000000001</v>
      </c>
      <c r="J39" s="12">
        <v>0.12970000000000001</v>
      </c>
      <c r="K39" s="9">
        <v>288309263.23000002</v>
      </c>
      <c r="L39" s="3">
        <f t="shared" si="7"/>
        <v>3.0929974563659128E-4</v>
      </c>
      <c r="M39" s="8">
        <v>1</v>
      </c>
      <c r="N39" s="8">
        <v>1</v>
      </c>
      <c r="O39" s="61">
        <v>477</v>
      </c>
      <c r="P39" s="12">
        <v>4.1399999999999999E-2</v>
      </c>
      <c r="Q39" s="12">
        <v>0.41909999999999997</v>
      </c>
      <c r="R39" s="80">
        <f t="shared" si="9"/>
        <v>-2.9315703403486131E-3</v>
      </c>
      <c r="S39" s="80">
        <f t="shared" si="10"/>
        <v>0</v>
      </c>
      <c r="T39" s="80">
        <f t="shared" si="11"/>
        <v>1.2738853503184714E-2</v>
      </c>
      <c r="U39" s="81">
        <f t="shared" si="12"/>
        <v>-8.8300000000000017E-2</v>
      </c>
      <c r="V39" s="83">
        <f t="shared" si="13"/>
        <v>0.28939999999999999</v>
      </c>
    </row>
    <row r="40" spans="1:22">
      <c r="A40" s="75">
        <v>32</v>
      </c>
      <c r="B40" s="125" t="s">
        <v>71</v>
      </c>
      <c r="C40" s="126" t="s">
        <v>72</v>
      </c>
      <c r="D40" s="9">
        <v>709198800.35000002</v>
      </c>
      <c r="E40" s="3">
        <f t="shared" si="8"/>
        <v>7.608323301740022E-4</v>
      </c>
      <c r="F40" s="8">
        <v>10</v>
      </c>
      <c r="G40" s="8">
        <v>10</v>
      </c>
      <c r="H40" s="60">
        <v>359</v>
      </c>
      <c r="I40" s="5">
        <v>0.10150000000000001</v>
      </c>
      <c r="J40" s="5">
        <v>0.10150000000000001</v>
      </c>
      <c r="K40" s="9">
        <v>731046473.9200002</v>
      </c>
      <c r="L40" s="3">
        <f t="shared" si="7"/>
        <v>7.8427063320404237E-4</v>
      </c>
      <c r="M40" s="8">
        <v>10</v>
      </c>
      <c r="N40" s="8">
        <v>10</v>
      </c>
      <c r="O40" s="60">
        <v>359</v>
      </c>
      <c r="P40" s="5">
        <v>3.3E-3</v>
      </c>
      <c r="Q40" s="5">
        <v>3.4299999999999997E-2</v>
      </c>
      <c r="R40" s="80">
        <f t="shared" si="9"/>
        <v>3.0806134414240443E-2</v>
      </c>
      <c r="S40" s="80">
        <f t="shared" si="10"/>
        <v>0</v>
      </c>
      <c r="T40" s="80">
        <f t="shared" si="11"/>
        <v>0</v>
      </c>
      <c r="U40" s="81">
        <f t="shared" si="12"/>
        <v>-9.820000000000001E-2</v>
      </c>
      <c r="V40" s="83">
        <f t="shared" si="13"/>
        <v>-6.720000000000001E-2</v>
      </c>
    </row>
    <row r="41" spans="1:22">
      <c r="A41" s="75">
        <v>33</v>
      </c>
      <c r="B41" s="125" t="s">
        <v>73</v>
      </c>
      <c r="C41" s="126" t="s">
        <v>74</v>
      </c>
      <c r="D41" s="9">
        <v>3325340639.0445485</v>
      </c>
      <c r="E41" s="3">
        <f t="shared" si="8"/>
        <v>3.567443523280023E-3</v>
      </c>
      <c r="F41" s="8">
        <v>100</v>
      </c>
      <c r="G41" s="8">
        <v>100</v>
      </c>
      <c r="H41" s="60">
        <v>1417</v>
      </c>
      <c r="I41" s="5">
        <v>0.13600000000000001</v>
      </c>
      <c r="J41" s="5">
        <v>0.13600000000000001</v>
      </c>
      <c r="K41" s="9">
        <v>3289454749.0513039</v>
      </c>
      <c r="L41" s="3">
        <f t="shared" si="7"/>
        <v>3.5289449453207063E-3</v>
      </c>
      <c r="M41" s="8">
        <v>100</v>
      </c>
      <c r="N41" s="8">
        <v>100</v>
      </c>
      <c r="O41" s="60">
        <v>1417</v>
      </c>
      <c r="P41" s="5">
        <v>0.13619999999999999</v>
      </c>
      <c r="Q41" s="5">
        <v>0.13619999999999999</v>
      </c>
      <c r="R41" s="80">
        <f t="shared" si="9"/>
        <v>-1.0791643289679803E-2</v>
      </c>
      <c r="S41" s="80">
        <f t="shared" si="10"/>
        <v>0</v>
      </c>
      <c r="T41" s="80">
        <f t="shared" si="11"/>
        <v>0</v>
      </c>
      <c r="U41" s="81">
        <f t="shared" si="12"/>
        <v>1.9999999999997797E-4</v>
      </c>
      <c r="V41" s="83">
        <f t="shared" si="13"/>
        <v>1.9999999999997797E-4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21025724165.195099</v>
      </c>
      <c r="E42" s="3">
        <f t="shared" si="8"/>
        <v>2.2556511238183759E-2</v>
      </c>
      <c r="F42" s="8">
        <v>1</v>
      </c>
      <c r="G42" s="8">
        <v>1</v>
      </c>
      <c r="H42" s="60">
        <v>11522</v>
      </c>
      <c r="I42" s="5">
        <v>0.13804652454559457</v>
      </c>
      <c r="J42" s="5">
        <v>0.13804652454559457</v>
      </c>
      <c r="K42" s="9">
        <v>21023064861.642502</v>
      </c>
      <c r="L42" s="3">
        <f t="shared" si="7"/>
        <v>2.2553658322869232E-2</v>
      </c>
      <c r="M42" s="8">
        <v>1</v>
      </c>
      <c r="N42" s="8">
        <v>1</v>
      </c>
      <c r="O42" s="60">
        <v>11522</v>
      </c>
      <c r="P42" s="5">
        <v>0.1548743818968846</v>
      </c>
      <c r="Q42" s="5">
        <v>0.1548743818968846</v>
      </c>
      <c r="R42" s="80">
        <f t="shared" si="9"/>
        <v>-1.2647857128265385E-4</v>
      </c>
      <c r="S42" s="80">
        <f t="shared" si="10"/>
        <v>0</v>
      </c>
      <c r="T42" s="80">
        <f t="shared" si="11"/>
        <v>0</v>
      </c>
      <c r="U42" s="81">
        <f t="shared" si="12"/>
        <v>1.6827857351290026E-2</v>
      </c>
      <c r="V42" s="83">
        <f t="shared" si="13"/>
        <v>1.6827857351290026E-2</v>
      </c>
    </row>
    <row r="43" spans="1:22">
      <c r="A43" s="75">
        <v>35</v>
      </c>
      <c r="B43" s="125" t="s">
        <v>75</v>
      </c>
      <c r="C43" s="126" t="s">
        <v>34</v>
      </c>
      <c r="D43" s="9">
        <v>3389405701.79</v>
      </c>
      <c r="E43" s="3">
        <f t="shared" si="8"/>
        <v>3.6361728710275236E-3</v>
      </c>
      <c r="F43" s="8">
        <v>1</v>
      </c>
      <c r="G43" s="8">
        <v>1</v>
      </c>
      <c r="H43" s="60">
        <v>867</v>
      </c>
      <c r="I43" s="5">
        <v>0.1384</v>
      </c>
      <c r="J43" s="5">
        <v>9.7199999999999995E-2</v>
      </c>
      <c r="K43" s="9">
        <v>3428849430.5300002</v>
      </c>
      <c r="L43" s="3">
        <f t="shared" si="7"/>
        <v>3.678488317744573E-3</v>
      </c>
      <c r="M43" s="8">
        <v>1</v>
      </c>
      <c r="N43" s="8">
        <v>1</v>
      </c>
      <c r="O43" s="60">
        <v>874</v>
      </c>
      <c r="P43" s="5">
        <v>0.1013</v>
      </c>
      <c r="Q43" s="5">
        <v>0.1013</v>
      </c>
      <c r="R43" s="80">
        <f t="shared" si="9"/>
        <v>1.1637358348447155E-2</v>
      </c>
      <c r="S43" s="80">
        <f t="shared" si="10"/>
        <v>0</v>
      </c>
      <c r="T43" s="80">
        <f t="shared" si="11"/>
        <v>8.0738177623990767E-3</v>
      </c>
      <c r="U43" s="81">
        <f t="shared" si="12"/>
        <v>-3.7099999999999994E-2</v>
      </c>
      <c r="V43" s="83">
        <f t="shared" si="13"/>
        <v>4.1000000000000064E-3</v>
      </c>
    </row>
    <row r="44" spans="1:22">
      <c r="A44" s="75">
        <v>36</v>
      </c>
      <c r="B44" s="125" t="s">
        <v>76</v>
      </c>
      <c r="C44" s="126" t="s">
        <v>36</v>
      </c>
      <c r="D44" s="13">
        <v>4269020313.0300002</v>
      </c>
      <c r="E44" s="3">
        <f t="shared" si="8"/>
        <v>4.5798282099741615E-3</v>
      </c>
      <c r="F44" s="8">
        <v>10</v>
      </c>
      <c r="G44" s="8">
        <v>10</v>
      </c>
      <c r="H44" s="60">
        <v>1921</v>
      </c>
      <c r="I44" s="5">
        <v>0.1787</v>
      </c>
      <c r="J44" s="5">
        <v>0.1787</v>
      </c>
      <c r="K44" s="13">
        <v>4124262371.29</v>
      </c>
      <c r="L44" s="3">
        <f t="shared" si="7"/>
        <v>4.4245311027725099E-3</v>
      </c>
      <c r="M44" s="8">
        <v>10</v>
      </c>
      <c r="N44" s="8">
        <v>10</v>
      </c>
      <c r="O44" s="60">
        <v>1968</v>
      </c>
      <c r="P44" s="5">
        <v>0.17510000000000001</v>
      </c>
      <c r="Q44" s="5">
        <v>0.17510000000000001</v>
      </c>
      <c r="R44" s="80">
        <f t="shared" si="9"/>
        <v>-3.3908937209356158E-2</v>
      </c>
      <c r="S44" s="80">
        <f t="shared" si="10"/>
        <v>0</v>
      </c>
      <c r="T44" s="80">
        <f t="shared" si="11"/>
        <v>2.4466423737636647E-2</v>
      </c>
      <c r="U44" s="81">
        <f t="shared" si="12"/>
        <v>-3.5999999999999921E-3</v>
      </c>
      <c r="V44" s="83">
        <f t="shared" si="13"/>
        <v>-3.5999999999999921E-3</v>
      </c>
    </row>
    <row r="45" spans="1:22">
      <c r="A45" s="75">
        <v>37</v>
      </c>
      <c r="B45" s="125" t="s">
        <v>77</v>
      </c>
      <c r="C45" s="126" t="s">
        <v>78</v>
      </c>
      <c r="D45" s="9">
        <v>4116501856.3400002</v>
      </c>
      <c r="E45" s="3">
        <f t="shared" si="8"/>
        <v>4.4162055801266102E-3</v>
      </c>
      <c r="F45" s="8">
        <v>100</v>
      </c>
      <c r="G45" s="8">
        <v>100</v>
      </c>
      <c r="H45" s="60">
        <v>2106</v>
      </c>
      <c r="I45" s="5">
        <v>0.16900000000000001</v>
      </c>
      <c r="J45" s="5">
        <v>0.16900000000000001</v>
      </c>
      <c r="K45" s="9">
        <v>4230349659.0100002</v>
      </c>
      <c r="L45" s="3">
        <f t="shared" si="7"/>
        <v>4.5383421220212931E-3</v>
      </c>
      <c r="M45" s="8">
        <v>100</v>
      </c>
      <c r="N45" s="8">
        <v>100</v>
      </c>
      <c r="O45" s="60">
        <v>2123</v>
      </c>
      <c r="P45" s="5">
        <v>0.14369999999999999</v>
      </c>
      <c r="Q45" s="5">
        <v>0.14369999999999999</v>
      </c>
      <c r="R45" s="80">
        <f t="shared" si="9"/>
        <v>2.7656443903859344E-2</v>
      </c>
      <c r="S45" s="80">
        <f t="shared" si="10"/>
        <v>0</v>
      </c>
      <c r="T45" s="80">
        <f t="shared" si="11"/>
        <v>8.0721747388414061E-3</v>
      </c>
      <c r="U45" s="81">
        <f t="shared" si="12"/>
        <v>-2.5300000000000017E-2</v>
      </c>
      <c r="V45" s="83">
        <f t="shared" si="13"/>
        <v>-2.5300000000000017E-2</v>
      </c>
    </row>
    <row r="46" spans="1:22">
      <c r="A46" s="75">
        <v>38</v>
      </c>
      <c r="B46" s="125" t="s">
        <v>79</v>
      </c>
      <c r="C46" s="126" t="s">
        <v>80</v>
      </c>
      <c r="D46" s="9">
        <v>152903265.22</v>
      </c>
      <c r="E46" s="3">
        <f t="shared" si="8"/>
        <v>1.6403545453141442E-4</v>
      </c>
      <c r="F46" s="8">
        <v>1</v>
      </c>
      <c r="G46" s="8">
        <v>1</v>
      </c>
      <c r="H46" s="60">
        <v>70</v>
      </c>
      <c r="I46" s="5">
        <v>0.1137</v>
      </c>
      <c r="J46" s="5">
        <v>0.1137</v>
      </c>
      <c r="K46" s="9">
        <v>154861386.09999999</v>
      </c>
      <c r="L46" s="3">
        <f t="shared" si="7"/>
        <v>1.6613613726121812E-4</v>
      </c>
      <c r="M46" s="8">
        <v>1</v>
      </c>
      <c r="N46" s="8">
        <v>1</v>
      </c>
      <c r="O46" s="60">
        <v>72</v>
      </c>
      <c r="P46" s="5">
        <v>0.11219999999999999</v>
      </c>
      <c r="Q46" s="5">
        <v>0.11219999999999999</v>
      </c>
      <c r="R46" s="80">
        <f t="shared" si="9"/>
        <v>1.2806272496421939E-2</v>
      </c>
      <c r="S46" s="80">
        <f t="shared" si="10"/>
        <v>0</v>
      </c>
      <c r="T46" s="80">
        <f t="shared" si="11"/>
        <v>2.8571428571428571E-2</v>
      </c>
      <c r="U46" s="81">
        <f t="shared" si="12"/>
        <v>-1.5000000000000013E-3</v>
      </c>
      <c r="V46" s="83">
        <f t="shared" si="13"/>
        <v>-1.5000000000000013E-3</v>
      </c>
    </row>
    <row r="47" spans="1:22">
      <c r="A47" s="75">
        <v>39</v>
      </c>
      <c r="B47" s="125" t="s">
        <v>81</v>
      </c>
      <c r="C47" s="126" t="s">
        <v>38</v>
      </c>
      <c r="D47" s="13">
        <v>677826448.78999996</v>
      </c>
      <c r="E47" s="3">
        <f t="shared" si="8"/>
        <v>7.2717590079390024E-4</v>
      </c>
      <c r="F47" s="8">
        <v>10</v>
      </c>
      <c r="G47" s="8">
        <v>10</v>
      </c>
      <c r="H47" s="60">
        <v>665</v>
      </c>
      <c r="I47" s="5">
        <v>0</v>
      </c>
      <c r="J47" s="5">
        <v>0</v>
      </c>
      <c r="K47" s="13">
        <v>677826448.78999996</v>
      </c>
      <c r="L47" s="3">
        <f t="shared" si="7"/>
        <v>7.2717590079390024E-4</v>
      </c>
      <c r="M47" s="8">
        <v>10</v>
      </c>
      <c r="N47" s="8">
        <v>10</v>
      </c>
      <c r="O47" s="60">
        <v>665</v>
      </c>
      <c r="P47" s="5">
        <v>0</v>
      </c>
      <c r="Q47" s="5">
        <v>0</v>
      </c>
      <c r="R47" s="80">
        <f t="shared" si="9"/>
        <v>0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84">
        <v>40</v>
      </c>
      <c r="B48" s="158" t="s">
        <v>247</v>
      </c>
      <c r="C48" s="159" t="s">
        <v>248</v>
      </c>
      <c r="D48" s="13">
        <v>573264795.49000001</v>
      </c>
      <c r="E48" s="3">
        <f t="shared" si="8"/>
        <v>6.1500159044844546E-4</v>
      </c>
      <c r="F48" s="8">
        <v>1</v>
      </c>
      <c r="G48" s="8">
        <v>1</v>
      </c>
      <c r="H48" s="60">
        <v>38</v>
      </c>
      <c r="I48" s="5">
        <v>0.1749</v>
      </c>
      <c r="J48" s="5">
        <v>0.1749</v>
      </c>
      <c r="K48" s="13">
        <v>568679821.48000002</v>
      </c>
      <c r="L48" s="3">
        <f t="shared" si="7"/>
        <v>6.1008280539396719E-4</v>
      </c>
      <c r="M48" s="8">
        <v>1</v>
      </c>
      <c r="N48" s="8">
        <v>1</v>
      </c>
      <c r="O48" s="60">
        <v>39</v>
      </c>
      <c r="P48" s="5">
        <v>0.17480000000000001</v>
      </c>
      <c r="Q48" s="5">
        <v>0.17480000000000001</v>
      </c>
      <c r="R48" s="80">
        <f t="shared" si="9"/>
        <v>-7.9980037952286399E-3</v>
      </c>
      <c r="S48" s="80">
        <f t="shared" si="10"/>
        <v>0</v>
      </c>
      <c r="T48" s="80">
        <f t="shared" si="11"/>
        <v>2.6315789473684209E-2</v>
      </c>
      <c r="U48" s="81">
        <f t="shared" si="12"/>
        <v>-9.9999999999988987E-5</v>
      </c>
      <c r="V48" s="83">
        <f t="shared" si="13"/>
        <v>-9.9999999999988987E-5</v>
      </c>
    </row>
    <row r="49" spans="1:22">
      <c r="A49" s="75">
        <v>41</v>
      </c>
      <c r="B49" s="125" t="s">
        <v>82</v>
      </c>
      <c r="C49" s="126" t="s">
        <v>42</v>
      </c>
      <c r="D49" s="9">
        <v>409880149472.54999</v>
      </c>
      <c r="E49" s="3">
        <f t="shared" si="8"/>
        <v>0.43972165359186444</v>
      </c>
      <c r="F49" s="8">
        <v>100</v>
      </c>
      <c r="G49" s="8">
        <v>100</v>
      </c>
      <c r="H49" s="60">
        <v>117138</v>
      </c>
      <c r="I49" s="5">
        <v>0.155</v>
      </c>
      <c r="J49" s="5">
        <v>0.155</v>
      </c>
      <c r="K49" s="9">
        <v>415064889202.40002</v>
      </c>
      <c r="L49" s="3">
        <f t="shared" si="7"/>
        <v>0.44528387057257673</v>
      </c>
      <c r="M49" s="8">
        <v>100</v>
      </c>
      <c r="N49" s="8">
        <v>100</v>
      </c>
      <c r="O49" s="60">
        <v>117644</v>
      </c>
      <c r="P49" s="5">
        <v>0.15459999999999999</v>
      </c>
      <c r="Q49" s="5">
        <v>0.15459999999999999</v>
      </c>
      <c r="R49" s="80">
        <f t="shared" si="9"/>
        <v>1.2649404311289447E-2</v>
      </c>
      <c r="S49" s="80">
        <f t="shared" si="10"/>
        <v>0</v>
      </c>
      <c r="T49" s="80">
        <f t="shared" si="11"/>
        <v>4.3196913042735921E-3</v>
      </c>
      <c r="U49" s="81">
        <f t="shared" si="12"/>
        <v>-4.0000000000001146E-4</v>
      </c>
      <c r="V49" s="83">
        <f t="shared" si="13"/>
        <v>-4.0000000000001146E-4</v>
      </c>
    </row>
    <row r="50" spans="1:22">
      <c r="A50" s="75">
        <v>42</v>
      </c>
      <c r="B50" s="125" t="s">
        <v>83</v>
      </c>
      <c r="C50" s="126" t="s">
        <v>84</v>
      </c>
      <c r="D50" s="9">
        <v>3088257776.1100001</v>
      </c>
      <c r="E50" s="3">
        <f t="shared" si="8"/>
        <v>3.3130997384882327E-3</v>
      </c>
      <c r="F50" s="8">
        <v>1</v>
      </c>
      <c r="G50" s="8">
        <v>1</v>
      </c>
      <c r="H50" s="60">
        <v>325</v>
      </c>
      <c r="I50" s="5">
        <v>0.15367229289999998</v>
      </c>
      <c r="J50" s="5">
        <v>0.15367229289999998</v>
      </c>
      <c r="K50" s="9">
        <v>3023859072.96</v>
      </c>
      <c r="L50" s="3">
        <f t="shared" si="7"/>
        <v>3.2440124595001438E-3</v>
      </c>
      <c r="M50" s="8">
        <v>1</v>
      </c>
      <c r="N50" s="8">
        <v>1</v>
      </c>
      <c r="O50" s="60">
        <v>323</v>
      </c>
      <c r="P50" s="5">
        <v>0.14810640060000002</v>
      </c>
      <c r="Q50" s="5">
        <v>0.14810640060000002</v>
      </c>
      <c r="R50" s="80">
        <f t="shared" si="9"/>
        <v>-2.0852761595282807E-2</v>
      </c>
      <c r="S50" s="80">
        <f t="shared" si="10"/>
        <v>0</v>
      </c>
      <c r="T50" s="80">
        <f t="shared" si="11"/>
        <v>-6.1538461538461538E-3</v>
      </c>
      <c r="U50" s="81">
        <f t="shared" si="12"/>
        <v>-5.5658922999999583E-3</v>
      </c>
      <c r="V50" s="83">
        <f t="shared" si="13"/>
        <v>-5.5658922999999583E-3</v>
      </c>
    </row>
    <row r="51" spans="1:22">
      <c r="A51" s="75">
        <v>43</v>
      </c>
      <c r="B51" s="125" t="s">
        <v>85</v>
      </c>
      <c r="C51" s="126" t="s">
        <v>45</v>
      </c>
      <c r="D51" s="9">
        <v>39134330372.940002</v>
      </c>
      <c r="E51" s="3">
        <f t="shared" si="8"/>
        <v>4.1983522466125071E-2</v>
      </c>
      <c r="F51" s="8">
        <v>1</v>
      </c>
      <c r="G51" s="8">
        <v>1</v>
      </c>
      <c r="H51" s="60">
        <v>20621</v>
      </c>
      <c r="I51" s="5">
        <v>0.1176</v>
      </c>
      <c r="J51" s="5">
        <v>0.1176</v>
      </c>
      <c r="K51" s="9">
        <v>39556072955.970001</v>
      </c>
      <c r="L51" s="3">
        <f t="shared" si="7"/>
        <v>4.2435970202954233E-2</v>
      </c>
      <c r="M51" s="8">
        <v>1</v>
      </c>
      <c r="N51" s="8">
        <v>1</v>
      </c>
      <c r="O51" s="60">
        <v>20621</v>
      </c>
      <c r="P51" s="5">
        <v>0.1268</v>
      </c>
      <c r="Q51" s="5">
        <v>0.1268</v>
      </c>
      <c r="R51" s="80">
        <f t="shared" si="9"/>
        <v>1.0776793138170541E-2</v>
      </c>
      <c r="S51" s="80">
        <f t="shared" si="10"/>
        <v>0</v>
      </c>
      <c r="T51" s="80">
        <f t="shared" si="11"/>
        <v>0</v>
      </c>
      <c r="U51" s="81">
        <f t="shared" si="12"/>
        <v>9.1999999999999998E-3</v>
      </c>
      <c r="V51" s="83">
        <f t="shared" si="13"/>
        <v>9.1999999999999998E-3</v>
      </c>
    </row>
    <row r="52" spans="1:22">
      <c r="A52" s="75">
        <v>44</v>
      </c>
      <c r="B52" s="125" t="s">
        <v>86</v>
      </c>
      <c r="C52" s="126" t="s">
        <v>87</v>
      </c>
      <c r="D52" s="9">
        <v>1383199071.3</v>
      </c>
      <c r="E52" s="3">
        <f t="shared" si="8"/>
        <v>1.4839034865715066E-3</v>
      </c>
      <c r="F52" s="8">
        <v>1</v>
      </c>
      <c r="G52" s="8">
        <v>1</v>
      </c>
      <c r="H52" s="60">
        <v>79</v>
      </c>
      <c r="I52" s="5">
        <v>0.13439999999999999</v>
      </c>
      <c r="J52" s="5">
        <v>0.13439999999999999</v>
      </c>
      <c r="K52" s="9">
        <v>1404766664.7599998</v>
      </c>
      <c r="L52" s="3">
        <f t="shared" si="7"/>
        <v>1.5070413181362513E-3</v>
      </c>
      <c r="M52" s="8">
        <v>1</v>
      </c>
      <c r="N52" s="8">
        <v>1</v>
      </c>
      <c r="O52" s="60">
        <v>80</v>
      </c>
      <c r="P52" s="5">
        <v>0.1202</v>
      </c>
      <c r="Q52" s="5">
        <v>0.1202</v>
      </c>
      <c r="R52" s="80">
        <f t="shared" si="9"/>
        <v>1.5592544780795357E-2</v>
      </c>
      <c r="S52" s="80">
        <f t="shared" si="10"/>
        <v>0</v>
      </c>
      <c r="T52" s="80">
        <f t="shared" si="11"/>
        <v>1.2658227848101266E-2</v>
      </c>
      <c r="U52" s="81">
        <f t="shared" si="12"/>
        <v>-1.419999999999999E-2</v>
      </c>
      <c r="V52" s="83">
        <f t="shared" si="13"/>
        <v>-1.419999999999999E-2</v>
      </c>
    </row>
    <row r="53" spans="1:22">
      <c r="A53" s="75">
        <v>45</v>
      </c>
      <c r="B53" s="125" t="s">
        <v>88</v>
      </c>
      <c r="C53" s="126" t="s">
        <v>89</v>
      </c>
      <c r="D53" s="9">
        <v>915687989.36000001</v>
      </c>
      <c r="E53" s="3">
        <f t="shared" si="8"/>
        <v>9.8235505518803976E-4</v>
      </c>
      <c r="F53" s="8">
        <v>1</v>
      </c>
      <c r="G53" s="8">
        <v>1</v>
      </c>
      <c r="H53" s="60">
        <v>213</v>
      </c>
      <c r="I53" s="5">
        <v>0.12909999999999999</v>
      </c>
      <c r="J53" s="5">
        <v>0.12909999999999999</v>
      </c>
      <c r="K53" s="9">
        <v>901932561.01999998</v>
      </c>
      <c r="L53" s="3">
        <f t="shared" si="7"/>
        <v>9.6759815685248289E-4</v>
      </c>
      <c r="M53" s="8">
        <v>1</v>
      </c>
      <c r="N53" s="8">
        <v>1</v>
      </c>
      <c r="O53" s="60">
        <v>212</v>
      </c>
      <c r="P53" s="5">
        <v>0.156</v>
      </c>
      <c r="Q53" s="5">
        <v>0.156</v>
      </c>
      <c r="R53" s="80">
        <f t="shared" si="9"/>
        <v>-1.5021959990557578E-2</v>
      </c>
      <c r="S53" s="80">
        <f t="shared" si="10"/>
        <v>0</v>
      </c>
      <c r="T53" s="80">
        <f t="shared" si="11"/>
        <v>-4.6948356807511738E-3</v>
      </c>
      <c r="U53" s="81">
        <f t="shared" si="12"/>
        <v>2.6900000000000007E-2</v>
      </c>
      <c r="V53" s="83">
        <f t="shared" si="13"/>
        <v>2.6900000000000007E-2</v>
      </c>
    </row>
    <row r="54" spans="1:22">
      <c r="A54" s="75">
        <v>46</v>
      </c>
      <c r="B54" s="125" t="s">
        <v>260</v>
      </c>
      <c r="C54" s="126" t="s">
        <v>261</v>
      </c>
      <c r="D54" s="9">
        <v>505907754.76999998</v>
      </c>
      <c r="E54" s="3">
        <f t="shared" si="8"/>
        <v>5.4274059082558735E-4</v>
      </c>
      <c r="F54" s="8">
        <v>1</v>
      </c>
      <c r="G54" s="8">
        <v>1</v>
      </c>
      <c r="H54" s="60">
        <v>363</v>
      </c>
      <c r="I54" s="5">
        <v>0.16689999999999999</v>
      </c>
      <c r="J54" s="5">
        <v>0.16689999999999999</v>
      </c>
      <c r="K54" s="9">
        <v>566549991.36000001</v>
      </c>
      <c r="L54" s="3">
        <f t="shared" si="7"/>
        <v>6.0779791205760694E-4</v>
      </c>
      <c r="M54" s="8">
        <v>1</v>
      </c>
      <c r="N54" s="8">
        <v>1</v>
      </c>
      <c r="O54" s="60">
        <v>450</v>
      </c>
      <c r="P54" s="5">
        <v>0.16</v>
      </c>
      <c r="Q54" s="5">
        <v>0.16</v>
      </c>
      <c r="R54" s="80">
        <f t="shared" si="9"/>
        <v>0.11986816967763167</v>
      </c>
      <c r="S54" s="80">
        <f t="shared" si="10"/>
        <v>0</v>
      </c>
      <c r="T54" s="80">
        <f t="shared" si="11"/>
        <v>0.23966942148760331</v>
      </c>
      <c r="U54" s="81">
        <f t="shared" si="12"/>
        <v>-6.8999999999999895E-3</v>
      </c>
      <c r="V54" s="83">
        <f t="shared" si="13"/>
        <v>-6.8999999999999895E-3</v>
      </c>
    </row>
    <row r="55" spans="1:22">
      <c r="A55" s="75">
        <v>47</v>
      </c>
      <c r="B55" s="125" t="s">
        <v>90</v>
      </c>
      <c r="C55" s="126" t="s">
        <v>91</v>
      </c>
      <c r="D55" s="9">
        <v>27972928053.799999</v>
      </c>
      <c r="E55" s="3">
        <f t="shared" si="8"/>
        <v>3.0009509354018988E-2</v>
      </c>
      <c r="F55" s="8">
        <v>1</v>
      </c>
      <c r="G55" s="8">
        <v>1</v>
      </c>
      <c r="H55" s="60">
        <v>3322</v>
      </c>
      <c r="I55" s="5">
        <v>0.1472</v>
      </c>
      <c r="J55" s="5">
        <v>0.1472</v>
      </c>
      <c r="K55" s="9">
        <v>27646939485.060001</v>
      </c>
      <c r="L55" s="3">
        <f t="shared" si="7"/>
        <v>2.9659787044502763E-2</v>
      </c>
      <c r="M55" s="8">
        <v>1</v>
      </c>
      <c r="N55" s="8">
        <v>1</v>
      </c>
      <c r="O55" s="60">
        <v>3355</v>
      </c>
      <c r="P55" s="5">
        <v>0.1517</v>
      </c>
      <c r="Q55" s="5">
        <v>0.1517</v>
      </c>
      <c r="R55" s="80">
        <f t="shared" si="9"/>
        <v>-1.1653716340063791E-2</v>
      </c>
      <c r="S55" s="80">
        <f t="shared" si="10"/>
        <v>0</v>
      </c>
      <c r="T55" s="80">
        <f t="shared" si="11"/>
        <v>9.9337748344370865E-3</v>
      </c>
      <c r="U55" s="81">
        <f t="shared" si="12"/>
        <v>4.500000000000004E-3</v>
      </c>
      <c r="V55" s="83">
        <f t="shared" si="13"/>
        <v>4.500000000000004E-3</v>
      </c>
    </row>
    <row r="56" spans="1:22">
      <c r="A56" s="75"/>
      <c r="B56" s="19"/>
      <c r="C56" s="71" t="s">
        <v>46</v>
      </c>
      <c r="D56" s="59">
        <f>SUM(D25:D55)</f>
        <v>919496006574.40955</v>
      </c>
      <c r="E56" s="100">
        <f>(D56/$D$186)</f>
        <v>0.34765549227845177</v>
      </c>
      <c r="F56" s="30"/>
      <c r="G56" s="11"/>
      <c r="H56" s="65">
        <f>SUM(H25:H55)</f>
        <v>280431</v>
      </c>
      <c r="I56" s="32"/>
      <c r="J56" s="32"/>
      <c r="K56" s="59">
        <f>SUM(K25:K55)</f>
        <v>932135468254.62366</v>
      </c>
      <c r="L56" s="100">
        <f>(K56/$K$186)</f>
        <v>0.35994457617400494</v>
      </c>
      <c r="M56" s="30"/>
      <c r="N56" s="11"/>
      <c r="O56" s="65">
        <f>SUM(O25:O55)</f>
        <v>280533</v>
      </c>
      <c r="P56" s="32"/>
      <c r="Q56" s="32"/>
      <c r="R56" s="80">
        <f t="shared" si="9"/>
        <v>1.3746075665192432E-2</v>
      </c>
      <c r="S56" s="80" t="e">
        <f t="shared" si="10"/>
        <v>#DIV/0!</v>
      </c>
      <c r="T56" s="80">
        <f t="shared" si="11"/>
        <v>3.6372583630197805E-4</v>
      </c>
      <c r="U56" s="81">
        <f t="shared" si="12"/>
        <v>0</v>
      </c>
      <c r="V56" s="83">
        <f t="shared" si="13"/>
        <v>0</v>
      </c>
    </row>
    <row r="57" spans="1:22" ht="9" customHeight="1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</row>
    <row r="58" spans="1:22" ht="15" customHeight="1">
      <c r="A58" s="168" t="s">
        <v>92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</row>
    <row r="59" spans="1:22" ht="15.75" thickBot="1">
      <c r="A59" s="75">
        <v>48</v>
      </c>
      <c r="B59" s="125" t="s">
        <v>93</v>
      </c>
      <c r="C59" s="126" t="s">
        <v>19</v>
      </c>
      <c r="D59" s="2">
        <v>433893661.26999998</v>
      </c>
      <c r="E59" s="3">
        <f>(D59/$D$93)</f>
        <v>1.5972014400367348E-3</v>
      </c>
      <c r="F59" s="14">
        <v>1.1821999999999999</v>
      </c>
      <c r="G59" s="14">
        <v>1.1821999999999999</v>
      </c>
      <c r="H59" s="60">
        <v>400</v>
      </c>
      <c r="I59" s="5">
        <v>3.3799999999999998E-4</v>
      </c>
      <c r="J59" s="5">
        <v>-7.6499999999999999E-2</v>
      </c>
      <c r="K59" s="2">
        <v>436233368.18000001</v>
      </c>
      <c r="L59" s="3">
        <f t="shared" ref="L59:L79" si="14">(K59/$K$93)</f>
        <v>1.6188446036831347E-3</v>
      </c>
      <c r="M59" s="14">
        <v>1.1887000000000001</v>
      </c>
      <c r="N59" s="14">
        <v>1.1887000000000001</v>
      </c>
      <c r="O59" s="60">
        <v>400</v>
      </c>
      <c r="P59" s="5">
        <v>3.0379999999999999E-3</v>
      </c>
      <c r="Q59" s="5">
        <v>-7.1400000000000005E-2</v>
      </c>
      <c r="R59" s="80">
        <f>((K59-D59)/D59)</f>
        <v>5.3923509810024431E-3</v>
      </c>
      <c r="S59" s="80">
        <f>((N59-G59)/G59)</f>
        <v>5.49822365082065E-3</v>
      </c>
      <c r="T59" s="80">
        <f>((O59-H59)/H59)</f>
        <v>0</v>
      </c>
      <c r="U59" s="81">
        <f>P59-I59</f>
        <v>2.7000000000000001E-3</v>
      </c>
      <c r="V59" s="83">
        <f>Q59-J59</f>
        <v>5.0999999999999934E-3</v>
      </c>
    </row>
    <row r="60" spans="1:22" ht="15.75" thickBot="1">
      <c r="A60" s="75">
        <v>49</v>
      </c>
      <c r="B60" s="125" t="s">
        <v>94</v>
      </c>
      <c r="C60" s="126" t="s">
        <v>21</v>
      </c>
      <c r="D60" s="2">
        <v>1377290701.02</v>
      </c>
      <c r="E60" s="3">
        <f>(D60/$D$93)</f>
        <v>5.0699304630990377E-3</v>
      </c>
      <c r="F60" s="14">
        <v>1.1077999999999999</v>
      </c>
      <c r="G60" s="14">
        <v>1.1077999999999999</v>
      </c>
      <c r="H60" s="60">
        <v>601</v>
      </c>
      <c r="I60" s="5">
        <v>0.16569999999999999</v>
      </c>
      <c r="J60" s="5">
        <v>-0.1857</v>
      </c>
      <c r="K60" s="2">
        <v>1379378870.1500001</v>
      </c>
      <c r="L60" s="3">
        <f t="shared" si="14"/>
        <v>5.1188198869176818E-3</v>
      </c>
      <c r="M60" s="14">
        <v>1.1113</v>
      </c>
      <c r="N60" s="14">
        <v>1.1113</v>
      </c>
      <c r="O60" s="60">
        <v>602</v>
      </c>
      <c r="P60" s="154">
        <v>0.16520000000000001</v>
      </c>
      <c r="Q60" s="5">
        <v>-0.16070000000000001</v>
      </c>
      <c r="R60" s="80">
        <f t="shared" ref="R60:R93" si="15">((K60-D60)/D60)</f>
        <v>1.516142618587092E-3</v>
      </c>
      <c r="S60" s="80">
        <f t="shared" ref="S60:S93" si="16">((N60-G60)/G60)</f>
        <v>3.1594150568695243E-3</v>
      </c>
      <c r="T60" s="80">
        <f t="shared" ref="T60:T93" si="17">((O60-H60)/H60)</f>
        <v>1.6638935108153079E-3</v>
      </c>
      <c r="U60" s="81">
        <f t="shared" ref="U60:U93" si="18">P60-I60</f>
        <v>-4.9999999999997269E-4</v>
      </c>
      <c r="V60" s="83">
        <f t="shared" ref="V60:V93" si="19">Q60-J60</f>
        <v>2.4999999999999994E-2</v>
      </c>
    </row>
    <row r="61" spans="1:22" ht="15.75" thickBot="1">
      <c r="A61" s="75">
        <v>50</v>
      </c>
      <c r="B61" s="125" t="s">
        <v>95</v>
      </c>
      <c r="C61" s="126" t="s">
        <v>21</v>
      </c>
      <c r="D61" s="2">
        <v>906067602.38</v>
      </c>
      <c r="E61" s="3">
        <f>(D61/$D$93)</f>
        <v>3.335316019727314E-3</v>
      </c>
      <c r="F61" s="14">
        <v>1.0251999999999999</v>
      </c>
      <c r="G61" s="14">
        <v>1.0251999999999999</v>
      </c>
      <c r="H61" s="60">
        <v>151</v>
      </c>
      <c r="I61" s="5">
        <v>0.1176</v>
      </c>
      <c r="J61" s="5">
        <v>-0.1729</v>
      </c>
      <c r="K61" s="2">
        <v>892318159.71000004</v>
      </c>
      <c r="L61" s="3">
        <f t="shared" si="14"/>
        <v>3.3113570464397735E-3</v>
      </c>
      <c r="M61" s="14">
        <v>1.0273000000000001</v>
      </c>
      <c r="N61" s="14">
        <v>1.0273000000000001</v>
      </c>
      <c r="O61" s="60">
        <v>151</v>
      </c>
      <c r="P61" s="155">
        <v>0.1071</v>
      </c>
      <c r="Q61" s="5">
        <v>-0.15279999999999999</v>
      </c>
      <c r="R61" s="80">
        <f t="shared" si="15"/>
        <v>-1.517485299538777E-2</v>
      </c>
      <c r="S61" s="80">
        <f t="shared" si="16"/>
        <v>2.0483808037458184E-3</v>
      </c>
      <c r="T61" s="80">
        <f t="shared" si="17"/>
        <v>0</v>
      </c>
      <c r="U61" s="81">
        <f t="shared" si="18"/>
        <v>-1.0499999999999995E-2</v>
      </c>
      <c r="V61" s="83">
        <f t="shared" si="19"/>
        <v>2.0100000000000007E-2</v>
      </c>
    </row>
    <row r="62" spans="1:22">
      <c r="A62" s="75">
        <v>51</v>
      </c>
      <c r="B62" s="125" t="s">
        <v>96</v>
      </c>
      <c r="C62" s="126" t="s">
        <v>97</v>
      </c>
      <c r="D62" s="2">
        <v>264097012.62</v>
      </c>
      <c r="E62" s="3">
        <f>(D62/$D$93)</f>
        <v>9.7216476413002789E-4</v>
      </c>
      <c r="F62" s="7">
        <v>1122.96</v>
      </c>
      <c r="G62" s="7">
        <v>1122.96</v>
      </c>
      <c r="H62" s="60">
        <v>112</v>
      </c>
      <c r="I62" s="5">
        <v>5.3E-3</v>
      </c>
      <c r="J62" s="5">
        <v>3.7000000000000002E-3</v>
      </c>
      <c r="K62" s="2">
        <v>264525186.09</v>
      </c>
      <c r="L62" s="3">
        <f t="shared" si="14"/>
        <v>9.8164239894500205E-4</v>
      </c>
      <c r="M62" s="7">
        <v>1124.78</v>
      </c>
      <c r="N62" s="7">
        <v>1124.78</v>
      </c>
      <c r="O62" s="60">
        <v>112</v>
      </c>
      <c r="P62" s="5">
        <v>1.1999999999999999E-3</v>
      </c>
      <c r="Q62" s="5">
        <v>5.5999999999999999E-3</v>
      </c>
      <c r="R62" s="80">
        <f t="shared" si="15"/>
        <v>1.6212734318811954E-3</v>
      </c>
      <c r="S62" s="80">
        <f t="shared" si="16"/>
        <v>1.6207166773526539E-3</v>
      </c>
      <c r="T62" s="80">
        <f t="shared" si="17"/>
        <v>0</v>
      </c>
      <c r="U62" s="81">
        <f t="shared" si="18"/>
        <v>-4.1000000000000003E-3</v>
      </c>
      <c r="V62" s="83">
        <f t="shared" si="19"/>
        <v>1.8999999999999998E-3</v>
      </c>
    </row>
    <row r="63" spans="1:22" ht="15" customHeight="1">
      <c r="A63" s="75">
        <v>52</v>
      </c>
      <c r="B63" s="125" t="s">
        <v>98</v>
      </c>
      <c r="C63" s="126" t="s">
        <v>99</v>
      </c>
      <c r="D63" s="2">
        <v>1634633490.49</v>
      </c>
      <c r="E63" s="3">
        <f>(D63/$K$93)</f>
        <v>6.0660595866833655E-3</v>
      </c>
      <c r="F63" s="7">
        <v>1.0391999999999999</v>
      </c>
      <c r="G63" s="7">
        <v>1.0391999999999999</v>
      </c>
      <c r="H63" s="60">
        <v>834</v>
      </c>
      <c r="I63" s="5">
        <v>1.6000000000000001E-3</v>
      </c>
      <c r="J63" s="5">
        <v>2.18E-2</v>
      </c>
      <c r="K63" s="2">
        <v>1695888202.28</v>
      </c>
      <c r="L63" s="3">
        <f t="shared" si="14"/>
        <v>6.2933733752757372E-3</v>
      </c>
      <c r="M63" s="7">
        <v>1.0417000000000001</v>
      </c>
      <c r="N63" s="7">
        <v>1.0417000000000001</v>
      </c>
      <c r="O63" s="60">
        <v>836</v>
      </c>
      <c r="P63" s="5">
        <v>2.0999999999999999E-3</v>
      </c>
      <c r="Q63" s="5">
        <v>2.41E-2</v>
      </c>
      <c r="R63" s="80">
        <f t="shared" si="15"/>
        <v>3.7473055670502728E-2</v>
      </c>
      <c r="S63" s="80">
        <f t="shared" si="16"/>
        <v>2.4056966897615176E-3</v>
      </c>
      <c r="T63" s="80">
        <f t="shared" si="17"/>
        <v>2.3980815347721821E-3</v>
      </c>
      <c r="U63" s="81">
        <f t="shared" si="18"/>
        <v>4.9999999999999979E-4</v>
      </c>
      <c r="V63" s="83">
        <v>7.87</v>
      </c>
    </row>
    <row r="64" spans="1:22">
      <c r="A64" s="75">
        <v>53</v>
      </c>
      <c r="B64" s="125" t="s">
        <v>100</v>
      </c>
      <c r="C64" s="126" t="s">
        <v>101</v>
      </c>
      <c r="D64" s="2">
        <v>403445445.58653319</v>
      </c>
      <c r="E64" s="3">
        <f t="shared" ref="E64:E79" si="20">(D64/$D$93)</f>
        <v>1.4851188302243735E-3</v>
      </c>
      <c r="F64" s="7">
        <v>2.2873999999999999</v>
      </c>
      <c r="G64" s="7">
        <v>2.2873999999999999</v>
      </c>
      <c r="H64" s="60">
        <v>1398</v>
      </c>
      <c r="I64" s="5">
        <v>0.1145</v>
      </c>
      <c r="J64" s="5">
        <v>9.35E-2</v>
      </c>
      <c r="K64" s="2">
        <v>403200505.00407952</v>
      </c>
      <c r="L64" s="3">
        <f t="shared" si="14"/>
        <v>1.4962609679570452E-3</v>
      </c>
      <c r="M64" s="7">
        <v>2.2938000000000001</v>
      </c>
      <c r="N64" s="7">
        <v>2.2938000000000001</v>
      </c>
      <c r="O64" s="60">
        <v>1395</v>
      </c>
      <c r="P64" s="5">
        <v>0.14630000000000001</v>
      </c>
      <c r="Q64" s="5">
        <v>9.6600000000000005E-2</v>
      </c>
      <c r="R64" s="80">
        <f t="shared" si="15"/>
        <v>-6.0712194209447813E-4</v>
      </c>
      <c r="S64" s="80">
        <f t="shared" si="16"/>
        <v>2.7979365218152416E-3</v>
      </c>
      <c r="T64" s="80">
        <f t="shared" si="17"/>
        <v>-2.1459227467811159E-3</v>
      </c>
      <c r="U64" s="81">
        <f t="shared" si="18"/>
        <v>3.1800000000000009E-2</v>
      </c>
      <c r="V64" s="83">
        <f t="shared" si="19"/>
        <v>3.1000000000000055E-3</v>
      </c>
    </row>
    <row r="65" spans="1:22">
      <c r="A65" s="75">
        <v>54</v>
      </c>
      <c r="B65" s="125" t="s">
        <v>102</v>
      </c>
      <c r="C65" s="126" t="s">
        <v>56</v>
      </c>
      <c r="D65" s="2">
        <v>2624680304.0043898</v>
      </c>
      <c r="E65" s="3">
        <f t="shared" si="20"/>
        <v>9.661683346379223E-3</v>
      </c>
      <c r="F65" s="2">
        <v>4080.2011779722702</v>
      </c>
      <c r="G65" s="2">
        <v>4080.2011779722702</v>
      </c>
      <c r="H65" s="60">
        <v>1043</v>
      </c>
      <c r="I65" s="5">
        <v>9.4038449991288603E-2</v>
      </c>
      <c r="J65" s="5">
        <v>8.3834675764901834E-2</v>
      </c>
      <c r="K65" s="2">
        <v>2629382740.5808902</v>
      </c>
      <c r="L65" s="3">
        <f t="shared" si="14"/>
        <v>9.7575343178483986E-3</v>
      </c>
      <c r="M65" s="2">
        <v>4087.5365540384701</v>
      </c>
      <c r="N65" s="2">
        <v>4087.5365540384701</v>
      </c>
      <c r="O65" s="60">
        <v>1040</v>
      </c>
      <c r="P65" s="5">
        <v>9.3999133975593979E-2</v>
      </c>
      <c r="Q65" s="5">
        <v>8.4715562120387555E-2</v>
      </c>
      <c r="R65" s="80">
        <f t="shared" si="15"/>
        <v>1.7916226099331262E-3</v>
      </c>
      <c r="S65" s="80">
        <f t="shared" si="16"/>
        <v>1.7977976443419611E-3</v>
      </c>
      <c r="T65" s="80">
        <f t="shared" si="17"/>
        <v>-2.8763183125599234E-3</v>
      </c>
      <c r="U65" s="81">
        <f t="shared" si="18"/>
        <v>-3.9316015694623729E-5</v>
      </c>
      <c r="V65" s="83">
        <f t="shared" si="19"/>
        <v>8.8088635548572158E-4</v>
      </c>
    </row>
    <row r="66" spans="1:22">
      <c r="A66" s="75">
        <v>55</v>
      </c>
      <c r="B66" s="125" t="s">
        <v>103</v>
      </c>
      <c r="C66" s="126" t="s">
        <v>58</v>
      </c>
      <c r="D66" s="2">
        <v>351913797.54000002</v>
      </c>
      <c r="E66" s="3">
        <f t="shared" si="20"/>
        <v>1.2954262170009414E-3</v>
      </c>
      <c r="F66" s="14">
        <v>110.18</v>
      </c>
      <c r="G66" s="14">
        <v>110.18</v>
      </c>
      <c r="H66" s="60">
        <v>126</v>
      </c>
      <c r="I66" s="5">
        <v>1.6000000000000001E-3</v>
      </c>
      <c r="J66" s="5">
        <v>0.1067</v>
      </c>
      <c r="K66" s="2">
        <v>352910162.56</v>
      </c>
      <c r="L66" s="3">
        <f t="shared" si="14"/>
        <v>1.309635516028337E-3</v>
      </c>
      <c r="M66" s="14">
        <v>110.43</v>
      </c>
      <c r="N66" s="14">
        <v>110.43</v>
      </c>
      <c r="O66" s="60">
        <v>126</v>
      </c>
      <c r="P66" s="5">
        <v>2.3E-3</v>
      </c>
      <c r="Q66" s="5">
        <v>0.1067</v>
      </c>
      <c r="R66" s="80">
        <f t="shared" si="15"/>
        <v>2.8312758038045662E-3</v>
      </c>
      <c r="S66" s="80">
        <f t="shared" si="16"/>
        <v>2.2690143401706297E-3</v>
      </c>
      <c r="T66" s="80">
        <f t="shared" si="17"/>
        <v>0</v>
      </c>
      <c r="U66" s="81">
        <f t="shared" si="18"/>
        <v>6.9999999999999988E-4</v>
      </c>
      <c r="V66" s="83">
        <f t="shared" si="19"/>
        <v>0</v>
      </c>
    </row>
    <row r="67" spans="1:22" ht="13.5" customHeight="1">
      <c r="A67" s="75">
        <v>56</v>
      </c>
      <c r="B67" s="125" t="s">
        <v>104</v>
      </c>
      <c r="C67" s="126" t="s">
        <v>105</v>
      </c>
      <c r="D67" s="2">
        <v>307181075.69</v>
      </c>
      <c r="E67" s="3">
        <f t="shared" si="20"/>
        <v>1.1307610602285241E-3</v>
      </c>
      <c r="F67" s="14">
        <v>1.2964</v>
      </c>
      <c r="G67" s="14">
        <v>1.2964</v>
      </c>
      <c r="H67" s="60">
        <v>320</v>
      </c>
      <c r="I67" s="5">
        <v>7.7142636735416659E-5</v>
      </c>
      <c r="J67" s="5">
        <v>-2.702731415950288E-2</v>
      </c>
      <c r="K67" s="2">
        <v>310180349.85000002</v>
      </c>
      <c r="L67" s="3">
        <f t="shared" si="14"/>
        <v>1.1510668879323952E-3</v>
      </c>
      <c r="M67" s="14">
        <v>1.3048</v>
      </c>
      <c r="N67" s="14">
        <v>1.3048</v>
      </c>
      <c r="O67" s="60">
        <v>323</v>
      </c>
      <c r="P67" s="5">
        <v>6.4794816414686096E-3</v>
      </c>
      <c r="Q67" s="5">
        <v>-2.1006240401349352E-2</v>
      </c>
      <c r="R67" s="80">
        <f t="shared" si="15"/>
        <v>9.7638637186973857E-3</v>
      </c>
      <c r="S67" s="80">
        <f t="shared" si="16"/>
        <v>6.4794816414686538E-3</v>
      </c>
      <c r="T67" s="80">
        <f t="shared" si="17"/>
        <v>9.3749999999999997E-3</v>
      </c>
      <c r="U67" s="81">
        <f t="shared" si="18"/>
        <v>6.402339004733193E-3</v>
      </c>
      <c r="V67" s="83">
        <f t="shared" si="19"/>
        <v>6.0210737581535279E-3</v>
      </c>
    </row>
    <row r="68" spans="1:22">
      <c r="A68" s="75">
        <v>57</v>
      </c>
      <c r="B68" s="125" t="s">
        <v>106</v>
      </c>
      <c r="C68" s="126" t="s">
        <v>25</v>
      </c>
      <c r="D68" s="2">
        <v>76074960.530000001</v>
      </c>
      <c r="E68" s="3">
        <f t="shared" si="20"/>
        <v>2.8003874533129747E-4</v>
      </c>
      <c r="F68" s="14">
        <v>115.4057</v>
      </c>
      <c r="G68" s="14">
        <v>115.4057</v>
      </c>
      <c r="H68" s="60">
        <v>103</v>
      </c>
      <c r="I68" s="5">
        <v>3.0010000000000002E-3</v>
      </c>
      <c r="J68" s="5">
        <v>0.14360200000000001</v>
      </c>
      <c r="K68" s="2">
        <v>76612882.280000001</v>
      </c>
      <c r="L68" s="3">
        <f t="shared" si="14"/>
        <v>2.8430734578839903E-4</v>
      </c>
      <c r="M68" s="14">
        <v>115.6827</v>
      </c>
      <c r="N68" s="14">
        <v>115.6827</v>
      </c>
      <c r="O68" s="60">
        <v>103</v>
      </c>
      <c r="P68" s="5">
        <v>2.9799999999999998E-4</v>
      </c>
      <c r="Q68" s="5">
        <v>0.13370000000000001</v>
      </c>
      <c r="R68" s="80">
        <f t="shared" si="15"/>
        <v>7.0709435305966635E-3</v>
      </c>
      <c r="S68" s="80">
        <f t="shared" si="16"/>
        <v>2.4002280649915997E-3</v>
      </c>
      <c r="T68" s="80">
        <f t="shared" si="17"/>
        <v>0</v>
      </c>
      <c r="U68" s="81">
        <f t="shared" si="18"/>
        <v>-2.7030000000000001E-3</v>
      </c>
      <c r="V68" s="83">
        <f t="shared" si="19"/>
        <v>-9.9019999999999941E-3</v>
      </c>
    </row>
    <row r="69" spans="1:22">
      <c r="A69" s="75">
        <v>58</v>
      </c>
      <c r="B69" s="125" t="s">
        <v>107</v>
      </c>
      <c r="C69" s="126" t="s">
        <v>108</v>
      </c>
      <c r="D69" s="2">
        <v>1229255170.3400002</v>
      </c>
      <c r="E69" s="3">
        <f t="shared" si="20"/>
        <v>4.5249984120369546E-3</v>
      </c>
      <c r="F69" s="7">
        <v>1000</v>
      </c>
      <c r="G69" s="7">
        <v>1000</v>
      </c>
      <c r="H69" s="60">
        <v>296</v>
      </c>
      <c r="I69" s="5">
        <v>2.0394196245736101E-4</v>
      </c>
      <c r="J69" s="5">
        <v>0.15409999999999999</v>
      </c>
      <c r="K69" s="2">
        <v>1228493539.2600002</v>
      </c>
      <c r="L69" s="3">
        <f t="shared" si="14"/>
        <v>4.5588904512000698E-3</v>
      </c>
      <c r="M69" s="7">
        <v>1000</v>
      </c>
      <c r="N69" s="7">
        <v>1000</v>
      </c>
      <c r="O69" s="60">
        <v>297</v>
      </c>
      <c r="P69" s="5">
        <v>6.1997157954829502E-6</v>
      </c>
      <c r="Q69" s="5">
        <v>0.13869999999999999</v>
      </c>
      <c r="R69" s="80">
        <f t="shared" si="15"/>
        <v>-6.1958745293645083E-4</v>
      </c>
      <c r="S69" s="80">
        <f t="shared" si="16"/>
        <v>0</v>
      </c>
      <c r="T69" s="80">
        <f t="shared" si="17"/>
        <v>3.3783783783783786E-3</v>
      </c>
      <c r="U69" s="81">
        <f t="shared" si="18"/>
        <v>-1.9774224666187806E-4</v>
      </c>
      <c r="V69" s="83">
        <f t="shared" si="19"/>
        <v>-1.5399999999999997E-2</v>
      </c>
    </row>
    <row r="70" spans="1:22">
      <c r="A70" s="75">
        <v>59</v>
      </c>
      <c r="B70" s="125" t="s">
        <v>109</v>
      </c>
      <c r="C70" s="126" t="s">
        <v>64</v>
      </c>
      <c r="D70" s="2">
        <v>214136930.50999999</v>
      </c>
      <c r="E70" s="3">
        <f t="shared" si="20"/>
        <v>7.8825722591690215E-4</v>
      </c>
      <c r="F70" s="7">
        <v>1049.3599999999999</v>
      </c>
      <c r="G70" s="7">
        <v>1057.46</v>
      </c>
      <c r="H70" s="60">
        <v>78</v>
      </c>
      <c r="I70" s="5">
        <v>2.8E-3</v>
      </c>
      <c r="J70" s="5">
        <v>-4.7999999999999996E-3</v>
      </c>
      <c r="K70" s="2">
        <v>214987964.94</v>
      </c>
      <c r="L70" s="3">
        <f t="shared" si="14"/>
        <v>7.978117500546905E-4</v>
      </c>
      <c r="M70" s="7">
        <v>1050.5899999999999</v>
      </c>
      <c r="N70" s="7">
        <v>1059.04</v>
      </c>
      <c r="O70" s="60">
        <v>78</v>
      </c>
      <c r="P70" s="5">
        <v>0</v>
      </c>
      <c r="Q70" s="5">
        <v>-7.6E-3</v>
      </c>
      <c r="R70" s="80">
        <f t="shared" si="15"/>
        <v>3.9742534273426722E-3</v>
      </c>
      <c r="S70" s="80">
        <f t="shared" si="16"/>
        <v>1.494146350689319E-3</v>
      </c>
      <c r="T70" s="80">
        <f t="shared" si="17"/>
        <v>0</v>
      </c>
      <c r="U70" s="81">
        <f t="shared" si="18"/>
        <v>-2.8E-3</v>
      </c>
      <c r="V70" s="83">
        <f t="shared" si="19"/>
        <v>-2.8000000000000004E-3</v>
      </c>
    </row>
    <row r="71" spans="1:22">
      <c r="A71" s="75">
        <v>60</v>
      </c>
      <c r="B71" s="125" t="s">
        <v>110</v>
      </c>
      <c r="C71" s="126" t="s">
        <v>67</v>
      </c>
      <c r="D71" s="2">
        <v>872400180.00999999</v>
      </c>
      <c r="E71" s="3">
        <f t="shared" si="20"/>
        <v>3.2113832216903609E-3</v>
      </c>
      <c r="F71" s="15">
        <v>1.1332</v>
      </c>
      <c r="G71" s="15">
        <v>1.1332</v>
      </c>
      <c r="H71" s="60">
        <v>34</v>
      </c>
      <c r="I71" s="5">
        <v>2.0337784065788032E-3</v>
      </c>
      <c r="J71" s="5">
        <v>9.6402916517096982E-2</v>
      </c>
      <c r="K71" s="2">
        <v>874757520.15999997</v>
      </c>
      <c r="L71" s="3">
        <f t="shared" si="14"/>
        <v>3.2461902145411825E-3</v>
      </c>
      <c r="M71" s="15">
        <v>1.1364000000000001</v>
      </c>
      <c r="N71" s="15">
        <v>1.1364000000000001</v>
      </c>
      <c r="O71" s="60">
        <v>34</v>
      </c>
      <c r="P71" s="5">
        <v>2.8238616307801729E-3</v>
      </c>
      <c r="Q71" s="5">
        <v>0.10807822711508175</v>
      </c>
      <c r="R71" s="80">
        <f t="shared" si="15"/>
        <v>2.702131663903319E-3</v>
      </c>
      <c r="S71" s="80">
        <f t="shared" si="16"/>
        <v>2.8238616307801729E-3</v>
      </c>
      <c r="T71" s="80">
        <f t="shared" si="17"/>
        <v>0</v>
      </c>
      <c r="U71" s="81">
        <f t="shared" si="18"/>
        <v>7.9008322420136973E-4</v>
      </c>
      <c r="V71" s="83">
        <f t="shared" si="19"/>
        <v>1.1675310597984767E-2</v>
      </c>
    </row>
    <row r="72" spans="1:22">
      <c r="A72" s="75">
        <v>61</v>
      </c>
      <c r="B72" s="125" t="s">
        <v>111</v>
      </c>
      <c r="C72" s="126" t="s">
        <v>27</v>
      </c>
      <c r="D72" s="2">
        <v>56614136562.889999</v>
      </c>
      <c r="E72" s="3">
        <f t="shared" si="20"/>
        <v>0.20840170879660722</v>
      </c>
      <c r="F72" s="15">
        <v>1591.37</v>
      </c>
      <c r="G72" s="2">
        <v>1591.37</v>
      </c>
      <c r="H72" s="60">
        <v>2446</v>
      </c>
      <c r="I72" s="5">
        <v>2E-3</v>
      </c>
      <c r="J72" s="5">
        <v>2.8400000000000002E-2</v>
      </c>
      <c r="K72" s="2">
        <v>55108603939.870003</v>
      </c>
      <c r="L72" s="3">
        <f t="shared" si="14"/>
        <v>0.20450582787091756</v>
      </c>
      <c r="M72" s="15">
        <v>1591.37</v>
      </c>
      <c r="N72" s="2">
        <v>1591.37</v>
      </c>
      <c r="O72" s="60">
        <v>2443</v>
      </c>
      <c r="P72" s="5">
        <v>2.5999999999999999E-3</v>
      </c>
      <c r="Q72" s="5">
        <v>3.1E-2</v>
      </c>
      <c r="R72" s="80">
        <f t="shared" si="15"/>
        <v>-2.6592874402448421E-2</v>
      </c>
      <c r="S72" s="80">
        <f t="shared" si="16"/>
        <v>0</v>
      </c>
      <c r="T72" s="80">
        <f t="shared" si="17"/>
        <v>-1.2264922322158627E-3</v>
      </c>
      <c r="U72" s="81">
        <f t="shared" si="18"/>
        <v>5.9999999999999984E-4</v>
      </c>
      <c r="V72" s="83">
        <f t="shared" si="19"/>
        <v>2.5999999999999981E-3</v>
      </c>
    </row>
    <row r="73" spans="1:22">
      <c r="A73" s="75">
        <v>62</v>
      </c>
      <c r="B73" s="125" t="s">
        <v>112</v>
      </c>
      <c r="C73" s="126" t="s">
        <v>72</v>
      </c>
      <c r="D73" s="2">
        <v>25633159.609999999</v>
      </c>
      <c r="E73" s="3">
        <f t="shared" si="20"/>
        <v>9.4357957020964231E-5</v>
      </c>
      <c r="F73" s="2">
        <v>0.78180000000000005</v>
      </c>
      <c r="G73" s="2">
        <v>0.78180000000000005</v>
      </c>
      <c r="H73" s="60">
        <v>746</v>
      </c>
      <c r="I73" s="5">
        <v>1.5E-3</v>
      </c>
      <c r="J73" s="5">
        <v>2.2800000000000001E-2</v>
      </c>
      <c r="K73" s="2">
        <v>25370553.109999999</v>
      </c>
      <c r="L73" s="3">
        <f t="shared" si="14"/>
        <v>9.414910914754469E-5</v>
      </c>
      <c r="M73" s="2">
        <v>0.77370000000000005</v>
      </c>
      <c r="N73" s="2">
        <v>0.77370000000000005</v>
      </c>
      <c r="O73" s="60">
        <v>746</v>
      </c>
      <c r="P73" s="5">
        <v>-8.8000000000000005E-3</v>
      </c>
      <c r="Q73" s="5">
        <v>1.2200000000000001E-2</v>
      </c>
      <c r="R73" s="80">
        <f t="shared" si="15"/>
        <v>-1.0244796349551541E-2</v>
      </c>
      <c r="S73" s="80">
        <f t="shared" si="16"/>
        <v>-1.036070606293169E-2</v>
      </c>
      <c r="T73" s="80">
        <f t="shared" si="17"/>
        <v>0</v>
      </c>
      <c r="U73" s="81">
        <f t="shared" si="18"/>
        <v>-1.03E-2</v>
      </c>
      <c r="V73" s="83">
        <f t="shared" si="19"/>
        <v>-1.06E-2</v>
      </c>
    </row>
    <row r="74" spans="1:22">
      <c r="A74" s="75">
        <v>63</v>
      </c>
      <c r="B74" s="125" t="s">
        <v>251</v>
      </c>
      <c r="C74" s="126" t="s">
        <v>32</v>
      </c>
      <c r="D74" s="2">
        <v>8476621190.9489002</v>
      </c>
      <c r="E74" s="3">
        <f t="shared" si="20"/>
        <v>3.1203202031579398E-2</v>
      </c>
      <c r="F74" s="14">
        <v>1</v>
      </c>
      <c r="G74" s="14">
        <v>1</v>
      </c>
      <c r="H74" s="60">
        <v>5538</v>
      </c>
      <c r="I74" s="5">
        <v>0.06</v>
      </c>
      <c r="J74" s="5">
        <v>0.06</v>
      </c>
      <c r="K74" s="2">
        <v>8134875553.1323004</v>
      </c>
      <c r="L74" s="3">
        <f t="shared" si="14"/>
        <v>3.0188198224644299E-2</v>
      </c>
      <c r="M74" s="14">
        <v>1</v>
      </c>
      <c r="N74" s="14">
        <v>1</v>
      </c>
      <c r="O74" s="60">
        <v>5541</v>
      </c>
      <c r="P74" s="5">
        <v>0.06</v>
      </c>
      <c r="Q74" s="5">
        <v>0.06</v>
      </c>
      <c r="R74" s="80">
        <f>((K74-D74)/D74)</f>
        <v>-4.0316256928114982E-2</v>
      </c>
      <c r="S74" s="80">
        <f>((N74-G74)/G74)</f>
        <v>0</v>
      </c>
      <c r="T74" s="80">
        <f>((O74-H74)/H74)</f>
        <v>5.4171180931744309E-4</v>
      </c>
      <c r="U74" s="81">
        <f>P74-I74</f>
        <v>0</v>
      </c>
      <c r="V74" s="83">
        <f>Q74-J74</f>
        <v>0</v>
      </c>
    </row>
    <row r="75" spans="1:22">
      <c r="A75" s="75">
        <v>64</v>
      </c>
      <c r="B75" s="125" t="s">
        <v>113</v>
      </c>
      <c r="C75" s="126" t="s">
        <v>114</v>
      </c>
      <c r="D75" s="2">
        <v>1116692589.1099999</v>
      </c>
      <c r="E75" s="3">
        <f t="shared" si="20"/>
        <v>4.1106454659520075E-3</v>
      </c>
      <c r="F75" s="2">
        <v>217.68553900000001</v>
      </c>
      <c r="G75" s="2">
        <v>219.26862299999999</v>
      </c>
      <c r="H75" s="60">
        <v>488</v>
      </c>
      <c r="I75" s="5">
        <v>1.1000000000000001E-3</v>
      </c>
      <c r="J75" s="5">
        <v>9.9000000000000008E-3</v>
      </c>
      <c r="K75" s="2">
        <v>1116692589.1099999</v>
      </c>
      <c r="L75" s="3">
        <f t="shared" si="14"/>
        <v>4.1440015911569398E-3</v>
      </c>
      <c r="M75" s="2">
        <v>226.36354800000001</v>
      </c>
      <c r="N75" s="2">
        <v>228.02282600000001</v>
      </c>
      <c r="O75" s="60">
        <v>488</v>
      </c>
      <c r="P75" s="5">
        <v>7.9000000000000008E-3</v>
      </c>
      <c r="Q75" s="5">
        <v>5.0299999999999997E-2</v>
      </c>
      <c r="R75" s="80">
        <f t="shared" si="15"/>
        <v>0</v>
      </c>
      <c r="S75" s="80">
        <f t="shared" si="16"/>
        <v>3.9924558654249487E-2</v>
      </c>
      <c r="T75" s="80">
        <f t="shared" si="17"/>
        <v>0</v>
      </c>
      <c r="U75" s="81">
        <f t="shared" si="18"/>
        <v>6.8000000000000005E-3</v>
      </c>
      <c r="V75" s="83">
        <f t="shared" si="19"/>
        <v>4.0399999999999998E-2</v>
      </c>
    </row>
    <row r="76" spans="1:22">
      <c r="A76" s="75">
        <v>65</v>
      </c>
      <c r="B76" s="125" t="s">
        <v>115</v>
      </c>
      <c r="C76" s="126" t="s">
        <v>34</v>
      </c>
      <c r="D76" s="2">
        <v>1099352578.0799999</v>
      </c>
      <c r="E76" s="3">
        <f t="shared" si="20"/>
        <v>4.0468153318442531E-3</v>
      </c>
      <c r="F76" s="14">
        <v>3.39</v>
      </c>
      <c r="G76" s="14">
        <v>3.39</v>
      </c>
      <c r="H76" s="61">
        <v>773</v>
      </c>
      <c r="I76" s="12">
        <v>1.4E-3</v>
      </c>
      <c r="J76" s="12">
        <v>-0.2243</v>
      </c>
      <c r="K76" s="2">
        <v>1101488703.97</v>
      </c>
      <c r="L76" s="3">
        <f t="shared" si="14"/>
        <v>4.087580580731733E-3</v>
      </c>
      <c r="M76" s="14">
        <v>3.39</v>
      </c>
      <c r="N76" s="14">
        <v>3.39</v>
      </c>
      <c r="O76" s="61">
        <v>773</v>
      </c>
      <c r="P76" s="12">
        <v>1.9E-3</v>
      </c>
      <c r="Q76" s="12">
        <v>-0.1986</v>
      </c>
      <c r="R76" s="80">
        <f t="shared" si="15"/>
        <v>1.9430762546905666E-3</v>
      </c>
      <c r="S76" s="80">
        <f t="shared" si="16"/>
        <v>0</v>
      </c>
      <c r="T76" s="80">
        <f t="shared" si="17"/>
        <v>0</v>
      </c>
      <c r="U76" s="81">
        <f t="shared" si="18"/>
        <v>5.0000000000000001E-4</v>
      </c>
      <c r="V76" s="83">
        <f t="shared" si="19"/>
        <v>2.5700000000000001E-2</v>
      </c>
    </row>
    <row r="77" spans="1:22">
      <c r="A77" s="75">
        <v>66</v>
      </c>
      <c r="B77" s="125" t="s">
        <v>258</v>
      </c>
      <c r="C77" s="126" t="s">
        <v>36</v>
      </c>
      <c r="D77" s="2">
        <v>615774472.09249997</v>
      </c>
      <c r="E77" s="3">
        <f t="shared" si="20"/>
        <v>2.2667209995307735E-3</v>
      </c>
      <c r="F77" s="14">
        <v>104.9087</v>
      </c>
      <c r="G77" s="14">
        <v>104.9087</v>
      </c>
      <c r="H77" s="61">
        <v>121</v>
      </c>
      <c r="I77" s="12">
        <v>0.14360000000000001</v>
      </c>
      <c r="J77" s="12">
        <v>0.1661</v>
      </c>
      <c r="K77" s="2">
        <v>565766270.59740007</v>
      </c>
      <c r="L77" s="3">
        <f t="shared" si="14"/>
        <v>2.0995360302759249E-3</v>
      </c>
      <c r="M77" s="14">
        <v>105.5594</v>
      </c>
      <c r="N77" s="14">
        <v>105.5594</v>
      </c>
      <c r="O77" s="61">
        <v>133</v>
      </c>
      <c r="P77" s="12">
        <v>0.14019999999999999</v>
      </c>
      <c r="Q77" s="12">
        <v>0.16300000000000001</v>
      </c>
      <c r="R77" s="80">
        <f t="shared" ref="R77" si="21">((K77-D77)/D77)</f>
        <v>-8.1211878311817712E-2</v>
      </c>
      <c r="S77" s="80">
        <f t="shared" ref="S77" si="22">((N77-G77)/G77)</f>
        <v>6.2025361099699123E-3</v>
      </c>
      <c r="T77" s="80">
        <f t="shared" ref="T77" si="23">((O77-H77)/H77)</f>
        <v>9.9173553719008267E-2</v>
      </c>
      <c r="U77" s="81">
        <f t="shared" ref="U77" si="24">P77-I77</f>
        <v>-3.4000000000000141E-3</v>
      </c>
      <c r="V77" s="83">
        <f t="shared" ref="V77" si="25">Q77-J77</f>
        <v>-3.0999999999999917E-3</v>
      </c>
    </row>
    <row r="78" spans="1:22">
      <c r="A78" s="75">
        <v>67</v>
      </c>
      <c r="B78" s="126" t="s">
        <v>116</v>
      </c>
      <c r="C78" s="157" t="s">
        <v>40</v>
      </c>
      <c r="D78" s="2">
        <v>2293950885.0999999</v>
      </c>
      <c r="E78" s="3">
        <f t="shared" si="20"/>
        <v>8.4442387250624473E-3</v>
      </c>
      <c r="F78" s="14">
        <v>100.94</v>
      </c>
      <c r="G78" s="14">
        <v>100.94</v>
      </c>
      <c r="H78" s="60">
        <v>139</v>
      </c>
      <c r="I78" s="5">
        <v>0.1255</v>
      </c>
      <c r="J78" s="5">
        <v>0.1114</v>
      </c>
      <c r="K78" s="2">
        <v>2298063365.4400001</v>
      </c>
      <c r="L78" s="3">
        <f t="shared" si="14"/>
        <v>8.5280213514739734E-3</v>
      </c>
      <c r="M78" s="14">
        <v>101.14</v>
      </c>
      <c r="N78" s="14">
        <v>101.14</v>
      </c>
      <c r="O78" s="60">
        <v>139</v>
      </c>
      <c r="P78" s="5">
        <v>0.10979999999999999</v>
      </c>
      <c r="Q78" s="5">
        <v>9.6500000000000002E-2</v>
      </c>
      <c r="R78" s="80">
        <f t="shared" si="15"/>
        <v>1.7927499523691319E-3</v>
      </c>
      <c r="S78" s="80">
        <f t="shared" si="16"/>
        <v>1.9813750743015936E-3</v>
      </c>
      <c r="T78" s="80">
        <f t="shared" si="17"/>
        <v>0</v>
      </c>
      <c r="U78" s="81">
        <f t="shared" si="18"/>
        <v>-1.5700000000000006E-2</v>
      </c>
      <c r="V78" s="83">
        <f t="shared" si="19"/>
        <v>-1.4899999999999997E-2</v>
      </c>
    </row>
    <row r="79" spans="1:22">
      <c r="A79" s="75">
        <v>68</v>
      </c>
      <c r="B79" s="125" t="s">
        <v>117</v>
      </c>
      <c r="C79" s="126" t="s">
        <v>17</v>
      </c>
      <c r="D79" s="2">
        <v>1228347993.04</v>
      </c>
      <c r="E79" s="3">
        <f t="shared" si="20"/>
        <v>4.521659011120868E-3</v>
      </c>
      <c r="F79" s="14">
        <v>333.7122</v>
      </c>
      <c r="G79" s="14">
        <v>333.7122</v>
      </c>
      <c r="H79" s="60">
        <v>104</v>
      </c>
      <c r="I79" s="5">
        <v>2.2000000000000001E-3</v>
      </c>
      <c r="J79" s="5">
        <v>2.0899999999999998E-2</v>
      </c>
      <c r="K79" s="2">
        <v>1231706546.49</v>
      </c>
      <c r="L79" s="3">
        <f t="shared" si="14"/>
        <v>4.5708137926848821E-3</v>
      </c>
      <c r="M79" s="14">
        <v>334.44299999999998</v>
      </c>
      <c r="N79" s="14">
        <v>334.44299999999998</v>
      </c>
      <c r="O79" s="60">
        <v>104</v>
      </c>
      <c r="P79" s="5">
        <v>2.2000000000000001E-3</v>
      </c>
      <c r="Q79" s="5">
        <v>2.3099999999999999E-2</v>
      </c>
      <c r="R79" s="80">
        <f t="shared" si="15"/>
        <v>2.7342035555315792E-3</v>
      </c>
      <c r="S79" s="80">
        <f t="shared" si="16"/>
        <v>2.1899109472173564E-3</v>
      </c>
      <c r="T79" s="80">
        <f t="shared" si="17"/>
        <v>0</v>
      </c>
      <c r="U79" s="81">
        <f t="shared" si="18"/>
        <v>0</v>
      </c>
      <c r="V79" s="83">
        <f t="shared" si="19"/>
        <v>2.2000000000000006E-3</v>
      </c>
    </row>
    <row r="80" spans="1:22">
      <c r="A80" s="75">
        <v>69</v>
      </c>
      <c r="B80" s="125" t="s">
        <v>252</v>
      </c>
      <c r="C80" s="126" t="s">
        <v>78</v>
      </c>
      <c r="D80" s="9">
        <v>1593760784.79</v>
      </c>
      <c r="E80" s="3">
        <f>(D80/$K$56)</f>
        <v>1.7097952379971509E-3</v>
      </c>
      <c r="F80" s="14">
        <v>103.49</v>
      </c>
      <c r="G80" s="14">
        <v>103.49</v>
      </c>
      <c r="H80" s="60">
        <v>346</v>
      </c>
      <c r="I80" s="5">
        <v>2.5999999999999999E-3</v>
      </c>
      <c r="J80" s="5">
        <v>3.2399999999999998E-2</v>
      </c>
      <c r="K80" s="9">
        <v>1647088182.71</v>
      </c>
      <c r="L80" s="3">
        <f>(K80/$K$56)</f>
        <v>1.7670051605203792E-3</v>
      </c>
      <c r="M80" s="14">
        <v>101.23</v>
      </c>
      <c r="N80" s="14">
        <v>101.23</v>
      </c>
      <c r="O80" s="60">
        <v>351</v>
      </c>
      <c r="P80" s="5">
        <v>2.3E-3</v>
      </c>
      <c r="Q80" s="5">
        <v>3.4700000000000002E-2</v>
      </c>
      <c r="R80" s="80">
        <f t="shared" si="15"/>
        <v>3.3460101684599237E-2</v>
      </c>
      <c r="S80" s="80">
        <f t="shared" si="16"/>
        <v>-2.1837858730312021E-2</v>
      </c>
      <c r="T80" s="80">
        <f t="shared" si="17"/>
        <v>1.4450867052023121E-2</v>
      </c>
      <c r="U80" s="81">
        <f t="shared" si="18"/>
        <v>-2.9999999999999992E-4</v>
      </c>
      <c r="V80" s="83">
        <f t="shared" si="19"/>
        <v>2.3000000000000034E-3</v>
      </c>
    </row>
    <row r="81" spans="1:28">
      <c r="A81" s="75">
        <v>70</v>
      </c>
      <c r="B81" s="125" t="s">
        <v>118</v>
      </c>
      <c r="C81" s="126" t="s">
        <v>38</v>
      </c>
      <c r="D81" s="2">
        <v>67901596.049999997</v>
      </c>
      <c r="E81" s="3">
        <f t="shared" ref="E81:E92" si="26">(D81/$D$93)</f>
        <v>2.4995185842174741E-4</v>
      </c>
      <c r="F81" s="14">
        <v>14.797663999999999</v>
      </c>
      <c r="G81" s="2">
        <v>15.091799</v>
      </c>
      <c r="H81" s="60">
        <v>51</v>
      </c>
      <c r="I81" s="5">
        <v>-0.17280000000000001</v>
      </c>
      <c r="J81" s="5">
        <v>0.97389999999999999</v>
      </c>
      <c r="K81" s="2">
        <v>67901596.049999997</v>
      </c>
      <c r="L81" s="3">
        <f t="shared" ref="L81:L92" si="27">(K81/$K$93)</f>
        <v>2.519801105670076E-4</v>
      </c>
      <c r="M81" s="14">
        <v>12.64082</v>
      </c>
      <c r="N81" s="2">
        <v>12.944511</v>
      </c>
      <c r="O81" s="60">
        <v>51</v>
      </c>
      <c r="P81" s="5">
        <v>0.144001650347482</v>
      </c>
      <c r="Q81" s="5">
        <v>0.2069</v>
      </c>
      <c r="R81" s="80">
        <f t="shared" si="15"/>
        <v>0</v>
      </c>
      <c r="S81" s="80">
        <f t="shared" si="16"/>
        <v>-0.14228177833537273</v>
      </c>
      <c r="T81" s="80">
        <f t="shared" si="17"/>
        <v>0</v>
      </c>
      <c r="U81" s="81">
        <f t="shared" si="18"/>
        <v>0.31680165034748198</v>
      </c>
      <c r="V81" s="83">
        <f t="shared" si="19"/>
        <v>-0.76700000000000002</v>
      </c>
    </row>
    <row r="82" spans="1:28">
      <c r="A82" s="75">
        <v>71</v>
      </c>
      <c r="B82" s="125" t="s">
        <v>236</v>
      </c>
      <c r="C82" s="126" t="s">
        <v>237</v>
      </c>
      <c r="D82" s="2">
        <v>268912559.44</v>
      </c>
      <c r="E82" s="3">
        <f t="shared" si="26"/>
        <v>9.8989122340338012E-4</v>
      </c>
      <c r="F82" s="2">
        <v>117.25</v>
      </c>
      <c r="G82" s="2">
        <v>117.25</v>
      </c>
      <c r="H82" s="60">
        <v>82</v>
      </c>
      <c r="I82" s="5">
        <v>0.29880000000000001</v>
      </c>
      <c r="J82" s="5">
        <v>0.21460000000000001</v>
      </c>
      <c r="K82" s="2">
        <v>271510723.37</v>
      </c>
      <c r="L82" s="3">
        <f t="shared" si="27"/>
        <v>1.0075654487491361E-3</v>
      </c>
      <c r="M82" s="2">
        <v>117.32</v>
      </c>
      <c r="N82" s="2">
        <v>117.32</v>
      </c>
      <c r="O82" s="60">
        <v>82</v>
      </c>
      <c r="P82" s="5">
        <v>-1.01E-2</v>
      </c>
      <c r="Q82" s="5">
        <v>0.2</v>
      </c>
      <c r="R82" s="80">
        <f>((K82-D82)/D82)</f>
        <v>9.6617425954763254E-3</v>
      </c>
      <c r="S82" s="80">
        <f>((N82-G82)/G82)</f>
        <v>5.9701492537307611E-4</v>
      </c>
      <c r="T82" s="80">
        <f>((O82-H82)/H82)</f>
        <v>0</v>
      </c>
      <c r="U82" s="81">
        <f t="shared" si="18"/>
        <v>-0.30890000000000001</v>
      </c>
      <c r="V82" s="83">
        <f t="shared" si="19"/>
        <v>-1.4600000000000002E-2</v>
      </c>
    </row>
    <row r="83" spans="1:28">
      <c r="A83" s="75">
        <v>72</v>
      </c>
      <c r="B83" s="125" t="s">
        <v>119</v>
      </c>
      <c r="C83" s="126" t="s">
        <v>120</v>
      </c>
      <c r="D83" s="2">
        <v>7310050801.2824841</v>
      </c>
      <c r="E83" s="3">
        <f t="shared" si="26"/>
        <v>2.6908951913184678E-2</v>
      </c>
      <c r="F83" s="14">
        <v>1.03</v>
      </c>
      <c r="G83" s="14">
        <v>1.03</v>
      </c>
      <c r="H83" s="60">
        <v>4076</v>
      </c>
      <c r="I83" s="129">
        <v>14.01</v>
      </c>
      <c r="J83" s="129">
        <v>14.01</v>
      </c>
      <c r="K83" s="2">
        <v>7312092365.6989193</v>
      </c>
      <c r="L83" s="3">
        <f t="shared" si="27"/>
        <v>2.7134882682702213E-2</v>
      </c>
      <c r="M83" s="14">
        <v>1.03</v>
      </c>
      <c r="N83" s="14">
        <v>1.03</v>
      </c>
      <c r="O83" s="60">
        <v>4129</v>
      </c>
      <c r="P83" s="129">
        <v>14.01</v>
      </c>
      <c r="Q83" s="129">
        <v>14.01</v>
      </c>
      <c r="R83" s="80">
        <f t="shared" si="15"/>
        <v>2.7928183701227729E-4</v>
      </c>
      <c r="S83" s="80">
        <f t="shared" si="16"/>
        <v>0</v>
      </c>
      <c r="T83" s="80">
        <f t="shared" si="17"/>
        <v>1.3002944062806674E-2</v>
      </c>
      <c r="U83" s="81">
        <f t="shared" si="18"/>
        <v>0</v>
      </c>
      <c r="V83" s="83">
        <f t="shared" si="19"/>
        <v>0</v>
      </c>
    </row>
    <row r="84" spans="1:28" ht="14.25" customHeight="1">
      <c r="A84" s="75">
        <v>73</v>
      </c>
      <c r="B84" s="125" t="s">
        <v>121</v>
      </c>
      <c r="C84" s="126" t="s">
        <v>42</v>
      </c>
      <c r="D84" s="2">
        <v>19382359908</v>
      </c>
      <c r="E84" s="3">
        <f t="shared" si="26"/>
        <v>7.1348203303444574E-2</v>
      </c>
      <c r="F84" s="2">
        <v>5118.82</v>
      </c>
      <c r="G84" s="2">
        <v>5118.82</v>
      </c>
      <c r="H84" s="60">
        <v>402</v>
      </c>
      <c r="I84" s="5">
        <v>8.9999999999999998E-4</v>
      </c>
      <c r="J84" s="5">
        <v>2.1399999999999999E-2</v>
      </c>
      <c r="K84" s="2">
        <v>19209937809.43</v>
      </c>
      <c r="L84" s="3">
        <f t="shared" si="27"/>
        <v>7.1287311857016533E-2</v>
      </c>
      <c r="M84" s="2">
        <v>5125.72</v>
      </c>
      <c r="N84" s="2">
        <v>5125.72</v>
      </c>
      <c r="O84" s="60">
        <v>402</v>
      </c>
      <c r="P84" s="5">
        <v>1.2999999999999999E-3</v>
      </c>
      <c r="Q84" s="5">
        <v>4.4200000000000003E-2</v>
      </c>
      <c r="R84" s="80">
        <f t="shared" si="15"/>
        <v>-8.8958258637449553E-3</v>
      </c>
      <c r="S84" s="80">
        <f t="shared" si="16"/>
        <v>1.3479669142498752E-3</v>
      </c>
      <c r="T84" s="80">
        <f t="shared" si="17"/>
        <v>0</v>
      </c>
      <c r="U84" s="81">
        <f t="shared" si="18"/>
        <v>3.9999999999999996E-4</v>
      </c>
      <c r="V84" s="83">
        <f t="shared" si="19"/>
        <v>2.2800000000000004E-2</v>
      </c>
    </row>
    <row r="85" spans="1:28">
      <c r="A85" s="75">
        <v>74</v>
      </c>
      <c r="B85" s="125" t="s">
        <v>122</v>
      </c>
      <c r="C85" s="126" t="s">
        <v>42</v>
      </c>
      <c r="D85" s="2">
        <v>39066620365.459999</v>
      </c>
      <c r="E85" s="3">
        <f t="shared" si="26"/>
        <v>0.14380772957697821</v>
      </c>
      <c r="F85" s="14">
        <v>257.77</v>
      </c>
      <c r="G85" s="14">
        <v>257.77</v>
      </c>
      <c r="H85" s="60">
        <v>6645</v>
      </c>
      <c r="I85" s="5">
        <v>2.0000000000000001E-4</v>
      </c>
      <c r="J85" s="5">
        <v>7.7000000000000002E-3</v>
      </c>
      <c r="K85" s="2">
        <v>38788459890.120003</v>
      </c>
      <c r="L85" s="3">
        <f t="shared" si="27"/>
        <v>0.14394242522133438</v>
      </c>
      <c r="M85" s="14">
        <v>257.95</v>
      </c>
      <c r="N85" s="14">
        <v>257.95</v>
      </c>
      <c r="O85" s="60">
        <v>6642</v>
      </c>
      <c r="P85" s="5">
        <v>6.9999999999999999E-4</v>
      </c>
      <c r="Q85" s="5">
        <v>5.4100000000000002E-2</v>
      </c>
      <c r="R85" s="80">
        <f t="shared" si="15"/>
        <v>-7.120157124877036E-3</v>
      </c>
      <c r="S85" s="80">
        <f t="shared" si="16"/>
        <v>6.9829693137295592E-4</v>
      </c>
      <c r="T85" s="80">
        <f t="shared" si="17"/>
        <v>-4.514672686230248E-4</v>
      </c>
      <c r="U85" s="81">
        <f t="shared" si="18"/>
        <v>5.0000000000000001E-4</v>
      </c>
      <c r="V85" s="83">
        <f t="shared" si="19"/>
        <v>4.6400000000000004E-2</v>
      </c>
    </row>
    <row r="86" spans="1:28" ht="12.75" customHeight="1">
      <c r="A86" s="75">
        <v>75</v>
      </c>
      <c r="B86" s="125" t="s">
        <v>123</v>
      </c>
      <c r="C86" s="126" t="s">
        <v>42</v>
      </c>
      <c r="D86" s="2">
        <v>349872878.23000002</v>
      </c>
      <c r="E86" s="3">
        <f t="shared" si="26"/>
        <v>1.287913410173136E-3</v>
      </c>
      <c r="F86" s="2">
        <v>5650.45</v>
      </c>
      <c r="G86" s="7">
        <v>5675.31</v>
      </c>
      <c r="H86" s="60">
        <v>16</v>
      </c>
      <c r="I86" s="5">
        <v>5.8999999999999999E-3</v>
      </c>
      <c r="J86" s="5">
        <v>6.9000000000000006E-2</v>
      </c>
      <c r="K86" s="2">
        <v>348026318.5</v>
      </c>
      <c r="L86" s="3">
        <f t="shared" si="27"/>
        <v>1.2915117658100852E-3</v>
      </c>
      <c r="M86" s="2">
        <v>5621.02</v>
      </c>
      <c r="N86" s="7">
        <v>5645.08</v>
      </c>
      <c r="O86" s="60">
        <v>16</v>
      </c>
      <c r="P86" s="5">
        <v>-5.3E-3</v>
      </c>
      <c r="Q86" s="5">
        <v>6.3299999999999995E-2</v>
      </c>
      <c r="R86" s="80">
        <f t="shared" si="15"/>
        <v>-5.2778018671859571E-3</v>
      </c>
      <c r="S86" s="80">
        <f t="shared" si="16"/>
        <v>-5.3265812792605994E-3</v>
      </c>
      <c r="T86" s="80">
        <f t="shared" si="17"/>
        <v>0</v>
      </c>
      <c r="U86" s="81">
        <f t="shared" si="18"/>
        <v>-1.12E-2</v>
      </c>
      <c r="V86" s="83">
        <f t="shared" si="19"/>
        <v>-5.7000000000000106E-3</v>
      </c>
    </row>
    <row r="87" spans="1:28" ht="12.75" customHeight="1">
      <c r="A87" s="75">
        <v>76</v>
      </c>
      <c r="B87" s="125" t="s">
        <v>124</v>
      </c>
      <c r="C87" s="126" t="s">
        <v>42</v>
      </c>
      <c r="D87" s="2">
        <v>15825408585.33</v>
      </c>
      <c r="E87" s="3">
        <f t="shared" si="26"/>
        <v>5.8254746814404373E-2</v>
      </c>
      <c r="F87" s="14">
        <v>128.86000000000001</v>
      </c>
      <c r="G87" s="14">
        <v>128.86000000000001</v>
      </c>
      <c r="H87" s="60">
        <v>4341</v>
      </c>
      <c r="I87" s="5">
        <v>1.8E-3</v>
      </c>
      <c r="J87" s="5">
        <v>2.3300000000000001E-2</v>
      </c>
      <c r="K87" s="2">
        <v>16309266627.190001</v>
      </c>
      <c r="L87" s="3">
        <f t="shared" si="27"/>
        <v>6.0523036968968921E-2</v>
      </c>
      <c r="M87" s="14">
        <v>129.13</v>
      </c>
      <c r="N87" s="14">
        <v>129.13</v>
      </c>
      <c r="O87" s="60">
        <v>4355</v>
      </c>
      <c r="P87" s="5">
        <v>2.0999999999999999E-3</v>
      </c>
      <c r="Q87" s="5">
        <v>0.1026</v>
      </c>
      <c r="R87" s="80">
        <f t="shared" si="15"/>
        <v>3.0574758259861442E-2</v>
      </c>
      <c r="S87" s="80">
        <f t="shared" si="16"/>
        <v>2.0952972217909496E-3</v>
      </c>
      <c r="T87" s="80">
        <f t="shared" si="17"/>
        <v>3.2250633494586502E-3</v>
      </c>
      <c r="U87" s="81">
        <f t="shared" si="18"/>
        <v>2.9999999999999992E-4</v>
      </c>
      <c r="V87" s="83">
        <f t="shared" si="19"/>
        <v>7.9299999999999995E-2</v>
      </c>
    </row>
    <row r="88" spans="1:28" ht="12.75" customHeight="1">
      <c r="A88" s="75">
        <v>77</v>
      </c>
      <c r="B88" s="125" t="s">
        <v>125</v>
      </c>
      <c r="C88" s="126" t="s">
        <v>42</v>
      </c>
      <c r="D88" s="2">
        <v>12937258249.200001</v>
      </c>
      <c r="E88" s="3">
        <f t="shared" si="26"/>
        <v>4.7623206675266691E-2</v>
      </c>
      <c r="F88" s="14">
        <v>358.63</v>
      </c>
      <c r="G88" s="14">
        <v>358.91</v>
      </c>
      <c r="H88" s="60">
        <v>10257</v>
      </c>
      <c r="I88" s="5">
        <v>3.7000000000000002E-3</v>
      </c>
      <c r="J88" s="5">
        <v>1.5699999999999999E-2</v>
      </c>
      <c r="K88" s="2">
        <v>12469833426.93</v>
      </c>
      <c r="L88" s="3">
        <f t="shared" si="27"/>
        <v>4.6275053731524018E-2</v>
      </c>
      <c r="M88" s="14">
        <v>357.96</v>
      </c>
      <c r="N88" s="14">
        <v>358.37</v>
      </c>
      <c r="O88" s="60">
        <v>10258</v>
      </c>
      <c r="P88" s="5">
        <v>-1.5E-3</v>
      </c>
      <c r="Q88" s="5">
        <v>1.4200000000000001E-2</v>
      </c>
      <c r="R88" s="80">
        <f t="shared" si="15"/>
        <v>-3.6130129990943373E-2</v>
      </c>
      <c r="S88" s="80">
        <f t="shared" si="16"/>
        <v>-1.5045554595860256E-3</v>
      </c>
      <c r="T88" s="80">
        <f t="shared" si="17"/>
        <v>9.7494394072340838E-5</v>
      </c>
      <c r="U88" s="81">
        <f t="shared" si="18"/>
        <v>-5.1999999999999998E-3</v>
      </c>
      <c r="V88" s="83">
        <f t="shared" si="19"/>
        <v>-1.4999999999999979E-3</v>
      </c>
    </row>
    <row r="89" spans="1:28">
      <c r="A89" s="75">
        <v>78</v>
      </c>
      <c r="B89" s="125" t="s">
        <v>126</v>
      </c>
      <c r="C89" s="126" t="s">
        <v>45</v>
      </c>
      <c r="D89" s="2">
        <v>89801206007.009995</v>
      </c>
      <c r="E89" s="3">
        <f t="shared" si="26"/>
        <v>0.33056628467816901</v>
      </c>
      <c r="F89" s="2">
        <v>1.982</v>
      </c>
      <c r="G89" s="2">
        <v>1.982</v>
      </c>
      <c r="H89" s="60">
        <v>6152</v>
      </c>
      <c r="I89" s="5">
        <v>5.6800000000000003E-2</v>
      </c>
      <c r="J89" s="5">
        <v>6.5699999999999995E-2</v>
      </c>
      <c r="K89" s="2">
        <v>89813434540.330002</v>
      </c>
      <c r="L89" s="3">
        <f t="shared" si="27"/>
        <v>0.33329406792161931</v>
      </c>
      <c r="M89" s="2">
        <v>1.9832000000000001</v>
      </c>
      <c r="N89" s="2">
        <v>1.9832000000000001</v>
      </c>
      <c r="O89" s="60">
        <v>6157</v>
      </c>
      <c r="P89" s="5">
        <v>5.6800000000000003E-2</v>
      </c>
      <c r="Q89" s="5">
        <v>6.5299999999999997E-2</v>
      </c>
      <c r="R89" s="80">
        <f t="shared" si="15"/>
        <v>1.3617337521116085E-4</v>
      </c>
      <c r="S89" s="80">
        <f t="shared" si="16"/>
        <v>6.0544904137239649E-4</v>
      </c>
      <c r="T89" s="80">
        <f t="shared" si="17"/>
        <v>8.1274382314694405E-4</v>
      </c>
      <c r="U89" s="81">
        <f t="shared" si="18"/>
        <v>0</v>
      </c>
      <c r="V89" s="83">
        <f t="shared" si="19"/>
        <v>-3.9999999999999758E-4</v>
      </c>
    </row>
    <row r="90" spans="1:28">
      <c r="A90" s="75">
        <v>79</v>
      </c>
      <c r="B90" s="125" t="s">
        <v>241</v>
      </c>
      <c r="C90" s="125" t="s">
        <v>242</v>
      </c>
      <c r="D90" s="2">
        <v>84049218.819999993</v>
      </c>
      <c r="E90" s="3">
        <f t="shared" si="26"/>
        <v>3.0939270451736466E-4</v>
      </c>
      <c r="F90" s="2">
        <v>103.51184000489866</v>
      </c>
      <c r="G90" s="2">
        <v>58</v>
      </c>
      <c r="H90" s="60">
        <v>57</v>
      </c>
      <c r="I90" s="5">
        <v>1.3608093895071814E-3</v>
      </c>
      <c r="J90" s="5">
        <v>1.8827350711115853E-2</v>
      </c>
      <c r="K90" s="2">
        <v>84428252.909999996</v>
      </c>
      <c r="L90" s="3">
        <f t="shared" si="27"/>
        <v>3.1330987400613662E-4</v>
      </c>
      <c r="M90" s="2">
        <v>103.6951</v>
      </c>
      <c r="N90" s="2">
        <v>103.6951</v>
      </c>
      <c r="O90" s="60">
        <v>62</v>
      </c>
      <c r="P90" s="5">
        <v>1.8E-3</v>
      </c>
      <c r="Q90" s="5">
        <v>2.06E-2</v>
      </c>
      <c r="R90" s="80">
        <f>((K90-D90)/D90)</f>
        <v>4.5096682077645943E-3</v>
      </c>
      <c r="S90" s="80">
        <f>((N90-G90)/G90)</f>
        <v>0.78784655172413787</v>
      </c>
      <c r="T90" s="80">
        <f>((O90-H90)/H90)</f>
        <v>8.771929824561403E-2</v>
      </c>
      <c r="U90" s="81">
        <f>P90-I90</f>
        <v>4.3919061049281852E-4</v>
      </c>
      <c r="V90" s="83">
        <f>Q90-J90</f>
        <v>1.7726492888841469E-3</v>
      </c>
    </row>
    <row r="91" spans="1:28">
      <c r="A91" s="75">
        <v>80</v>
      </c>
      <c r="B91" s="125" t="s">
        <v>262</v>
      </c>
      <c r="C91" s="126" t="s">
        <v>261</v>
      </c>
      <c r="D91" s="2">
        <v>230718963.72999999</v>
      </c>
      <c r="E91" s="3">
        <f t="shared" si="26"/>
        <v>8.4929717579817088E-4</v>
      </c>
      <c r="F91" s="2">
        <v>0.96</v>
      </c>
      <c r="G91" s="2">
        <v>0.96</v>
      </c>
      <c r="H91" s="60">
        <v>130</v>
      </c>
      <c r="I91" s="5">
        <v>-3.4314999999999998E-2</v>
      </c>
      <c r="J91" s="5">
        <v>-7.7155000000000001E-2</v>
      </c>
      <c r="K91" s="2">
        <v>233597255.09999999</v>
      </c>
      <c r="L91" s="3">
        <f t="shared" si="27"/>
        <v>8.6687008247794326E-4</v>
      </c>
      <c r="M91" s="2">
        <v>0.97</v>
      </c>
      <c r="N91" s="2">
        <v>0.97</v>
      </c>
      <c r="O91" s="60">
        <v>142</v>
      </c>
      <c r="P91" s="5">
        <v>-1.298E-2</v>
      </c>
      <c r="Q91" s="5">
        <v>-6.5598000000000004E-2</v>
      </c>
      <c r="R91" s="80">
        <f>((K91-D91)/D91)</f>
        <v>1.2475313357285791E-2</v>
      </c>
      <c r="S91" s="80">
        <f>((N91-G91)/G91)</f>
        <v>1.0416666666666676E-2</v>
      </c>
      <c r="T91" s="80">
        <f>((O91-H91)/H91)</f>
        <v>9.2307692307692313E-2</v>
      </c>
      <c r="U91" s="81">
        <f>P91-I91</f>
        <v>2.1335E-2</v>
      </c>
      <c r="V91" s="83">
        <f>Q91-J91</f>
        <v>1.1556999999999998E-2</v>
      </c>
    </row>
    <row r="92" spans="1:28">
      <c r="A92" s="75">
        <v>81</v>
      </c>
      <c r="B92" s="125" t="s">
        <v>127</v>
      </c>
      <c r="C92" s="126" t="s">
        <v>91</v>
      </c>
      <c r="D92" s="2">
        <v>2574996833.3800001</v>
      </c>
      <c r="E92" s="3">
        <f t="shared" si="26"/>
        <v>9.4787940398264863E-3</v>
      </c>
      <c r="F92" s="14">
        <v>25.954000000000001</v>
      </c>
      <c r="G92" s="14">
        <v>25.954000000000001</v>
      </c>
      <c r="H92" s="60">
        <v>1317</v>
      </c>
      <c r="I92" s="5">
        <v>0</v>
      </c>
      <c r="J92" s="5">
        <v>0.10589999999999999</v>
      </c>
      <c r="K92" s="2">
        <v>2575032452.4299998</v>
      </c>
      <c r="L92" s="3">
        <f t="shared" si="27"/>
        <v>9.5558425695789536E-3</v>
      </c>
      <c r="M92" s="14">
        <v>25.747299999999999</v>
      </c>
      <c r="N92" s="14">
        <v>25.747299999999999</v>
      </c>
      <c r="O92" s="60">
        <v>1317</v>
      </c>
      <c r="P92" s="5">
        <v>0</v>
      </c>
      <c r="Q92" s="5">
        <v>0.10390000000000001</v>
      </c>
      <c r="R92" s="80">
        <f t="shared" si="15"/>
        <v>1.3832657787372698E-5</v>
      </c>
      <c r="S92" s="80">
        <f t="shared" si="16"/>
        <v>-7.9640903136318653E-3</v>
      </c>
      <c r="T92" s="80">
        <f t="shared" si="17"/>
        <v>0</v>
      </c>
      <c r="U92" s="81">
        <f t="shared" si="18"/>
        <v>0</v>
      </c>
      <c r="V92" s="83">
        <f t="shared" si="19"/>
        <v>-1.9999999999999879E-3</v>
      </c>
    </row>
    <row r="93" spans="1:28">
      <c r="A93" s="75"/>
      <c r="B93" s="19"/>
      <c r="C93" s="71" t="s">
        <v>46</v>
      </c>
      <c r="D93" s="59">
        <f>SUM(D59:D92)</f>
        <v>271658696513.58481</v>
      </c>
      <c r="E93" s="100">
        <f>(D93/$D$186)</f>
        <v>0.1027123959134999</v>
      </c>
      <c r="F93" s="30"/>
      <c r="G93" s="11"/>
      <c r="H93" s="65">
        <f>SUM(H59:H92)</f>
        <v>49723</v>
      </c>
      <c r="I93" s="12"/>
      <c r="J93" s="12"/>
      <c r="K93" s="59">
        <f>SUM(K59:K92)</f>
        <v>269472046413.53357</v>
      </c>
      <c r="L93" s="100">
        <f>(K93/$K$186)</f>
        <v>0.10405676518100887</v>
      </c>
      <c r="M93" s="30"/>
      <c r="N93" s="11"/>
      <c r="O93" s="65">
        <f>SUM(O59:O92)</f>
        <v>49828</v>
      </c>
      <c r="P93" s="12"/>
      <c r="Q93" s="12"/>
      <c r="R93" s="80">
        <f t="shared" si="15"/>
        <v>-8.0492549221294358E-3</v>
      </c>
      <c r="S93" s="80" t="e">
        <f t="shared" si="16"/>
        <v>#DIV/0!</v>
      </c>
      <c r="T93" s="80">
        <f t="shared" si="17"/>
        <v>2.1116988114152405E-3</v>
      </c>
      <c r="U93" s="81">
        <f t="shared" si="18"/>
        <v>0</v>
      </c>
      <c r="V93" s="83">
        <f t="shared" si="19"/>
        <v>0</v>
      </c>
    </row>
    <row r="94" spans="1:28" ht="8.25" customHeight="1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</row>
    <row r="95" spans="1:28" ht="15" customHeight="1">
      <c r="A95" s="168" t="s">
        <v>128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</row>
    <row r="96" spans="1:28">
      <c r="A96" s="172" t="s">
        <v>230</v>
      </c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Z96" s="117"/>
      <c r="AB96" s="103"/>
    </row>
    <row r="97" spans="1:27" ht="16.5" customHeight="1">
      <c r="A97" s="75">
        <v>82</v>
      </c>
      <c r="B97" s="125" t="s">
        <v>129</v>
      </c>
      <c r="C97" s="126" t="s">
        <v>17</v>
      </c>
      <c r="D97" s="2">
        <v>2981748829.8499999</v>
      </c>
      <c r="E97" s="3">
        <f>(D97/$D$123)</f>
        <v>2.4420818849092531E-3</v>
      </c>
      <c r="F97" s="2">
        <f>109.2027*1304.342</f>
        <v>142437.66812340001</v>
      </c>
      <c r="G97" s="2">
        <f>109.2027*1304.342</f>
        <v>142437.66812340001</v>
      </c>
      <c r="H97" s="60">
        <v>237</v>
      </c>
      <c r="I97" s="5">
        <v>1.1000000000000001E-3</v>
      </c>
      <c r="J97" s="5">
        <v>1.34E-2</v>
      </c>
      <c r="K97" s="2">
        <v>2229956622.4400001</v>
      </c>
      <c r="L97" s="3">
        <f t="shared" ref="L97:L108" si="28">(K97/$K$123)</f>
        <v>1.9283321047900779E-3</v>
      </c>
      <c r="M97" s="2">
        <f>109.296*1247.165</f>
        <v>136310.14584000001</v>
      </c>
      <c r="N97" s="2">
        <f>109.296*1247.165</f>
        <v>136310.14584000001</v>
      </c>
      <c r="O97" s="60">
        <v>238</v>
      </c>
      <c r="P97" s="5">
        <v>8.9999999999999998E-4</v>
      </c>
      <c r="Q97" s="5">
        <v>1.4200000000000001E-2</v>
      </c>
      <c r="R97" s="81">
        <f>((K97-D97)/D97)</f>
        <v>-0.25213129955275931</v>
      </c>
      <c r="S97" s="81">
        <f>((N97-G97)/G97)</f>
        <v>-4.3018973591251577E-2</v>
      </c>
      <c r="T97" s="81">
        <f>((O97-H97)/H97)</f>
        <v>4.2194092827004216E-3</v>
      </c>
      <c r="U97" s="81">
        <f>P97-I97</f>
        <v>-2.0000000000000009E-4</v>
      </c>
      <c r="V97" s="83">
        <f>Q97-J97</f>
        <v>8.0000000000000036E-4</v>
      </c>
      <c r="X97" s="117"/>
      <c r="Y97" s="119"/>
      <c r="Z97" s="117"/>
      <c r="AA97" s="104"/>
    </row>
    <row r="98" spans="1:27">
      <c r="A98" s="75">
        <v>83</v>
      </c>
      <c r="B98" s="125" t="s">
        <v>130</v>
      </c>
      <c r="C98" s="126" t="s">
        <v>21</v>
      </c>
      <c r="D98" s="2">
        <f>10997457.36*1304.342</f>
        <v>14344445527.857121</v>
      </c>
      <c r="E98" s="3">
        <f>(D98/$D$123)</f>
        <v>1.1748243253074291E-2</v>
      </c>
      <c r="F98" s="2">
        <f>1.1154*1304.342</f>
        <v>1454.8630668000001</v>
      </c>
      <c r="G98" s="2">
        <f>1.1154*1304.342</f>
        <v>1454.8630668000001</v>
      </c>
      <c r="H98" s="60">
        <v>303</v>
      </c>
      <c r="I98" s="5">
        <v>3.7499999999999999E-2</v>
      </c>
      <c r="J98" s="5">
        <v>-0.21160000000000001</v>
      </c>
      <c r="K98" s="2">
        <f>10935466.84*1247.165</f>
        <v>13638331501.5086</v>
      </c>
      <c r="L98" s="3">
        <f t="shared" si="28"/>
        <v>1.1793607205395996E-2</v>
      </c>
      <c r="M98" s="2">
        <f>1.1162*1247.165</f>
        <v>1392.0855730000001</v>
      </c>
      <c r="N98" s="2">
        <f>1.1162*1247.165</f>
        <v>1392.0855730000001</v>
      </c>
      <c r="O98" s="60">
        <v>299</v>
      </c>
      <c r="P98" s="5">
        <v>3.7499999999999999E-2</v>
      </c>
      <c r="Q98" s="5">
        <v>-0.19359999999999999</v>
      </c>
      <c r="R98" s="81">
        <f t="shared" ref="R98:R108" si="29">((K98-D98)/D98)</f>
        <v>-4.9225606174685292E-2</v>
      </c>
      <c r="S98" s="81">
        <f t="shared" ref="S98:S108" si="30">((N98-G98)/G98)</f>
        <v>-4.3150104798577595E-2</v>
      </c>
      <c r="T98" s="81">
        <f t="shared" ref="T98:T108" si="31">((O98-H98)/H98)</f>
        <v>-1.3201320132013201E-2</v>
      </c>
      <c r="U98" s="81">
        <f t="shared" ref="U98:U108" si="32">P98-I98</f>
        <v>0</v>
      </c>
      <c r="V98" s="83">
        <f t="shared" ref="V98:V108" si="33">Q98-J98</f>
        <v>1.8000000000000016E-2</v>
      </c>
    </row>
    <row r="99" spans="1:27">
      <c r="A99" s="75">
        <v>84</v>
      </c>
      <c r="B99" s="125" t="s">
        <v>243</v>
      </c>
      <c r="C99" s="126" t="s">
        <v>25</v>
      </c>
      <c r="D99" s="2">
        <f>387511.51*1304.342</f>
        <v>505447537.97642004</v>
      </c>
      <c r="E99" s="3">
        <v>0</v>
      </c>
      <c r="F99" s="2">
        <f>1.1261*1304.342</f>
        <v>1468.8195262000002</v>
      </c>
      <c r="G99" s="2">
        <f>1.1261*1304.342</f>
        <v>1468.8195262000002</v>
      </c>
      <c r="H99" s="60">
        <v>28</v>
      </c>
      <c r="I99" s="5">
        <v>2.6699999999999998E-4</v>
      </c>
      <c r="J99" s="5">
        <v>0.1138</v>
      </c>
      <c r="K99" s="2">
        <f>379862.55*1247.165</f>
        <v>473751277.17074996</v>
      </c>
      <c r="L99" s="3">
        <f t="shared" si="28"/>
        <v>4.0967155515969687E-4</v>
      </c>
      <c r="M99" s="2">
        <f>1.128*1247.165</f>
        <v>1406.8021199999998</v>
      </c>
      <c r="N99" s="2">
        <f>1.128*1247.165</f>
        <v>1406.8021199999998</v>
      </c>
      <c r="O99" s="60">
        <v>28</v>
      </c>
      <c r="P99" s="5">
        <v>2.6600000000000001E-4</v>
      </c>
      <c r="Q99" s="5">
        <v>0.114</v>
      </c>
      <c r="R99" s="81">
        <f>((K99-D99)/D99)</f>
        <v>-6.2709299035400123E-2</v>
      </c>
      <c r="S99" s="81">
        <f>((N99-G99)/G99)</f>
        <v>-4.222261829569101E-2</v>
      </c>
      <c r="T99" s="81">
        <f>((O99-H99)/H99)</f>
        <v>0</v>
      </c>
      <c r="U99" s="81">
        <f>P99-I99</f>
        <v>-9.999999999999701E-7</v>
      </c>
      <c r="V99" s="83">
        <f t="shared" si="33"/>
        <v>2.0000000000000573E-4</v>
      </c>
    </row>
    <row r="100" spans="1:27">
      <c r="A100" s="75">
        <v>85</v>
      </c>
      <c r="B100" s="125" t="s">
        <v>139</v>
      </c>
      <c r="C100" s="126" t="s">
        <v>64</v>
      </c>
      <c r="D100" s="2">
        <f>419266.7*1304.342</f>
        <v>546867166.0114001</v>
      </c>
      <c r="E100" s="3">
        <f t="shared" ref="E100:E108" si="34">(D100/$D$123)</f>
        <v>4.4788963651082737E-4</v>
      </c>
      <c r="F100" s="2">
        <f>104.73*1304.342</f>
        <v>136603.73766000001</v>
      </c>
      <c r="G100" s="2">
        <f>105.97*1304.342</f>
        <v>138221.12174</v>
      </c>
      <c r="H100" s="60">
        <v>42</v>
      </c>
      <c r="I100" s="5">
        <v>1.8E-3</v>
      </c>
      <c r="J100" s="5">
        <v>2.3E-2</v>
      </c>
      <c r="K100" s="2">
        <f>418917.9*1247.165</f>
        <v>522459742.75349998</v>
      </c>
      <c r="L100" s="3">
        <f t="shared" si="28"/>
        <v>4.5179170091190718E-4</v>
      </c>
      <c r="M100" s="2">
        <f>104.58*1247.165</f>
        <v>130428.51569999999</v>
      </c>
      <c r="N100" s="2">
        <f>105.75*1247.165</f>
        <v>131887.69875000001</v>
      </c>
      <c r="O100" s="60">
        <v>42</v>
      </c>
      <c r="P100" s="5">
        <v>0</v>
      </c>
      <c r="Q100" s="5">
        <v>2.12E-2</v>
      </c>
      <c r="R100" s="81">
        <f>((K100-D100)/D100)</f>
        <v>-4.4631356158967711E-2</v>
      </c>
      <c r="S100" s="81">
        <f>((N100-G100)/G100)</f>
        <v>-4.5820949144903041E-2</v>
      </c>
      <c r="T100" s="81">
        <f>((O100-H100)/H100)</f>
        <v>0</v>
      </c>
      <c r="U100" s="81">
        <f>P100-I100</f>
        <v>-1.8E-3</v>
      </c>
      <c r="V100" s="83">
        <f>Q100-J100</f>
        <v>-1.7999999999999995E-3</v>
      </c>
    </row>
    <row r="101" spans="1:27">
      <c r="A101" s="75">
        <v>86</v>
      </c>
      <c r="B101" s="125" t="s">
        <v>131</v>
      </c>
      <c r="C101" s="126" t="s">
        <v>67</v>
      </c>
      <c r="D101" s="2">
        <v>3583432185.2357602</v>
      </c>
      <c r="E101" s="3">
        <f t="shared" si="34"/>
        <v>2.9348665245574218E-3</v>
      </c>
      <c r="F101" s="2">
        <v>142281.66882020002</v>
      </c>
      <c r="G101" s="2">
        <v>142281.66882020002</v>
      </c>
      <c r="H101" s="60">
        <v>47</v>
      </c>
      <c r="I101" s="5">
        <v>1.0434121872746713E-3</v>
      </c>
      <c r="J101" s="5">
        <v>5.7802428885700197E-2</v>
      </c>
      <c r="K101" s="2">
        <v>3430503731.5176001</v>
      </c>
      <c r="L101" s="3">
        <f t="shared" si="28"/>
        <v>2.9664928970005288E-3</v>
      </c>
      <c r="M101" s="2">
        <v>136209.49962449999</v>
      </c>
      <c r="N101" s="2">
        <v>136209.49962449999</v>
      </c>
      <c r="O101" s="60">
        <v>47</v>
      </c>
      <c r="P101" s="5">
        <v>1.2119200866128432E-3</v>
      </c>
      <c r="Q101" s="5">
        <v>6.2576470600811618E-2</v>
      </c>
      <c r="R101" s="81">
        <f t="shared" si="29"/>
        <v>-4.267653071495163E-2</v>
      </c>
      <c r="S101" s="81">
        <f t="shared" si="30"/>
        <v>-4.2677101316357005E-2</v>
      </c>
      <c r="T101" s="81">
        <f t="shared" si="31"/>
        <v>0</v>
      </c>
      <c r="U101" s="81">
        <f t="shared" si="32"/>
        <v>1.6850789933817189E-4</v>
      </c>
      <c r="V101" s="83">
        <f t="shared" si="33"/>
        <v>4.7740417151114212E-3</v>
      </c>
      <c r="X101" s="108"/>
    </row>
    <row r="102" spans="1:27">
      <c r="A102" s="75">
        <v>87</v>
      </c>
      <c r="B102" s="125" t="s">
        <v>132</v>
      </c>
      <c r="C102" s="126" t="s">
        <v>27</v>
      </c>
      <c r="D102" s="2">
        <v>37348555256.080002</v>
      </c>
      <c r="E102" s="3">
        <f t="shared" si="34"/>
        <v>3.0588837431687218E-2</v>
      </c>
      <c r="F102" s="2">
        <v>165245.01999999999</v>
      </c>
      <c r="G102" s="2">
        <v>165245.01999999999</v>
      </c>
      <c r="H102" s="60">
        <v>2098</v>
      </c>
      <c r="I102" s="5">
        <v>1.2999999999999999E-3</v>
      </c>
      <c r="J102" s="5">
        <v>1.84E-2</v>
      </c>
      <c r="K102" s="2">
        <v>35101463722.559998</v>
      </c>
      <c r="L102" s="3">
        <f t="shared" si="28"/>
        <v>3.035363053263064E-2</v>
      </c>
      <c r="M102" s="2">
        <v>155524.49</v>
      </c>
      <c r="N102" s="2">
        <v>155524.49</v>
      </c>
      <c r="O102" s="60">
        <v>2102</v>
      </c>
      <c r="P102" s="5">
        <v>1.2999999999999999E-3</v>
      </c>
      <c r="Q102" s="5">
        <v>1.9900000000000001E-2</v>
      </c>
      <c r="R102" s="81">
        <f t="shared" si="29"/>
        <v>-6.0165420539371427E-2</v>
      </c>
      <c r="S102" s="81">
        <f t="shared" si="30"/>
        <v>-5.8824949762479976E-2</v>
      </c>
      <c r="T102" s="81">
        <f t="shared" si="31"/>
        <v>1.9065776930409914E-3</v>
      </c>
      <c r="U102" s="81">
        <f t="shared" si="32"/>
        <v>0</v>
      </c>
      <c r="V102" s="83">
        <f t="shared" si="33"/>
        <v>1.5000000000000013E-3</v>
      </c>
    </row>
    <row r="103" spans="1:27">
      <c r="A103" s="75">
        <v>88</v>
      </c>
      <c r="B103" s="156" t="s">
        <v>133</v>
      </c>
      <c r="C103" s="156" t="s">
        <v>27</v>
      </c>
      <c r="D103" s="2">
        <v>58020592500.589996</v>
      </c>
      <c r="E103" s="3">
        <f t="shared" si="34"/>
        <v>4.7519441100785278E-2</v>
      </c>
      <c r="F103" s="2">
        <v>149833.5</v>
      </c>
      <c r="G103" s="2">
        <v>149833.5</v>
      </c>
      <c r="H103" s="60">
        <v>351</v>
      </c>
      <c r="I103" s="5">
        <v>1.6000000000000001E-3</v>
      </c>
      <c r="J103" s="5">
        <v>2.2800000000000001E-2</v>
      </c>
      <c r="K103" s="2">
        <v>57282693007.889999</v>
      </c>
      <c r="L103" s="3">
        <f t="shared" si="28"/>
        <v>4.9534620926878804E-2</v>
      </c>
      <c r="M103" s="2">
        <v>141077.13</v>
      </c>
      <c r="N103" s="2">
        <v>141077.13</v>
      </c>
      <c r="O103" s="60">
        <v>357</v>
      </c>
      <c r="P103" s="5">
        <v>1.6000000000000001E-3</v>
      </c>
      <c r="Q103" s="5">
        <v>2.47E-2</v>
      </c>
      <c r="R103" s="81">
        <f t="shared" si="29"/>
        <v>-1.2717889647412571E-2</v>
      </c>
      <c r="S103" s="81">
        <f t="shared" si="30"/>
        <v>-5.8440669142748418E-2</v>
      </c>
      <c r="T103" s="81">
        <f t="shared" si="31"/>
        <v>1.7094017094017096E-2</v>
      </c>
      <c r="U103" s="81">
        <f t="shared" si="32"/>
        <v>0</v>
      </c>
      <c r="V103" s="83">
        <f t="shared" si="33"/>
        <v>1.8999999999999989E-3</v>
      </c>
    </row>
    <row r="104" spans="1:27">
      <c r="A104" s="75">
        <v>89</v>
      </c>
      <c r="B104" s="125" t="s">
        <v>134</v>
      </c>
      <c r="C104" s="126" t="s">
        <v>31</v>
      </c>
      <c r="D104" s="2">
        <f>117248.5*1304.342</f>
        <v>152932142.98700002</v>
      </c>
      <c r="E104" s="3">
        <f t="shared" si="34"/>
        <v>1.2525294292735326E-4</v>
      </c>
      <c r="F104" s="2">
        <f>117.04*1304.342</f>
        <v>152660.18768000003</v>
      </c>
      <c r="G104" s="2">
        <f>117.04*1304.342</f>
        <v>152660.18768000003</v>
      </c>
      <c r="H104" s="60">
        <v>4</v>
      </c>
      <c r="I104" s="5">
        <v>1.9E-3</v>
      </c>
      <c r="J104" s="5">
        <v>2.1399999999999999E-2</v>
      </c>
      <c r="K104" s="2">
        <f>117435.57*1247.165</f>
        <v>146461532.65905002</v>
      </c>
      <c r="L104" s="3">
        <f t="shared" si="28"/>
        <v>1.2665110733597049E-4</v>
      </c>
      <c r="M104" s="2">
        <f>117.23*1247.165</f>
        <v>146205.15294999999</v>
      </c>
      <c r="N104" s="2">
        <f>117.23*1247.165</f>
        <v>146205.15294999999</v>
      </c>
      <c r="O104" s="60">
        <v>4</v>
      </c>
      <c r="P104" s="5">
        <v>1.6000000000000001E-3</v>
      </c>
      <c r="Q104" s="5">
        <v>2.3E-2</v>
      </c>
      <c r="R104" s="81">
        <f t="shared" si="29"/>
        <v>-4.2310335823254858E-2</v>
      </c>
      <c r="S104" s="81">
        <f t="shared" si="30"/>
        <v>-4.2283681345465264E-2</v>
      </c>
      <c r="T104" s="81">
        <f t="shared" si="31"/>
        <v>0</v>
      </c>
      <c r="U104" s="81">
        <f t="shared" si="32"/>
        <v>-2.9999999999999992E-4</v>
      </c>
      <c r="V104" s="83">
        <f t="shared" si="33"/>
        <v>1.6000000000000007E-3</v>
      </c>
    </row>
    <row r="105" spans="1:27">
      <c r="A105" s="75">
        <v>90</v>
      </c>
      <c r="B105" s="125" t="s">
        <v>135</v>
      </c>
      <c r="C105" s="126" t="s">
        <v>34</v>
      </c>
      <c r="D105" s="2">
        <f>10427643.27*1304.342</f>
        <v>13601213078.078341</v>
      </c>
      <c r="E105" s="3">
        <f t="shared" si="34"/>
        <v>1.1139528500271724E-2</v>
      </c>
      <c r="F105" s="2">
        <f>1.34*1304.342</f>
        <v>1747.8182800000002</v>
      </c>
      <c r="G105" s="2">
        <f>1.34*1304.342</f>
        <v>1747.8182800000002</v>
      </c>
      <c r="H105" s="61">
        <v>115</v>
      </c>
      <c r="I105" s="12">
        <v>8.0000000000000004E-4</v>
      </c>
      <c r="J105" s="12">
        <v>4.6300000000000001E-2</v>
      </c>
      <c r="K105" s="2">
        <f>10447608.68*1247.165</f>
        <v>13029891879.392199</v>
      </c>
      <c r="L105" s="3">
        <f t="shared" si="28"/>
        <v>1.1267465286155605E-2</v>
      </c>
      <c r="M105" s="2">
        <f>1.34*1247.165</f>
        <v>1671.2011</v>
      </c>
      <c r="N105" s="2">
        <f>1.34*1247.165</f>
        <v>1671.2011</v>
      </c>
      <c r="O105" s="61">
        <v>116</v>
      </c>
      <c r="P105" s="12">
        <v>8.9999999999999998E-4</v>
      </c>
      <c r="Q105" s="12">
        <v>4.58E-2</v>
      </c>
      <c r="R105" s="81">
        <f t="shared" si="29"/>
        <v>-4.2005164936866173E-2</v>
      </c>
      <c r="S105" s="81">
        <f t="shared" si="30"/>
        <v>-4.383589580033468E-2</v>
      </c>
      <c r="T105" s="81">
        <f t="shared" si="31"/>
        <v>8.6956521739130436E-3</v>
      </c>
      <c r="U105" s="81">
        <f t="shared" si="32"/>
        <v>9.9999999999999937E-5</v>
      </c>
      <c r="V105" s="83">
        <f t="shared" si="33"/>
        <v>-5.0000000000000044E-4</v>
      </c>
    </row>
    <row r="106" spans="1:27">
      <c r="A106" s="75">
        <v>91</v>
      </c>
      <c r="B106" s="125" t="s">
        <v>136</v>
      </c>
      <c r="C106" s="126" t="s">
        <v>78</v>
      </c>
      <c r="D106" s="2">
        <f>9981570.8*1304.342</f>
        <v>13019382020.413603</v>
      </c>
      <c r="E106" s="3">
        <f t="shared" si="34"/>
        <v>1.0663003089487165E-2</v>
      </c>
      <c r="F106" s="2">
        <f>104.99*1304.342</f>
        <v>136942.86658</v>
      </c>
      <c r="G106" s="2">
        <f>104.99*1304.342</f>
        <v>136942.86658</v>
      </c>
      <c r="H106" s="60">
        <v>294</v>
      </c>
      <c r="I106" s="5">
        <v>1.8E-3</v>
      </c>
      <c r="J106" s="5">
        <v>2.58E-2</v>
      </c>
      <c r="K106" s="2">
        <f>9949999.77*1247.165</f>
        <v>12409291463.15205</v>
      </c>
      <c r="L106" s="3">
        <f t="shared" si="28"/>
        <v>1.0730807444994319E-2</v>
      </c>
      <c r="M106" s="2">
        <f>102.84*1247.165</f>
        <v>128258.4486</v>
      </c>
      <c r="N106" s="2">
        <f>102.84*1247.165</f>
        <v>128258.4486</v>
      </c>
      <c r="O106" s="60">
        <v>298</v>
      </c>
      <c r="P106" s="5">
        <v>1.2999999999999999E-3</v>
      </c>
      <c r="Q106" s="5">
        <v>2.7199999999999998E-2</v>
      </c>
      <c r="R106" s="81">
        <f t="shared" si="29"/>
        <v>-4.6860177872111573E-2</v>
      </c>
      <c r="S106" s="81">
        <f t="shared" si="30"/>
        <v>-6.3416358930435346E-2</v>
      </c>
      <c r="T106" s="81">
        <f t="shared" si="31"/>
        <v>1.3605442176870748E-2</v>
      </c>
      <c r="U106" s="81">
        <f t="shared" si="32"/>
        <v>-5.0000000000000001E-4</v>
      </c>
      <c r="V106" s="83">
        <f t="shared" si="33"/>
        <v>1.3999999999999985E-3</v>
      </c>
    </row>
    <row r="107" spans="1:27">
      <c r="A107" s="75">
        <v>92</v>
      </c>
      <c r="B107" s="125" t="s">
        <v>137</v>
      </c>
      <c r="C107" s="126" t="s">
        <v>38</v>
      </c>
      <c r="D107" s="2">
        <f>2099596.84*1304.342</f>
        <v>2738592341.47928</v>
      </c>
      <c r="E107" s="3">
        <f t="shared" si="34"/>
        <v>2.2429343076540102E-3</v>
      </c>
      <c r="F107" s="2">
        <f>148.115109*1304.342</f>
        <v>193192.757503278</v>
      </c>
      <c r="G107" s="2">
        <f>151.231494*1304.342</f>
        <v>197257.58934694802</v>
      </c>
      <c r="H107" s="60">
        <v>48</v>
      </c>
      <c r="I107" s="5">
        <v>-9.8500000000000004E-2</v>
      </c>
      <c r="J107" s="5">
        <v>0.12089999999999999</v>
      </c>
      <c r="K107" s="2">
        <f>2099596.84*1247.165</f>
        <v>2618543692.9585996</v>
      </c>
      <c r="L107" s="3">
        <f t="shared" si="28"/>
        <v>2.2643587862272423E-3</v>
      </c>
      <c r="M107" s="2">
        <f>175.597951*1247.165</f>
        <v>218999.61855891498</v>
      </c>
      <c r="N107" s="2">
        <f>175.597951*1247.165</f>
        <v>218999.61855891498</v>
      </c>
      <c r="O107" s="60">
        <v>48</v>
      </c>
      <c r="P107" s="5">
        <v>-0.18379999999999999</v>
      </c>
      <c r="Q107" s="5">
        <v>0.32690000000000002</v>
      </c>
      <c r="R107" s="81">
        <f t="shared" si="29"/>
        <v>-4.3835895800334729E-2</v>
      </c>
      <c r="S107" s="81">
        <f t="shared" si="30"/>
        <v>0.1102215092658657</v>
      </c>
      <c r="T107" s="81">
        <f t="shared" si="31"/>
        <v>0</v>
      </c>
      <c r="U107" s="81">
        <f t="shared" si="32"/>
        <v>-8.5299999999999987E-2</v>
      </c>
      <c r="V107" s="83">
        <f t="shared" si="33"/>
        <v>0.20600000000000002</v>
      </c>
    </row>
    <row r="108" spans="1:27" ht="16.5" customHeight="1">
      <c r="A108" s="75">
        <v>93</v>
      </c>
      <c r="B108" s="125" t="s">
        <v>138</v>
      </c>
      <c r="C108" s="126" t="s">
        <v>45</v>
      </c>
      <c r="D108" s="4">
        <v>191488996120.94</v>
      </c>
      <c r="E108" s="3">
        <f t="shared" si="34"/>
        <v>0.15683138831312313</v>
      </c>
      <c r="F108" s="2">
        <f>125.6763*1309.39</f>
        <v>164559.290457</v>
      </c>
      <c r="G108" s="2">
        <f>125.9823*1309.39</f>
        <v>164959.963797</v>
      </c>
      <c r="H108" s="60">
        <v>3125</v>
      </c>
      <c r="I108" s="5">
        <v>5.3499999999999999E-2</v>
      </c>
      <c r="J108" s="5">
        <v>5.3900000000000003E-2</v>
      </c>
      <c r="K108" s="4">
        <v>184220462449.10001</v>
      </c>
      <c r="L108" s="3">
        <f t="shared" si="28"/>
        <v>0.15930275437877164</v>
      </c>
      <c r="M108" s="2">
        <v>157700.23000000001</v>
      </c>
      <c r="N108" s="2">
        <v>157700.23000000001</v>
      </c>
      <c r="O108" s="60">
        <v>3125</v>
      </c>
      <c r="P108" s="5">
        <v>5.3499999999999999E-2</v>
      </c>
      <c r="Q108" s="5">
        <v>5.3900000000000003E-2</v>
      </c>
      <c r="R108" s="81">
        <f t="shared" si="29"/>
        <v>-3.7957970531368596E-2</v>
      </c>
      <c r="S108" s="81">
        <f t="shared" si="30"/>
        <v>-4.400906516889052E-2</v>
      </c>
      <c r="T108" s="81">
        <f t="shared" si="31"/>
        <v>0</v>
      </c>
      <c r="U108" s="81">
        <f t="shared" si="32"/>
        <v>0</v>
      </c>
      <c r="V108" s="83">
        <f t="shared" si="33"/>
        <v>0</v>
      </c>
    </row>
    <row r="109" spans="1:27" ht="6" customHeight="1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</row>
    <row r="110" spans="1:27">
      <c r="A110" s="172" t="s">
        <v>231</v>
      </c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</row>
    <row r="111" spans="1:27">
      <c r="A111" s="75">
        <v>94</v>
      </c>
      <c r="B111" s="125" t="s">
        <v>140</v>
      </c>
      <c r="C111" s="126" t="s">
        <v>97</v>
      </c>
      <c r="D111" s="4">
        <v>1816562124.53</v>
      </c>
      <c r="E111" s="3">
        <f>(D111/$D$123)</f>
        <v>1.4877824090066456E-3</v>
      </c>
      <c r="F111" s="2">
        <f>110.18*1617.04499999991</f>
        <v>178166.01809999009</v>
      </c>
      <c r="G111" s="2">
        <f>110.18*1617.04499999991</f>
        <v>178166.01809999009</v>
      </c>
      <c r="H111" s="60">
        <v>26</v>
      </c>
      <c r="I111" s="5">
        <v>5.4000000000000003E-3</v>
      </c>
      <c r="J111" s="5">
        <v>6.3299999999999995E-2</v>
      </c>
      <c r="K111" s="4">
        <v>1445500573.9300001</v>
      </c>
      <c r="L111" s="3">
        <f t="shared" ref="L111:L122" si="35">(K111/$K$123)</f>
        <v>1.2499817871577013E-3</v>
      </c>
      <c r="M111" s="2">
        <v>177567.71</v>
      </c>
      <c r="N111" s="2">
        <v>177567.71</v>
      </c>
      <c r="O111" s="60">
        <v>25</v>
      </c>
      <c r="P111" s="5" t="s">
        <v>270</v>
      </c>
      <c r="Q111" s="5">
        <v>5.9900000000000002E-2</v>
      </c>
      <c r="R111" s="81">
        <f>((K111-D111)/D111)</f>
        <v>-0.20426581925790446</v>
      </c>
      <c r="S111" s="81">
        <f>((N111-G111)/G111)</f>
        <v>-3.3581493618739223E-3</v>
      </c>
      <c r="T111" s="81">
        <f>((O111-H111)/H111)</f>
        <v>-3.8461538461538464E-2</v>
      </c>
      <c r="U111" s="81" t="e">
        <f>P111-I111</f>
        <v>#VALUE!</v>
      </c>
      <c r="V111" s="83">
        <f>Q111-J111</f>
        <v>-3.3999999999999933E-3</v>
      </c>
    </row>
    <row r="112" spans="1:27">
      <c r="A112" s="75">
        <v>95</v>
      </c>
      <c r="B112" s="126" t="s">
        <v>141</v>
      </c>
      <c r="C112" s="126" t="s">
        <v>23</v>
      </c>
      <c r="D112" s="2">
        <f>7234125.52*1304.342</f>
        <v>9435773749.0078392</v>
      </c>
      <c r="E112" s="3">
        <f>(D112/$D$123)</f>
        <v>7.7279923486088913E-3</v>
      </c>
      <c r="F112" s="4">
        <f>133.66*1304.342</f>
        <v>174338.35172000001</v>
      </c>
      <c r="G112" s="4">
        <f>133.66*1304.342</f>
        <v>174338.35172000001</v>
      </c>
      <c r="H112" s="60">
        <v>360</v>
      </c>
      <c r="I112" s="5">
        <v>5.0000000000000001E-4</v>
      </c>
      <c r="J112" s="5">
        <v>1.5100000000000001E-2</v>
      </c>
      <c r="K112" s="2">
        <f>7428139.92*1247.165</f>
        <v>9264116123.3267994</v>
      </c>
      <c r="L112" s="3">
        <f t="shared" si="35"/>
        <v>8.011049346586618E-3</v>
      </c>
      <c r="M112" s="4">
        <f>133.83*1247.165</f>
        <v>166908.09195</v>
      </c>
      <c r="N112" s="4">
        <f>133.83*1247.165</f>
        <v>166908.09195</v>
      </c>
      <c r="O112" s="60">
        <v>363</v>
      </c>
      <c r="P112" s="5">
        <v>5.0000000000000001E-4</v>
      </c>
      <c r="Q112" s="5">
        <v>1.6400000000000001E-2</v>
      </c>
      <c r="R112" s="81">
        <f t="shared" ref="R112:R123" si="36">((K112-D112)/D112)</f>
        <v>-1.8192215100440428E-2</v>
      </c>
      <c r="S112" s="81">
        <f t="shared" ref="S112:S123" si="37">((N112-G112)/G112)</f>
        <v>-4.2619766085281903E-2</v>
      </c>
      <c r="T112" s="81">
        <f t="shared" ref="T112:T123" si="38">((O112-H112)/H112)</f>
        <v>8.3333333333333332E-3</v>
      </c>
      <c r="U112" s="81">
        <f t="shared" ref="U112:U123" si="39">P112-I112</f>
        <v>0</v>
      </c>
      <c r="V112" s="83">
        <f t="shared" ref="V112:V123" si="40">Q112-J112</f>
        <v>1.3000000000000008E-3</v>
      </c>
    </row>
    <row r="113" spans="1:24">
      <c r="A113" s="75">
        <v>96</v>
      </c>
      <c r="B113" s="125" t="s">
        <v>142</v>
      </c>
      <c r="C113" s="126" t="s">
        <v>58</v>
      </c>
      <c r="D113" s="4">
        <v>14403779972.76</v>
      </c>
      <c r="E113" s="3">
        <f t="shared" ref="E113:E122" si="41">(D113/$D$123)</f>
        <v>1.1796838752332273E-2</v>
      </c>
      <c r="F113" s="4">
        <v>151342.68</v>
      </c>
      <c r="G113" s="4">
        <v>151342.68</v>
      </c>
      <c r="H113" s="60">
        <v>597</v>
      </c>
      <c r="I113" s="5">
        <v>1.1999999999999999E-3</v>
      </c>
      <c r="J113" s="5">
        <v>6.3799999999999996E-2</v>
      </c>
      <c r="K113" s="4">
        <v>13207377096</v>
      </c>
      <c r="L113" s="3">
        <f t="shared" si="35"/>
        <v>1.142094380581217E-2</v>
      </c>
      <c r="M113" s="4">
        <v>139536</v>
      </c>
      <c r="N113" s="4">
        <v>139536</v>
      </c>
      <c r="O113" s="60">
        <v>598</v>
      </c>
      <c r="P113" s="5">
        <v>1.4E-3</v>
      </c>
      <c r="Q113" s="5">
        <v>6.4100000000000004E-2</v>
      </c>
      <c r="R113" s="81">
        <f t="shared" si="36"/>
        <v>-8.3061729561448569E-2</v>
      </c>
      <c r="S113" s="81">
        <f t="shared" si="37"/>
        <v>-7.8012891009991328E-2</v>
      </c>
      <c r="T113" s="81">
        <f t="shared" si="38"/>
        <v>1.6750418760469012E-3</v>
      </c>
      <c r="U113" s="81">
        <f t="shared" si="39"/>
        <v>2.0000000000000009E-4</v>
      </c>
      <c r="V113" s="83">
        <f t="shared" si="40"/>
        <v>3.0000000000000859E-4</v>
      </c>
    </row>
    <row r="114" spans="1:24">
      <c r="A114" s="75">
        <v>97</v>
      </c>
      <c r="B114" s="125" t="s">
        <v>143</v>
      </c>
      <c r="C114" s="126" t="s">
        <v>56</v>
      </c>
      <c r="D114" s="4">
        <v>5416622251.2565527</v>
      </c>
      <c r="E114" s="3">
        <f t="shared" si="41"/>
        <v>4.4362673826740277E-3</v>
      </c>
      <c r="F114" s="4">
        <v>1577.9728809224002</v>
      </c>
      <c r="G114" s="4">
        <v>1577.9728809224002</v>
      </c>
      <c r="H114" s="60">
        <v>169</v>
      </c>
      <c r="I114" s="5">
        <v>4.7755196175607903E-2</v>
      </c>
      <c r="J114" s="5">
        <v>4.9026701526823507E-2</v>
      </c>
      <c r="K114" s="4">
        <v>5223338556.5988197</v>
      </c>
      <c r="L114" s="3">
        <f t="shared" si="35"/>
        <v>4.5168284133959109E-3</v>
      </c>
      <c r="M114" s="4">
        <v>1521.3087797012872</v>
      </c>
      <c r="N114" s="4">
        <v>1521.3087797012872</v>
      </c>
      <c r="O114" s="60">
        <v>171</v>
      </c>
      <c r="P114" s="5">
        <v>4.4068774471438234E-2</v>
      </c>
      <c r="Q114" s="5">
        <v>4.8703494885450289E-2</v>
      </c>
      <c r="R114" s="81">
        <f t="shared" si="36"/>
        <v>-3.5683436225019169E-2</v>
      </c>
      <c r="S114" s="81">
        <f t="shared" si="37"/>
        <v>-3.5909426521950207E-2</v>
      </c>
      <c r="T114" s="81">
        <f t="shared" si="38"/>
        <v>1.1834319526627219E-2</v>
      </c>
      <c r="U114" s="81">
        <f t="shared" si="39"/>
        <v>-3.6864217041696692E-3</v>
      </c>
      <c r="V114" s="83">
        <f t="shared" si="40"/>
        <v>-3.2320664137321792E-4</v>
      </c>
    </row>
    <row r="115" spans="1:24" ht="15.75">
      <c r="A115" s="75">
        <v>98</v>
      </c>
      <c r="B115" s="125" t="s">
        <v>253</v>
      </c>
      <c r="C115" s="126" t="s">
        <v>114</v>
      </c>
      <c r="D115" s="4">
        <v>1221028593.74</v>
      </c>
      <c r="E115" s="3">
        <f t="shared" si="41"/>
        <v>1.0000345367381864E-3</v>
      </c>
      <c r="F115" s="4">
        <f>1.052257*1304.342</f>
        <v>1372.5029998940001</v>
      </c>
      <c r="G115" s="4">
        <f>1.063479*1304.342</f>
        <v>1387.1403258180003</v>
      </c>
      <c r="H115" s="60">
        <v>36</v>
      </c>
      <c r="I115" s="5">
        <v>3.2000000000000002E-3</v>
      </c>
      <c r="J115" s="5">
        <v>2.5899999999999999E-2</v>
      </c>
      <c r="K115" s="4">
        <v>1142471475.95</v>
      </c>
      <c r="L115" s="3">
        <f t="shared" si="35"/>
        <v>9.879404844524355E-4</v>
      </c>
      <c r="M115" s="4">
        <f>1.046791*1247.165</f>
        <v>1305.5210975150001</v>
      </c>
      <c r="N115" s="4">
        <f>1.05848*1247.165</f>
        <v>1320.0992092000001</v>
      </c>
      <c r="O115" s="60">
        <v>36</v>
      </c>
      <c r="P115" s="5">
        <v>3.0999999999999999E-3</v>
      </c>
      <c r="Q115" s="5">
        <v>2.1000000000000001E-2</v>
      </c>
      <c r="R115" s="81">
        <f t="shared" si="36"/>
        <v>-6.4336837149226944E-2</v>
      </c>
      <c r="S115" s="81">
        <f t="shared" si="37"/>
        <v>-4.8330450330225844E-2</v>
      </c>
      <c r="T115" s="81">
        <f t="shared" si="38"/>
        <v>0</v>
      </c>
      <c r="U115" s="81">
        <f t="shared" si="39"/>
        <v>-1.0000000000000026E-4</v>
      </c>
      <c r="V115" s="83">
        <f t="shared" si="40"/>
        <v>-4.8999999999999981E-3</v>
      </c>
      <c r="X115" s="120"/>
    </row>
    <row r="116" spans="1:24" ht="15.75">
      <c r="A116" s="75">
        <v>99</v>
      </c>
      <c r="B116" s="125" t="s">
        <v>259</v>
      </c>
      <c r="C116" s="126" t="s">
        <v>36</v>
      </c>
      <c r="D116" s="2">
        <f>830263.3267*1304.342</f>
        <v>1082947328.0745316</v>
      </c>
      <c r="E116" s="3">
        <f t="shared" si="41"/>
        <v>8.8694460972916123E-4</v>
      </c>
      <c r="F116" s="4">
        <f>10.19*1304.342</f>
        <v>13291.244979999999</v>
      </c>
      <c r="G116" s="4">
        <f>10.19*1304.342</f>
        <v>13291.244979999999</v>
      </c>
      <c r="H116" s="60">
        <v>37</v>
      </c>
      <c r="I116" s="5">
        <v>7.4700000000000003E-2</v>
      </c>
      <c r="J116" s="5">
        <v>9.6299999999999997E-2</v>
      </c>
      <c r="K116" s="2">
        <f>841080.9679*1247.165</f>
        <v>1048966745.3310035</v>
      </c>
      <c r="L116" s="3">
        <f t="shared" si="35"/>
        <v>9.0708322822246137E-4</v>
      </c>
      <c r="M116" s="4">
        <f>10.2*1247.165</f>
        <v>12721.082999999999</v>
      </c>
      <c r="N116" s="4">
        <f>10.2*1247.165</f>
        <v>12721.082999999999</v>
      </c>
      <c r="O116" s="60">
        <v>37</v>
      </c>
      <c r="P116" s="5">
        <v>7.6200000000000004E-2</v>
      </c>
      <c r="Q116" s="5">
        <v>9.7900000000000001E-2</v>
      </c>
      <c r="R116" s="81">
        <f t="shared" ref="R116" si="42">((K116-D116)/D116)</f>
        <v>-3.1377872092768454E-2</v>
      </c>
      <c r="S116" s="81">
        <f t="shared" ref="S116" si="43">((N116-G116)/G116)</f>
        <v>-4.2897560074917886E-2</v>
      </c>
      <c r="T116" s="81">
        <f t="shared" ref="T116" si="44">((O116-H116)/H116)</f>
        <v>0</v>
      </c>
      <c r="U116" s="81">
        <f t="shared" ref="U116" si="45">P116-I116</f>
        <v>1.5000000000000013E-3</v>
      </c>
      <c r="V116" s="83">
        <f t="shared" ref="V116" si="46">Q116-J116</f>
        <v>1.6000000000000042E-3</v>
      </c>
      <c r="X116" s="120"/>
    </row>
    <row r="117" spans="1:24" ht="15.75">
      <c r="A117" s="75">
        <v>100</v>
      </c>
      <c r="B117" s="126" t="s">
        <v>144</v>
      </c>
      <c r="C117" s="157" t="s">
        <v>40</v>
      </c>
      <c r="D117" s="4">
        <v>15113635790</v>
      </c>
      <c r="E117" s="3">
        <f t="shared" si="41"/>
        <v>1.2378217711829162E-2</v>
      </c>
      <c r="F117" s="4">
        <f>1.0376*1304.342</f>
        <v>1353.3852592000003</v>
      </c>
      <c r="G117" s="4">
        <f>1.0376*1304.342</f>
        <v>1353.3852592000003</v>
      </c>
      <c r="H117" s="60">
        <v>371</v>
      </c>
      <c r="I117" s="5">
        <v>7.3200000000000001E-2</v>
      </c>
      <c r="J117" s="5">
        <v>8.8800000000000004E-2</v>
      </c>
      <c r="K117" s="4">
        <v>15113635790</v>
      </c>
      <c r="L117" s="3">
        <f t="shared" si="35"/>
        <v>1.306936144886626E-2</v>
      </c>
      <c r="M117" s="4">
        <f>1.0395*1247.165</f>
        <v>1296.4280175000001</v>
      </c>
      <c r="N117" s="4">
        <f>1.0395*1247.165</f>
        <v>1296.4280175000001</v>
      </c>
      <c r="O117" s="60">
        <v>371</v>
      </c>
      <c r="P117" s="5">
        <v>7.8399999999999997E-2</v>
      </c>
      <c r="Q117" s="5">
        <v>8.9200000000000002E-2</v>
      </c>
      <c r="R117" s="81">
        <f t="shared" si="36"/>
        <v>0</v>
      </c>
      <c r="S117" s="81">
        <f t="shared" si="37"/>
        <v>-4.2085017043608237E-2</v>
      </c>
      <c r="T117" s="81">
        <f t="shared" si="38"/>
        <v>0</v>
      </c>
      <c r="U117" s="81">
        <f t="shared" si="39"/>
        <v>5.1999999999999963E-3</v>
      </c>
      <c r="V117" s="83">
        <f t="shared" si="40"/>
        <v>3.9999999999999758E-4</v>
      </c>
      <c r="X117" s="120"/>
    </row>
    <row r="118" spans="1:24">
      <c r="A118" s="75">
        <v>101</v>
      </c>
      <c r="B118" s="125" t="s">
        <v>145</v>
      </c>
      <c r="C118" s="126" t="s">
        <v>80</v>
      </c>
      <c r="D118" s="4">
        <v>332857214.10000002</v>
      </c>
      <c r="E118" s="3">
        <f t="shared" si="41"/>
        <v>2.7261336188932547E-4</v>
      </c>
      <c r="F118" s="4">
        <f>1.06*1303.33</f>
        <v>1381.5298</v>
      </c>
      <c r="G118" s="4">
        <f>1.06*1303.33</f>
        <v>1381.5298</v>
      </c>
      <c r="H118" s="60">
        <v>2</v>
      </c>
      <c r="I118" s="5">
        <v>4.6709999999999998E-3</v>
      </c>
      <c r="J118" s="5">
        <v>2.8315E-2</v>
      </c>
      <c r="K118" s="4">
        <v>319423343.95999998</v>
      </c>
      <c r="L118" s="3">
        <f t="shared" si="35"/>
        <v>2.7621805867393946E-4</v>
      </c>
      <c r="M118" s="4">
        <f>1.06*1247.165</f>
        <v>1321.9948999999999</v>
      </c>
      <c r="N118" s="4">
        <f>1.06*1247.165</f>
        <v>1321.9948999999999</v>
      </c>
      <c r="O118" s="60">
        <v>2</v>
      </c>
      <c r="P118" s="5">
        <v>-3.777E-3</v>
      </c>
      <c r="Q118" s="5">
        <v>2.4431000000000001E-2</v>
      </c>
      <c r="R118" s="81">
        <f t="shared" si="36"/>
        <v>-4.0359257876754678E-2</v>
      </c>
      <c r="S118" s="81">
        <f t="shared" si="37"/>
        <v>-4.3093460597086006E-2</v>
      </c>
      <c r="T118" s="81">
        <f t="shared" si="38"/>
        <v>0</v>
      </c>
      <c r="U118" s="81">
        <f t="shared" si="39"/>
        <v>-8.4480000000000006E-3</v>
      </c>
      <c r="V118" s="83">
        <f t="shared" si="40"/>
        <v>-3.8839999999999986E-3</v>
      </c>
    </row>
    <row r="119" spans="1:24">
      <c r="A119" s="75">
        <v>102</v>
      </c>
      <c r="B119" s="125" t="s">
        <v>146</v>
      </c>
      <c r="C119" s="126" t="s">
        <v>42</v>
      </c>
      <c r="D119" s="2">
        <v>736133899915.18005</v>
      </c>
      <c r="E119" s="3">
        <f t="shared" si="41"/>
        <v>0.60290097001258736</v>
      </c>
      <c r="F119" s="4">
        <v>1980.01</v>
      </c>
      <c r="G119" s="4">
        <v>1980.01</v>
      </c>
      <c r="H119" s="60">
        <v>7035</v>
      </c>
      <c r="I119" s="5">
        <v>1.1999999999999999E-3</v>
      </c>
      <c r="J119" s="5">
        <v>1.7500000000000002E-2</v>
      </c>
      <c r="K119" s="2">
        <v>699209074516.93005</v>
      </c>
      <c r="L119" s="3">
        <f t="shared" si="35"/>
        <v>0.60463387170116678</v>
      </c>
      <c r="M119" s="4">
        <v>1874.17</v>
      </c>
      <c r="N119" s="4">
        <v>1874.17</v>
      </c>
      <c r="O119" s="60">
        <v>7089</v>
      </c>
      <c r="P119" s="5">
        <v>1.6000000000000001E-3</v>
      </c>
      <c r="Q119" s="5">
        <v>7.0599999999999996E-2</v>
      </c>
      <c r="R119" s="81">
        <f t="shared" si="36"/>
        <v>-5.0160474069329788E-2</v>
      </c>
      <c r="S119" s="81">
        <f t="shared" si="37"/>
        <v>-5.345427548345711E-2</v>
      </c>
      <c r="T119" s="81">
        <f t="shared" si="38"/>
        <v>7.6759061833688701E-3</v>
      </c>
      <c r="U119" s="81">
        <f t="shared" si="39"/>
        <v>4.0000000000000018E-4</v>
      </c>
      <c r="V119" s="83">
        <f t="shared" si="40"/>
        <v>5.3099999999999994E-2</v>
      </c>
    </row>
    <row r="120" spans="1:24" ht="16.5" customHeight="1">
      <c r="A120" s="75">
        <v>103</v>
      </c>
      <c r="B120" s="125" t="s">
        <v>147</v>
      </c>
      <c r="C120" s="126" t="s">
        <v>45</v>
      </c>
      <c r="D120" s="2">
        <v>41282576436.629997</v>
      </c>
      <c r="E120" s="3">
        <f t="shared" si="41"/>
        <v>3.3810839822932814E-2</v>
      </c>
      <c r="F120" s="4">
        <f>1.1028*1309.39</f>
        <v>1443.9952920000001</v>
      </c>
      <c r="G120" s="4">
        <f>1.1062*1309.39</f>
        <v>1448.4472180000002</v>
      </c>
      <c r="H120" s="60">
        <v>247</v>
      </c>
      <c r="I120" s="5">
        <v>6.8199999999999997E-2</v>
      </c>
      <c r="J120" s="5">
        <v>7.8399999999999997E-2</v>
      </c>
      <c r="K120" s="2">
        <v>38624439511.160004</v>
      </c>
      <c r="L120" s="3">
        <f t="shared" si="35"/>
        <v>3.3400087692017973E-2</v>
      </c>
      <c r="M120" s="4">
        <v>1384.91</v>
      </c>
      <c r="N120" s="4">
        <v>1384.91</v>
      </c>
      <c r="O120" s="60">
        <v>251</v>
      </c>
      <c r="P120" s="5">
        <v>6.8199999999999997E-2</v>
      </c>
      <c r="Q120" s="5">
        <v>7.8E-2</v>
      </c>
      <c r="R120" s="81">
        <f t="shared" si="36"/>
        <v>-6.4388833132794268E-2</v>
      </c>
      <c r="S120" s="81">
        <f t="shared" si="37"/>
        <v>-4.3865746166250816E-2</v>
      </c>
      <c r="T120" s="81">
        <f t="shared" si="38"/>
        <v>1.6194331983805668E-2</v>
      </c>
      <c r="U120" s="81">
        <f t="shared" si="39"/>
        <v>0</v>
      </c>
      <c r="V120" s="83">
        <f t="shared" si="40"/>
        <v>-3.9999999999999758E-4</v>
      </c>
    </row>
    <row r="121" spans="1:24" ht="16.5" customHeight="1">
      <c r="A121" s="75">
        <v>104</v>
      </c>
      <c r="B121" s="125" t="s">
        <v>148</v>
      </c>
      <c r="C121" s="126" t="s">
        <v>32</v>
      </c>
      <c r="D121" s="4">
        <v>55603328092.15303</v>
      </c>
      <c r="E121" s="3">
        <f t="shared" ref="E121" si="47">(D121/$D$123)</f>
        <v>4.5539677559408534E-2</v>
      </c>
      <c r="F121" s="4">
        <f>1.1044*1595.11</f>
        <v>1761.639484</v>
      </c>
      <c r="G121" s="4">
        <f>1.1044*1595.11</f>
        <v>1761.639484</v>
      </c>
      <c r="H121" s="60">
        <v>1293</v>
      </c>
      <c r="I121" s="5">
        <v>1.6325049882097709E-3</v>
      </c>
      <c r="J121" s="5">
        <v>1.2467913458012569E-2</v>
      </c>
      <c r="K121" s="4">
        <v>45908525521.780365</v>
      </c>
      <c r="L121" s="3">
        <f t="shared" ref="L121" si="48">(K121/$K$123)</f>
        <v>3.9698926318287912E-2</v>
      </c>
      <c r="M121" s="4">
        <f>1.1054*1309.39</f>
        <v>1447.3997059999999</v>
      </c>
      <c r="N121" s="4">
        <f>1.1054*1309.39</f>
        <v>1447.3997059999999</v>
      </c>
      <c r="O121" s="60">
        <v>1298</v>
      </c>
      <c r="P121" s="5">
        <v>9.05469032959072E-4</v>
      </c>
      <c r="Q121" s="5">
        <v>1.3384671800513281E-2</v>
      </c>
      <c r="R121" s="81">
        <f t="shared" ref="R121" si="49">((K121-D121)/D121)</f>
        <v>-0.17435651611186265</v>
      </c>
      <c r="S121" s="81">
        <f t="shared" ref="S121" si="50">((N121-G121)/G121)</f>
        <v>-0.17837916375857077</v>
      </c>
      <c r="T121" s="81">
        <f t="shared" ref="T121" si="51">((O121-H121)/H121)</f>
        <v>3.8669760247486465E-3</v>
      </c>
      <c r="U121" s="81">
        <f t="shared" ref="U121" si="52">P121-I121</f>
        <v>-7.2703595525069886E-4</v>
      </c>
      <c r="V121" s="83">
        <f t="shared" ref="V121" si="53">Q121-J121</f>
        <v>9.1675834250071198E-4</v>
      </c>
    </row>
    <row r="122" spans="1:24">
      <c r="A122" s="75">
        <v>105</v>
      </c>
      <c r="B122" s="125" t="s">
        <v>263</v>
      </c>
      <c r="C122" s="126" t="s">
        <v>261</v>
      </c>
      <c r="D122" s="4">
        <f>621929.43*1304.342</f>
        <v>811208676.58506012</v>
      </c>
      <c r="E122" s="3">
        <f t="shared" si="41"/>
        <v>6.6438795720739582E-4</v>
      </c>
      <c r="F122" s="4">
        <f>1.14*1304.342</f>
        <v>1486.9498799999999</v>
      </c>
      <c r="G122" s="4">
        <f>1.14*1304.342</f>
        <v>1486.9498799999999</v>
      </c>
      <c r="H122" s="60">
        <v>23</v>
      </c>
      <c r="I122" s="5">
        <v>3.6212000000000001E-2</v>
      </c>
      <c r="J122" s="5">
        <v>-7.4819999999999999E-3</v>
      </c>
      <c r="K122" s="4">
        <f>646769.74*1247.165</f>
        <v>806628582.78709996</v>
      </c>
      <c r="L122" s="3">
        <f t="shared" si="35"/>
        <v>6.9752378910748858E-4</v>
      </c>
      <c r="M122" s="4">
        <f>1.15*1247.165</f>
        <v>1434.23975</v>
      </c>
      <c r="N122" s="4">
        <f>1.15*1247.165</f>
        <v>1434.23975</v>
      </c>
      <c r="O122" s="60">
        <v>25</v>
      </c>
      <c r="P122" s="5">
        <v>1.312E-3</v>
      </c>
      <c r="Q122" s="5">
        <v>-4.5392000000000002E-2</v>
      </c>
      <c r="R122" s="81">
        <f t="shared" si="36"/>
        <v>-5.646011846472049E-3</v>
      </c>
      <c r="S122" s="81">
        <f t="shared" si="37"/>
        <v>-3.544849137753045E-2</v>
      </c>
      <c r="T122" s="81">
        <f t="shared" si="38"/>
        <v>8.6956521739130432E-2</v>
      </c>
      <c r="U122" s="81">
        <f t="shared" si="39"/>
        <v>-3.49E-2</v>
      </c>
      <c r="V122" s="83">
        <f t="shared" si="40"/>
        <v>-3.7909999999999999E-2</v>
      </c>
    </row>
    <row r="123" spans="1:24">
      <c r="A123" s="75"/>
      <c r="B123" s="19"/>
      <c r="C123" s="66" t="s">
        <v>46</v>
      </c>
      <c r="D123" s="59">
        <f>SUM(D97:D122)</f>
        <v>1220986424851.5159</v>
      </c>
      <c r="E123" s="100">
        <f>(D123/$D$186)</f>
        <v>0.46164706922270865</v>
      </c>
      <c r="F123" s="30"/>
      <c r="G123" s="11"/>
      <c r="H123" s="65">
        <f>SUM(H97:H122)</f>
        <v>16888</v>
      </c>
      <c r="I123" s="33"/>
      <c r="J123" s="33"/>
      <c r="K123" s="59">
        <f>SUM(K97:K122)</f>
        <v>1156417308460.8564</v>
      </c>
      <c r="L123" s="100">
        <f>(K123/$K$186)</f>
        <v>0.4465511206795148</v>
      </c>
      <c r="M123" s="30"/>
      <c r="N123" s="11"/>
      <c r="O123" s="65">
        <f>SUM(O97:O122)</f>
        <v>16970</v>
      </c>
      <c r="P123" s="33"/>
      <c r="Q123" s="33"/>
      <c r="R123" s="81">
        <f t="shared" si="36"/>
        <v>-5.2882747159544934E-2</v>
      </c>
      <c r="S123" s="81" t="e">
        <f t="shared" si="37"/>
        <v>#DIV/0!</v>
      </c>
      <c r="T123" s="81">
        <f t="shared" si="38"/>
        <v>4.8555187115111318E-3</v>
      </c>
      <c r="U123" s="81">
        <f t="shared" si="39"/>
        <v>0</v>
      </c>
      <c r="V123" s="83">
        <f t="shared" si="40"/>
        <v>0</v>
      </c>
    </row>
    <row r="124" spans="1:24" ht="8.25" customHeight="1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</row>
    <row r="125" spans="1:24" ht="15.75">
      <c r="A125" s="168" t="s">
        <v>149</v>
      </c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</row>
    <row r="126" spans="1:24">
      <c r="A126" s="75">
        <v>106</v>
      </c>
      <c r="B126" s="125" t="s">
        <v>245</v>
      </c>
      <c r="C126" s="126" t="s">
        <v>246</v>
      </c>
      <c r="D126" s="2">
        <v>2232298780.62432</v>
      </c>
      <c r="E126" s="3">
        <f>(D126/$D$131)</f>
        <v>2.2347025053625805E-2</v>
      </c>
      <c r="F126" s="14">
        <v>105.19786902093874</v>
      </c>
      <c r="G126" s="14">
        <v>105.19786902093874</v>
      </c>
      <c r="H126" s="60">
        <v>7</v>
      </c>
      <c r="I126" s="5">
        <v>2.2000000000000001E-3</v>
      </c>
      <c r="J126" s="5">
        <v>2.9399999999999999E-2</v>
      </c>
      <c r="K126" s="2">
        <v>2236738906.1498466</v>
      </c>
      <c r="L126" s="3">
        <f>(K126/$K$131)</f>
        <v>2.2403877775153208E-2</v>
      </c>
      <c r="M126" s="14">
        <v>105.4071115056478</v>
      </c>
      <c r="N126" s="14">
        <v>105.4071115056478</v>
      </c>
      <c r="O126" s="60">
        <v>7</v>
      </c>
      <c r="P126" s="5">
        <v>1.9890372937823031E-3</v>
      </c>
      <c r="Q126" s="5">
        <v>3.1471893411941121E-2</v>
      </c>
      <c r="R126" s="81">
        <f t="shared" ref="R126:R131" si="54">((K126-D126)/D126)</f>
        <v>1.9890372937822992E-3</v>
      </c>
      <c r="S126" s="81">
        <f t="shared" ref="S126:T131" si="55">((N126-G126)/G126)</f>
        <v>1.9890372937822298E-3</v>
      </c>
      <c r="T126" s="81">
        <f t="shared" si="55"/>
        <v>0</v>
      </c>
      <c r="U126" s="81">
        <f t="shared" ref="U126:V131" si="56">P126-I126</f>
        <v>-2.1096270621769704E-4</v>
      </c>
      <c r="V126" s="83">
        <f t="shared" si="56"/>
        <v>2.0718934119411218E-3</v>
      </c>
    </row>
    <row r="127" spans="1:24">
      <c r="A127" s="75">
        <v>107</v>
      </c>
      <c r="B127" s="125" t="s">
        <v>150</v>
      </c>
      <c r="C127" s="126" t="s">
        <v>40</v>
      </c>
      <c r="D127" s="2">
        <v>53749983529</v>
      </c>
      <c r="E127" s="3">
        <f>(D127/$D$131)</f>
        <v>0.53807861159992387</v>
      </c>
      <c r="F127" s="14">
        <v>102.5</v>
      </c>
      <c r="G127" s="14">
        <v>102.5</v>
      </c>
      <c r="H127" s="60">
        <v>666</v>
      </c>
      <c r="I127" s="5">
        <v>0</v>
      </c>
      <c r="J127" s="5">
        <v>7.6999999999999999E-2</v>
      </c>
      <c r="K127" s="2">
        <v>53749983529</v>
      </c>
      <c r="L127" s="3">
        <f>(K127/$K$131)</f>
        <v>0.53837667780056053</v>
      </c>
      <c r="M127" s="14">
        <v>102.5</v>
      </c>
      <c r="N127" s="14">
        <v>102.5</v>
      </c>
      <c r="O127" s="60">
        <v>666</v>
      </c>
      <c r="P127" s="5">
        <v>0</v>
      </c>
      <c r="Q127" s="5">
        <v>7.6999999999999999E-2</v>
      </c>
      <c r="R127" s="81">
        <f t="shared" si="54"/>
        <v>0</v>
      </c>
      <c r="S127" s="81">
        <f t="shared" si="55"/>
        <v>0</v>
      </c>
      <c r="T127" s="81">
        <f t="shared" si="55"/>
        <v>0</v>
      </c>
      <c r="U127" s="81">
        <f t="shared" si="56"/>
        <v>0</v>
      </c>
      <c r="V127" s="83">
        <f t="shared" si="56"/>
        <v>0</v>
      </c>
    </row>
    <row r="128" spans="1:24" ht="17.25" customHeight="1">
      <c r="A128" s="75">
        <v>108</v>
      </c>
      <c r="B128" s="125" t="s">
        <v>151</v>
      </c>
      <c r="C128" s="126" t="s">
        <v>120</v>
      </c>
      <c r="D128" s="2">
        <v>2643394715.9928608</v>
      </c>
      <c r="E128" s="3">
        <f>(D128/$D$131)</f>
        <v>2.6462411061476954E-2</v>
      </c>
      <c r="F128" s="14">
        <v>101.35</v>
      </c>
      <c r="G128" s="14">
        <v>101.35</v>
      </c>
      <c r="H128" s="60">
        <v>2771</v>
      </c>
      <c r="I128" s="5">
        <v>8.4870677681061865E-2</v>
      </c>
      <c r="J128" s="5">
        <v>7.2872052682687802E-2</v>
      </c>
      <c r="K128" s="2">
        <v>2581201647.8299999</v>
      </c>
      <c r="L128" s="3">
        <f>(K128/$K$131)</f>
        <v>2.5854124534610848E-2</v>
      </c>
      <c r="M128" s="14">
        <v>101.35</v>
      </c>
      <c r="N128" s="14">
        <v>101.35</v>
      </c>
      <c r="O128" s="60">
        <v>2760</v>
      </c>
      <c r="P128" s="5">
        <v>0.28539999999999999</v>
      </c>
      <c r="Q128" s="5">
        <v>8.1699999999999995E-2</v>
      </c>
      <c r="R128" s="81">
        <f t="shared" si="54"/>
        <v>-2.3527726595875074E-2</v>
      </c>
      <c r="S128" s="81">
        <f t="shared" si="55"/>
        <v>0</v>
      </c>
      <c r="T128" s="81">
        <f t="shared" si="55"/>
        <v>-3.9696860339227718E-3</v>
      </c>
      <c r="U128" s="81">
        <f t="shared" si="56"/>
        <v>0.20052932231893811</v>
      </c>
      <c r="V128" s="83">
        <f t="shared" si="56"/>
        <v>8.8279473173121931E-3</v>
      </c>
    </row>
    <row r="129" spans="1:22">
      <c r="A129" s="75">
        <v>109</v>
      </c>
      <c r="B129" s="125" t="s">
        <v>152</v>
      </c>
      <c r="C129" s="126" t="s">
        <v>120</v>
      </c>
      <c r="D129" s="2">
        <v>11008435052.780001</v>
      </c>
      <c r="E129" s="3">
        <f>(D129/$D$131)</f>
        <v>0.11020288863701538</v>
      </c>
      <c r="F129" s="14">
        <v>36.6</v>
      </c>
      <c r="G129" s="14">
        <v>36.6</v>
      </c>
      <c r="H129" s="60">
        <v>5274</v>
      </c>
      <c r="I129" s="5">
        <v>0.16439999999999999</v>
      </c>
      <c r="J129" s="5">
        <v>0.1484</v>
      </c>
      <c r="K129" s="2">
        <v>11019239379.09</v>
      </c>
      <c r="L129" s="3">
        <f>(K129/$K$131)</f>
        <v>0.1103721545440622</v>
      </c>
      <c r="M129" s="14">
        <v>36.6</v>
      </c>
      <c r="N129" s="14">
        <v>36.6</v>
      </c>
      <c r="O129" s="60">
        <v>5264</v>
      </c>
      <c r="P129" s="5">
        <v>4.3099999999999999E-2</v>
      </c>
      <c r="Q129" s="5">
        <v>0.1462</v>
      </c>
      <c r="R129" s="81">
        <f t="shared" si="54"/>
        <v>9.8145887750602742E-4</v>
      </c>
      <c r="S129" s="81">
        <f t="shared" si="55"/>
        <v>0</v>
      </c>
      <c r="T129" s="81">
        <f t="shared" si="55"/>
        <v>-1.8960940462646946E-3</v>
      </c>
      <c r="U129" s="81">
        <f t="shared" si="56"/>
        <v>-0.12129999999999999</v>
      </c>
      <c r="V129" s="83">
        <f t="shared" si="56"/>
        <v>-2.2000000000000075E-3</v>
      </c>
    </row>
    <row r="130" spans="1:22">
      <c r="A130" s="75">
        <v>110</v>
      </c>
      <c r="B130" s="125" t="s">
        <v>153</v>
      </c>
      <c r="C130" s="126" t="s">
        <v>42</v>
      </c>
      <c r="D130" s="2">
        <v>30258324398.830002</v>
      </c>
      <c r="E130" s="3">
        <f>(D130/$D$131)</f>
        <v>0.30290906364795789</v>
      </c>
      <c r="F130" s="14">
        <v>5.15</v>
      </c>
      <c r="G130" s="14">
        <v>5.15</v>
      </c>
      <c r="H130" s="60">
        <v>208300</v>
      </c>
      <c r="I130" s="5">
        <v>7.2900000000000006E-2</v>
      </c>
      <c r="J130" s="5">
        <v>-0.1953</v>
      </c>
      <c r="K130" s="2">
        <v>30249968689.689999</v>
      </c>
      <c r="L130" s="3">
        <f>(K130/$K$131)</f>
        <v>0.3029931653456131</v>
      </c>
      <c r="M130" s="14">
        <v>5.15</v>
      </c>
      <c r="N130" s="14">
        <v>5.15</v>
      </c>
      <c r="O130" s="60">
        <v>208300</v>
      </c>
      <c r="P130" s="5">
        <v>0</v>
      </c>
      <c r="Q130" s="5">
        <v>-0.1953</v>
      </c>
      <c r="R130" s="81">
        <f t="shared" si="54"/>
        <v>-2.7614579809073282E-4</v>
      </c>
      <c r="S130" s="81">
        <f t="shared" si="55"/>
        <v>0</v>
      </c>
      <c r="T130" s="81">
        <f t="shared" si="55"/>
        <v>0</v>
      </c>
      <c r="U130" s="81">
        <f t="shared" si="56"/>
        <v>-7.2900000000000006E-2</v>
      </c>
      <c r="V130" s="83">
        <f t="shared" si="56"/>
        <v>0</v>
      </c>
    </row>
    <row r="131" spans="1:22">
      <c r="A131" s="122"/>
      <c r="B131" s="123"/>
      <c r="C131" s="124" t="s">
        <v>46</v>
      </c>
      <c r="D131" s="58">
        <f>SUM(D126:D130)</f>
        <v>99892436477.227188</v>
      </c>
      <c r="E131" s="100">
        <f>(D131/$D$186)</f>
        <v>3.7768684072663275E-2</v>
      </c>
      <c r="F131" s="30"/>
      <c r="G131" s="34"/>
      <c r="H131" s="65">
        <f>SUM(H126:H130)</f>
        <v>217018</v>
      </c>
      <c r="I131" s="35"/>
      <c r="J131" s="35"/>
      <c r="K131" s="58">
        <f>SUM(K126:K130)</f>
        <v>99837132151.759857</v>
      </c>
      <c r="L131" s="100">
        <f>(K131/$K$186)</f>
        <v>3.8552158396119557E-2</v>
      </c>
      <c r="M131" s="30"/>
      <c r="N131" s="34"/>
      <c r="O131" s="65">
        <f>SUM(O126:O130)</f>
        <v>216997</v>
      </c>
      <c r="P131" s="35"/>
      <c r="Q131" s="35"/>
      <c r="R131" s="81">
        <f t="shared" si="54"/>
        <v>-5.5363876803564448E-4</v>
      </c>
      <c r="S131" s="81" t="e">
        <f t="shared" si="55"/>
        <v>#DIV/0!</v>
      </c>
      <c r="T131" s="81">
        <f t="shared" si="55"/>
        <v>-9.6766166861734975E-5</v>
      </c>
      <c r="U131" s="81">
        <f t="shared" si="56"/>
        <v>0</v>
      </c>
      <c r="V131" s="83">
        <f t="shared" si="56"/>
        <v>0</v>
      </c>
    </row>
    <row r="132" spans="1:22" ht="7.5" customHeight="1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</row>
    <row r="133" spans="1:22" ht="15" customHeight="1">
      <c r="A133" s="168" t="s">
        <v>154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</row>
    <row r="134" spans="1:22">
      <c r="A134" s="75">
        <v>111</v>
      </c>
      <c r="B134" s="125" t="s">
        <v>155</v>
      </c>
      <c r="C134" s="126" t="s">
        <v>50</v>
      </c>
      <c r="D134" s="4">
        <v>236024928.47999999</v>
      </c>
      <c r="E134" s="3">
        <f t="shared" ref="E134:E159" si="57">(D134/$D$160)</f>
        <v>4.7294416131876491E-3</v>
      </c>
      <c r="F134" s="4">
        <v>5.29</v>
      </c>
      <c r="G134" s="4">
        <v>5.37</v>
      </c>
      <c r="H134" s="62">
        <v>11832</v>
      </c>
      <c r="I134" s="6">
        <v>6.1000000000000004E-3</v>
      </c>
      <c r="J134" s="6">
        <v>5.16E-2</v>
      </c>
      <c r="K134" s="4">
        <v>235761753.84</v>
      </c>
      <c r="L134" s="16">
        <f t="shared" ref="L134:L150" si="58">(K134/$K$160)</f>
        <v>4.7802373855281161E-3</v>
      </c>
      <c r="M134" s="4">
        <v>5.29</v>
      </c>
      <c r="N134" s="4">
        <v>5.37</v>
      </c>
      <c r="O134" s="62">
        <v>11818</v>
      </c>
      <c r="P134" s="6">
        <v>-8.9999999999999998E-4</v>
      </c>
      <c r="Q134" s="6">
        <v>5.0700000000000002E-2</v>
      </c>
      <c r="R134" s="81">
        <f>((K134-D134)/D134)</f>
        <v>-1.1150290000926165E-3</v>
      </c>
      <c r="S134" s="81">
        <f>((N134-G134)/G134)</f>
        <v>0</v>
      </c>
      <c r="T134" s="81">
        <f>((O134-H134)/H134)</f>
        <v>-1.1832319134550372E-3</v>
      </c>
      <c r="U134" s="81">
        <f>P134-I134</f>
        <v>-7.0000000000000001E-3</v>
      </c>
      <c r="V134" s="83">
        <f>Q134-J134</f>
        <v>-8.9999999999999802E-4</v>
      </c>
    </row>
    <row r="135" spans="1:22">
      <c r="A135" s="75">
        <v>112</v>
      </c>
      <c r="B135" s="125" t="s">
        <v>255</v>
      </c>
      <c r="C135" s="125" t="s">
        <v>254</v>
      </c>
      <c r="D135" s="4">
        <v>625959806.85286295</v>
      </c>
      <c r="E135" s="3">
        <f t="shared" si="57"/>
        <v>1.2542913910738423E-2</v>
      </c>
      <c r="F135" s="4">
        <v>1194.801582310195</v>
      </c>
      <c r="G135" s="4">
        <v>1206.9122627528272</v>
      </c>
      <c r="H135" s="62">
        <v>176</v>
      </c>
      <c r="I135" s="6">
        <v>1.0274244026779155E-2</v>
      </c>
      <c r="J135" s="6">
        <v>6.6956023040956172E-2</v>
      </c>
      <c r="K135" s="4">
        <v>620737777.21971142</v>
      </c>
      <c r="L135" s="16">
        <f t="shared" si="58"/>
        <v>1.2585900303783077E-2</v>
      </c>
      <c r="M135" s="4">
        <v>1194.801582310195</v>
      </c>
      <c r="N135" s="4">
        <v>1184.9886895808804</v>
      </c>
      <c r="O135" s="62">
        <v>174</v>
      </c>
      <c r="P135" s="6">
        <v>-8.3043458345131195E-3</v>
      </c>
      <c r="Q135" s="6">
        <v>5.8095651235407331E-2</v>
      </c>
      <c r="R135" s="81">
        <f>((K135-D135)/D135)</f>
        <v>-8.3424360094401604E-3</v>
      </c>
      <c r="S135" s="81">
        <f>((N135-G135)/G135)</f>
        <v>-1.8165009875648869E-2</v>
      </c>
      <c r="T135" s="81">
        <f>((O135-H135)/H135)</f>
        <v>-1.1363636363636364E-2</v>
      </c>
      <c r="U135" s="81">
        <f>P135-I135</f>
        <v>-1.8578589861292273E-2</v>
      </c>
      <c r="V135" s="83">
        <f>Q135-J135</f>
        <v>-8.8603718055488417E-3</v>
      </c>
    </row>
    <row r="136" spans="1:22">
      <c r="A136" s="75">
        <v>113</v>
      </c>
      <c r="B136" s="125" t="s">
        <v>156</v>
      </c>
      <c r="C136" s="126" t="s">
        <v>21</v>
      </c>
      <c r="D136" s="4">
        <v>7314541135.5</v>
      </c>
      <c r="E136" s="3">
        <f t="shared" si="57"/>
        <v>0.14656797250353959</v>
      </c>
      <c r="F136" s="4">
        <v>767.98950000000002</v>
      </c>
      <c r="G136" s="4">
        <v>791.14490000000001</v>
      </c>
      <c r="H136" s="62">
        <v>21217</v>
      </c>
      <c r="I136" s="6">
        <v>2.3400000000000001E-2</v>
      </c>
      <c r="J136" s="6">
        <v>0.65500000000000003</v>
      </c>
      <c r="K136" s="4">
        <v>7288263566.0500002</v>
      </c>
      <c r="L136" s="16">
        <f t="shared" si="58"/>
        <v>0.1477747319340805</v>
      </c>
      <c r="M136" s="4">
        <v>764.69100000000003</v>
      </c>
      <c r="N136" s="4">
        <v>787.74699999999996</v>
      </c>
      <c r="O136" s="62">
        <v>21225</v>
      </c>
      <c r="P136" s="6">
        <v>-0.22459999999999999</v>
      </c>
      <c r="Q136" s="6">
        <v>0.58830000000000005</v>
      </c>
      <c r="R136" s="81">
        <f t="shared" ref="R136:R160" si="59">((K136-D136)/D136)</f>
        <v>-3.5925109946358313E-3</v>
      </c>
      <c r="S136" s="81">
        <f t="shared" ref="S136:S160" si="60">((N136-G136)/G136)</f>
        <v>-4.2949148758970063E-3</v>
      </c>
      <c r="T136" s="81">
        <f t="shared" ref="T136:T160" si="61">((O136-H136)/H136)</f>
        <v>3.7705613423198378E-4</v>
      </c>
      <c r="U136" s="81">
        <f t="shared" ref="U136:U160" si="62">P136-I136</f>
        <v>-0.248</v>
      </c>
      <c r="V136" s="83">
        <f t="shared" ref="V136:V160" si="63">Q136-J136</f>
        <v>-6.6699999999999982E-2</v>
      </c>
    </row>
    <row r="137" spans="1:22">
      <c r="A137" s="75">
        <v>114</v>
      </c>
      <c r="B137" s="125" t="s">
        <v>157</v>
      </c>
      <c r="C137" s="126" t="s">
        <v>91</v>
      </c>
      <c r="D137" s="4">
        <v>3607931093.8499999</v>
      </c>
      <c r="E137" s="3">
        <f t="shared" si="57"/>
        <v>7.2295327288760217E-2</v>
      </c>
      <c r="F137" s="4">
        <v>20.180299999999999</v>
      </c>
      <c r="G137" s="4">
        <v>20.427499999999998</v>
      </c>
      <c r="H137" s="60">
        <v>6263</v>
      </c>
      <c r="I137" s="5">
        <v>7.1000000000000004E-3</v>
      </c>
      <c r="J137" s="5">
        <v>9.4399999999999998E-2</v>
      </c>
      <c r="K137" s="4">
        <v>3612260422.3699999</v>
      </c>
      <c r="L137" s="16">
        <f t="shared" si="58"/>
        <v>7.3241151442210758E-2</v>
      </c>
      <c r="M137" s="4">
        <v>20.189599999999999</v>
      </c>
      <c r="N137" s="4">
        <v>20.436900000000001</v>
      </c>
      <c r="O137" s="60">
        <v>6262</v>
      </c>
      <c r="P137" s="5">
        <v>7.3000000000000001E-3</v>
      </c>
      <c r="Q137" s="5">
        <v>9.4899999999999998E-2</v>
      </c>
      <c r="R137" s="81">
        <f t="shared" si="59"/>
        <v>1.1999476728864525E-3</v>
      </c>
      <c r="S137" s="81">
        <f t="shared" si="60"/>
        <v>4.6016399461524718E-4</v>
      </c>
      <c r="T137" s="81">
        <f t="shared" si="61"/>
        <v>-1.596678907871627E-4</v>
      </c>
      <c r="U137" s="81">
        <f t="shared" si="62"/>
        <v>1.9999999999999966E-4</v>
      </c>
      <c r="V137" s="83">
        <f t="shared" si="63"/>
        <v>5.0000000000000044E-4</v>
      </c>
    </row>
    <row r="138" spans="1:22">
      <c r="A138" s="75">
        <v>115</v>
      </c>
      <c r="B138" s="125" t="s">
        <v>158</v>
      </c>
      <c r="C138" s="126" t="s">
        <v>101</v>
      </c>
      <c r="D138" s="2">
        <v>1538075702.3437524</v>
      </c>
      <c r="E138" s="3">
        <f t="shared" si="57"/>
        <v>3.0819792120024978E-2</v>
      </c>
      <c r="F138" s="4">
        <v>3.6133999999999999</v>
      </c>
      <c r="G138" s="4">
        <v>3.7079</v>
      </c>
      <c r="H138" s="60">
        <v>2753</v>
      </c>
      <c r="I138" s="5">
        <v>0.68569999999999998</v>
      </c>
      <c r="J138" s="5">
        <v>0.68769999999999998</v>
      </c>
      <c r="K138" s="2">
        <v>1511504506.4989114</v>
      </c>
      <c r="L138" s="16">
        <f t="shared" si="58"/>
        <v>3.0646829830014811E-2</v>
      </c>
      <c r="M138" s="4">
        <v>3.5516000000000001</v>
      </c>
      <c r="N138" s="4">
        <v>3.6432000000000002</v>
      </c>
      <c r="O138" s="60">
        <v>2753</v>
      </c>
      <c r="P138" s="5">
        <v>-0.9123</v>
      </c>
      <c r="Q138" s="5">
        <v>0.55289999999999995</v>
      </c>
      <c r="R138" s="81">
        <f t="shared" si="59"/>
        <v>-1.7275609909415544E-2</v>
      </c>
      <c r="S138" s="81">
        <f t="shared" si="60"/>
        <v>-1.7449230022384573E-2</v>
      </c>
      <c r="T138" s="81">
        <f t="shared" si="61"/>
        <v>0</v>
      </c>
      <c r="U138" s="81">
        <f t="shared" si="62"/>
        <v>-1.5979999999999999</v>
      </c>
      <c r="V138" s="83">
        <f t="shared" si="63"/>
        <v>-0.13480000000000003</v>
      </c>
    </row>
    <row r="139" spans="1:22">
      <c r="A139" s="75">
        <v>116</v>
      </c>
      <c r="B139" s="125" t="s">
        <v>159</v>
      </c>
      <c r="C139" s="126" t="s">
        <v>56</v>
      </c>
      <c r="D139" s="2">
        <v>3347989839.4558201</v>
      </c>
      <c r="E139" s="3">
        <f t="shared" si="57"/>
        <v>6.7086652961716828E-2</v>
      </c>
      <c r="F139" s="4">
        <v>6197.5593709238901</v>
      </c>
      <c r="G139" s="4">
        <v>6245.1719813894297</v>
      </c>
      <c r="H139" s="60">
        <v>867</v>
      </c>
      <c r="I139" s="5">
        <v>0.58510202080501927</v>
      </c>
      <c r="J139" s="5">
        <v>0.29138001098805838</v>
      </c>
      <c r="K139" s="4">
        <v>3295895808.3053699</v>
      </c>
      <c r="L139" s="16">
        <f t="shared" si="58"/>
        <v>6.6826633688681317E-2</v>
      </c>
      <c r="M139" s="4">
        <v>6085.9942692800096</v>
      </c>
      <c r="N139" s="4">
        <v>6131.4168012006803</v>
      </c>
      <c r="O139" s="60">
        <v>870</v>
      </c>
      <c r="P139" s="5">
        <v>-0.94121906377784792</v>
      </c>
      <c r="Q139" s="5">
        <v>0.1966401974656295</v>
      </c>
      <c r="R139" s="81">
        <f t="shared" si="59"/>
        <v>-1.5559793681726811E-2</v>
      </c>
      <c r="S139" s="81">
        <f t="shared" si="60"/>
        <v>-1.8214899530027199E-2</v>
      </c>
      <c r="T139" s="81">
        <f t="shared" si="61"/>
        <v>3.4602076124567475E-3</v>
      </c>
      <c r="U139" s="81">
        <f t="shared" si="62"/>
        <v>-1.5263210845828672</v>
      </c>
      <c r="V139" s="83">
        <f t="shared" si="63"/>
        <v>-9.4739813522428884E-2</v>
      </c>
    </row>
    <row r="140" spans="1:22">
      <c r="A140" s="75">
        <v>117</v>
      </c>
      <c r="B140" s="125" t="s">
        <v>160</v>
      </c>
      <c r="C140" s="126" t="s">
        <v>58</v>
      </c>
      <c r="D140" s="4">
        <v>533424413.72000003</v>
      </c>
      <c r="E140" s="3">
        <f t="shared" si="57"/>
        <v>1.0688699858885316E-2</v>
      </c>
      <c r="F140" s="4">
        <v>191.28</v>
      </c>
      <c r="G140" s="4">
        <v>192.67</v>
      </c>
      <c r="H140" s="60">
        <v>668</v>
      </c>
      <c r="I140" s="5">
        <v>1.84E-2</v>
      </c>
      <c r="J140" s="5">
        <v>0.106</v>
      </c>
      <c r="K140" s="4">
        <v>526480481.63</v>
      </c>
      <c r="L140" s="16">
        <f t="shared" si="58"/>
        <v>1.0674766538878638E-2</v>
      </c>
      <c r="M140" s="4">
        <v>188.7</v>
      </c>
      <c r="N140" s="4">
        <v>190.08</v>
      </c>
      <c r="O140" s="60">
        <v>668</v>
      </c>
      <c r="P140" s="5">
        <v>-1.35E-2</v>
      </c>
      <c r="Q140" s="5">
        <v>9.11E-2</v>
      </c>
      <c r="R140" s="81">
        <f t="shared" si="59"/>
        <v>-1.3017649570206914E-2</v>
      </c>
      <c r="S140" s="81">
        <f t="shared" si="60"/>
        <v>-1.3442674002179765E-2</v>
      </c>
      <c r="T140" s="81">
        <f t="shared" si="61"/>
        <v>0</v>
      </c>
      <c r="U140" s="81">
        <f t="shared" si="62"/>
        <v>-3.1899999999999998E-2</v>
      </c>
      <c r="V140" s="83">
        <f t="shared" si="63"/>
        <v>-1.4899999999999997E-2</v>
      </c>
    </row>
    <row r="141" spans="1:22">
      <c r="A141" s="75">
        <v>118</v>
      </c>
      <c r="B141" s="125" t="s">
        <v>161</v>
      </c>
      <c r="C141" s="126" t="s">
        <v>60</v>
      </c>
      <c r="D141" s="4">
        <v>3734808.11</v>
      </c>
      <c r="E141" s="3">
        <f t="shared" si="57"/>
        <v>7.4837675013643602E-5</v>
      </c>
      <c r="F141" s="4">
        <v>102.747</v>
      </c>
      <c r="G141" s="4">
        <v>102.99</v>
      </c>
      <c r="H141" s="60">
        <v>0</v>
      </c>
      <c r="I141" s="5">
        <v>0</v>
      </c>
      <c r="J141" s="5">
        <v>0</v>
      </c>
      <c r="K141" s="4">
        <v>3734808.11</v>
      </c>
      <c r="L141" s="16">
        <f t="shared" si="58"/>
        <v>7.5725893044177749E-5</v>
      </c>
      <c r="M141" s="4">
        <v>102.747</v>
      </c>
      <c r="N141" s="4">
        <v>102.99</v>
      </c>
      <c r="O141" s="60">
        <v>0</v>
      </c>
      <c r="P141" s="5">
        <v>0</v>
      </c>
      <c r="Q141" s="5">
        <v>0</v>
      </c>
      <c r="R141" s="81">
        <f t="shared" si="59"/>
        <v>0</v>
      </c>
      <c r="S141" s="81">
        <f t="shared" si="60"/>
        <v>0</v>
      </c>
      <c r="T141" s="81" t="e">
        <f t="shared" si="61"/>
        <v>#DIV/0!</v>
      </c>
      <c r="U141" s="81">
        <f t="shared" si="62"/>
        <v>0</v>
      </c>
      <c r="V141" s="83">
        <f t="shared" si="63"/>
        <v>0</v>
      </c>
    </row>
    <row r="142" spans="1:22">
      <c r="A142" s="75">
        <v>119</v>
      </c>
      <c r="B142" s="125" t="s">
        <v>162</v>
      </c>
      <c r="C142" s="126" t="s">
        <v>105</v>
      </c>
      <c r="D142" s="4">
        <v>189929842.68000001</v>
      </c>
      <c r="E142" s="3">
        <f t="shared" si="57"/>
        <v>3.8057933428548483E-3</v>
      </c>
      <c r="F142" s="4">
        <v>1.5747</v>
      </c>
      <c r="G142" s="4">
        <v>1.5894999999999999</v>
      </c>
      <c r="H142" s="60">
        <v>290</v>
      </c>
      <c r="I142" s="5">
        <v>6.4553240444842341E-3</v>
      </c>
      <c r="J142" s="5">
        <v>6.0189860634215275E-2</v>
      </c>
      <c r="K142" s="4">
        <v>189929842.68000001</v>
      </c>
      <c r="L142" s="16">
        <f t="shared" si="58"/>
        <v>3.8509627614263658E-3</v>
      </c>
      <c r="M142" s="4">
        <v>1.5747</v>
      </c>
      <c r="N142" s="4">
        <v>1.5894999999999999</v>
      </c>
      <c r="O142" s="60">
        <v>290</v>
      </c>
      <c r="P142" s="5">
        <v>6.4553240444842341E-3</v>
      </c>
      <c r="Q142" s="5">
        <v>6.0189860634215275E-2</v>
      </c>
      <c r="R142" s="81">
        <f t="shared" si="59"/>
        <v>0</v>
      </c>
      <c r="S142" s="81">
        <f t="shared" si="60"/>
        <v>0</v>
      </c>
      <c r="T142" s="81">
        <f t="shared" si="61"/>
        <v>0</v>
      </c>
      <c r="U142" s="81">
        <f t="shared" si="62"/>
        <v>0</v>
      </c>
      <c r="V142" s="83">
        <f t="shared" si="63"/>
        <v>0</v>
      </c>
    </row>
    <row r="143" spans="1:22">
      <c r="A143" s="75">
        <v>120</v>
      </c>
      <c r="B143" s="125" t="s">
        <v>163</v>
      </c>
      <c r="C143" s="126" t="s">
        <v>25</v>
      </c>
      <c r="D143" s="9">
        <v>147423273.19</v>
      </c>
      <c r="E143" s="3">
        <f t="shared" si="57"/>
        <v>2.95405136850279E-3</v>
      </c>
      <c r="F143" s="4">
        <v>142.542</v>
      </c>
      <c r="G143" s="4">
        <v>143.03659999999999</v>
      </c>
      <c r="H143" s="60">
        <v>99</v>
      </c>
      <c r="I143" s="5">
        <v>-3.9399999999999998E-4</v>
      </c>
      <c r="J143" s="5">
        <v>0.30499999999999999</v>
      </c>
      <c r="K143" s="9">
        <v>147174465.34999999</v>
      </c>
      <c r="L143" s="16">
        <f t="shared" si="58"/>
        <v>2.9840670507508735E-3</v>
      </c>
      <c r="M143" s="4">
        <v>142.1584</v>
      </c>
      <c r="N143" s="4">
        <v>142.6472</v>
      </c>
      <c r="O143" s="60">
        <v>99</v>
      </c>
      <c r="P143" s="5">
        <v>-1.562E-3</v>
      </c>
      <c r="Q143" s="5">
        <v>0.29749999999999999</v>
      </c>
      <c r="R143" s="81">
        <f t="shared" si="59"/>
        <v>-1.6877107299017743E-3</v>
      </c>
      <c r="S143" s="81">
        <f t="shared" si="60"/>
        <v>-2.7223801460604831E-3</v>
      </c>
      <c r="T143" s="81">
        <f t="shared" si="61"/>
        <v>0</v>
      </c>
      <c r="U143" s="81">
        <f t="shared" si="62"/>
        <v>-1.168E-3</v>
      </c>
      <c r="V143" s="83">
        <f t="shared" si="63"/>
        <v>-7.5000000000000067E-3</v>
      </c>
    </row>
    <row r="144" spans="1:22">
      <c r="A144" s="75">
        <v>121</v>
      </c>
      <c r="B144" s="125" t="s">
        <v>164</v>
      </c>
      <c r="C144" s="126" t="s">
        <v>64</v>
      </c>
      <c r="D144" s="9">
        <v>200336444.43000001</v>
      </c>
      <c r="E144" s="3">
        <f t="shared" si="57"/>
        <v>4.0143196865986275E-3</v>
      </c>
      <c r="F144" s="4">
        <v>112.15</v>
      </c>
      <c r="G144" s="4">
        <v>113.06</v>
      </c>
      <c r="H144" s="60">
        <v>29</v>
      </c>
      <c r="I144" s="5">
        <v>4.0000000000000001E-3</v>
      </c>
      <c r="J144" s="5">
        <v>8.4000000000000005E-2</v>
      </c>
      <c r="K144" s="9">
        <v>200295513.53</v>
      </c>
      <c r="L144" s="16">
        <f t="shared" si="58"/>
        <v>4.0611341166873066E-3</v>
      </c>
      <c r="M144" s="4">
        <v>111.98</v>
      </c>
      <c r="N144" s="4">
        <v>112.93</v>
      </c>
      <c r="O144" s="60">
        <v>29</v>
      </c>
      <c r="P144" s="5">
        <v>2.5999999999999999E-3</v>
      </c>
      <c r="Q144" s="5">
        <v>8.2600000000000007E-2</v>
      </c>
      <c r="R144" s="81">
        <f t="shared" si="59"/>
        <v>-2.043108038403253E-4</v>
      </c>
      <c r="S144" s="81">
        <f t="shared" si="60"/>
        <v>-1.1498319476383819E-3</v>
      </c>
      <c r="T144" s="81">
        <f t="shared" si="61"/>
        <v>0</v>
      </c>
      <c r="U144" s="81">
        <f t="shared" si="62"/>
        <v>-1.4000000000000002E-3</v>
      </c>
      <c r="V144" s="83">
        <f t="shared" si="63"/>
        <v>-1.3999999999999985E-3</v>
      </c>
    </row>
    <row r="145" spans="1:24" ht="15.75" customHeight="1">
      <c r="A145" s="75">
        <v>122</v>
      </c>
      <c r="B145" s="125" t="s">
        <v>165</v>
      </c>
      <c r="C145" s="126" t="s">
        <v>67</v>
      </c>
      <c r="D145" s="2">
        <v>342824516.05000001</v>
      </c>
      <c r="E145" s="3">
        <f t="shared" si="57"/>
        <v>6.8694800276792667E-3</v>
      </c>
      <c r="F145" s="4">
        <v>1.4225000000000001</v>
      </c>
      <c r="G145" s="4">
        <v>1.4398</v>
      </c>
      <c r="H145" s="60">
        <v>108</v>
      </c>
      <c r="I145" s="5">
        <v>7.6503506410711504E-3</v>
      </c>
      <c r="J145" s="5">
        <v>9.1208959803620746E-2</v>
      </c>
      <c r="K145" s="2">
        <v>341316661.23000002</v>
      </c>
      <c r="L145" s="16">
        <f t="shared" si="58"/>
        <v>6.9204382718604605E-3</v>
      </c>
      <c r="M145" s="4">
        <v>1.4216</v>
      </c>
      <c r="N145" s="4">
        <v>1.4388000000000001</v>
      </c>
      <c r="O145" s="60">
        <v>108</v>
      </c>
      <c r="P145" s="5">
        <v>-6.3268892794384737E-4</v>
      </c>
      <c r="Q145" s="5">
        <v>9.0518563976679872E-2</v>
      </c>
      <c r="R145" s="81">
        <f t="shared" si="59"/>
        <v>-4.3983284432904338E-3</v>
      </c>
      <c r="S145" s="81">
        <f t="shared" si="60"/>
        <v>-6.9454090845943181E-4</v>
      </c>
      <c r="T145" s="81">
        <f t="shared" si="61"/>
        <v>0</v>
      </c>
      <c r="U145" s="81">
        <f t="shared" si="62"/>
        <v>-8.2830395690149973E-3</v>
      </c>
      <c r="V145" s="83">
        <f t="shared" si="63"/>
        <v>-6.9039582694087331E-4</v>
      </c>
      <c r="X145" s="105"/>
    </row>
    <row r="146" spans="1:24">
      <c r="A146" s="75">
        <v>123</v>
      </c>
      <c r="B146" s="125" t="s">
        <v>166</v>
      </c>
      <c r="C146" s="126" t="s">
        <v>27</v>
      </c>
      <c r="D146" s="4">
        <v>8355545026.3599997</v>
      </c>
      <c r="E146" s="3">
        <f t="shared" si="57"/>
        <v>0.16742749421859746</v>
      </c>
      <c r="F146" s="4">
        <v>304.92</v>
      </c>
      <c r="G146" s="4">
        <v>307.31</v>
      </c>
      <c r="H146" s="60">
        <v>5499</v>
      </c>
      <c r="I146" s="5">
        <v>9.7000000000000003E-3</v>
      </c>
      <c r="J146" s="5">
        <v>0.1169</v>
      </c>
      <c r="K146" s="4">
        <v>8284891774.5200005</v>
      </c>
      <c r="L146" s="16">
        <f t="shared" si="58"/>
        <v>0.16798207830813819</v>
      </c>
      <c r="M146" s="4">
        <v>302.33</v>
      </c>
      <c r="N146" s="4">
        <v>304.67</v>
      </c>
      <c r="O146" s="60">
        <v>5501</v>
      </c>
      <c r="P146" s="5">
        <v>-8.6999999999999994E-3</v>
      </c>
      <c r="Q146" s="5">
        <v>0.11799999999999999</v>
      </c>
      <c r="R146" s="81">
        <f t="shared" si="59"/>
        <v>-8.4558519662215857E-3</v>
      </c>
      <c r="S146" s="81">
        <f t="shared" si="60"/>
        <v>-8.5906739123360332E-3</v>
      </c>
      <c r="T146" s="81">
        <f t="shared" si="61"/>
        <v>3.6370249136206582E-4</v>
      </c>
      <c r="U146" s="81">
        <f t="shared" si="62"/>
        <v>-1.84E-2</v>
      </c>
      <c r="V146" s="83">
        <f t="shared" si="63"/>
        <v>1.0999999999999899E-3</v>
      </c>
    </row>
    <row r="147" spans="1:24">
      <c r="A147" s="75">
        <v>124</v>
      </c>
      <c r="B147" s="125" t="s">
        <v>167</v>
      </c>
      <c r="C147" s="126" t="s">
        <v>72</v>
      </c>
      <c r="D147" s="4">
        <v>2731717078.9200001</v>
      </c>
      <c r="E147" s="3">
        <f t="shared" si="57"/>
        <v>5.4737847021927667E-2</v>
      </c>
      <c r="F147" s="4">
        <v>1.9076</v>
      </c>
      <c r="G147" s="4">
        <v>1.9422999999999999</v>
      </c>
      <c r="H147" s="60">
        <v>10318</v>
      </c>
      <c r="I147" s="5">
        <v>1E-3</v>
      </c>
      <c r="J147" s="5">
        <v>9.4200000000000006E-2</v>
      </c>
      <c r="K147" s="4">
        <v>2771182676.21</v>
      </c>
      <c r="L147" s="16">
        <f t="shared" si="58"/>
        <v>5.6187701419700711E-2</v>
      </c>
      <c r="M147" s="4">
        <v>1.9354</v>
      </c>
      <c r="N147" s="4">
        <v>1.9702</v>
      </c>
      <c r="O147" s="60">
        <v>10318</v>
      </c>
      <c r="P147" s="5">
        <v>1.55E-2</v>
      </c>
      <c r="Q147" s="5">
        <v>0.1101</v>
      </c>
      <c r="R147" s="81">
        <f t="shared" si="59"/>
        <v>1.4447175951911868E-2</v>
      </c>
      <c r="S147" s="81">
        <f t="shared" si="60"/>
        <v>1.4364413324409225E-2</v>
      </c>
      <c r="T147" s="81">
        <f t="shared" si="61"/>
        <v>0</v>
      </c>
      <c r="U147" s="81">
        <f t="shared" si="62"/>
        <v>1.4499999999999999E-2</v>
      </c>
      <c r="V147" s="83">
        <f t="shared" si="63"/>
        <v>1.5899999999999997E-2</v>
      </c>
    </row>
    <row r="148" spans="1:24">
      <c r="A148" s="75">
        <v>125</v>
      </c>
      <c r="B148" s="125" t="s">
        <v>168</v>
      </c>
      <c r="C148" s="126" t="s">
        <v>74</v>
      </c>
      <c r="D148" s="4">
        <v>207221727.1997838</v>
      </c>
      <c r="E148" s="3">
        <f t="shared" si="57"/>
        <v>4.1522862270809762E-3</v>
      </c>
      <c r="F148" s="4">
        <v>269.62508295408549</v>
      </c>
      <c r="G148" s="4">
        <v>275.01590861527029</v>
      </c>
      <c r="H148" s="60">
        <v>183</v>
      </c>
      <c r="I148" s="5">
        <v>-1.2300288487886446E-3</v>
      </c>
      <c r="J148" s="5">
        <v>0.10402539904219754</v>
      </c>
      <c r="K148" s="4">
        <v>196745571.51658079</v>
      </c>
      <c r="L148" s="16">
        <f t="shared" si="58"/>
        <v>3.9891565153477781E-3</v>
      </c>
      <c r="M148" s="4">
        <v>255.99410717131789</v>
      </c>
      <c r="N148" s="4">
        <v>261.52017267482245</v>
      </c>
      <c r="O148" s="60">
        <v>183</v>
      </c>
      <c r="P148" s="5">
        <v>-5.0555295647656151E-2</v>
      </c>
      <c r="Q148" s="5">
        <v>4.8213885397082157E-2</v>
      </c>
      <c r="R148" s="81">
        <f t="shared" si="59"/>
        <v>-5.0555295647656109E-2</v>
      </c>
      <c r="S148" s="81">
        <f t="shared" si="60"/>
        <v>-4.9072564595990402E-2</v>
      </c>
      <c r="T148" s="81">
        <f t="shared" si="61"/>
        <v>0</v>
      </c>
      <c r="U148" s="81">
        <f t="shared" si="62"/>
        <v>-4.9325266798867506E-2</v>
      </c>
      <c r="V148" s="83">
        <f t="shared" si="63"/>
        <v>-5.5811513645115385E-2</v>
      </c>
    </row>
    <row r="149" spans="1:24" ht="13.5" customHeight="1">
      <c r="A149" s="75">
        <v>126</v>
      </c>
      <c r="B149" s="125" t="s">
        <v>240</v>
      </c>
      <c r="C149" s="126" t="s">
        <v>32</v>
      </c>
      <c r="D149" s="2">
        <v>2629930506.1083002</v>
      </c>
      <c r="E149" s="3">
        <f t="shared" si="57"/>
        <v>5.2698258846985375E-2</v>
      </c>
      <c r="F149" s="4">
        <v>3.6536</v>
      </c>
      <c r="G149" s="4">
        <v>3.7216</v>
      </c>
      <c r="H149" s="60">
        <v>2317</v>
      </c>
      <c r="I149" s="5">
        <v>1.6611480564289405E-2</v>
      </c>
      <c r="J149" s="5">
        <v>4.481346053391233E-3</v>
      </c>
      <c r="K149" s="2">
        <v>2606251135.1949</v>
      </c>
      <c r="L149" s="16">
        <f t="shared" si="58"/>
        <v>5.2843597019509483E-2</v>
      </c>
      <c r="M149" s="4">
        <v>3.6162000000000001</v>
      </c>
      <c r="N149" s="4">
        <v>3.6833</v>
      </c>
      <c r="O149" s="60">
        <v>2319</v>
      </c>
      <c r="P149" s="5">
        <v>-1.0236479089117512E-2</v>
      </c>
      <c r="Q149" s="5">
        <v>-5.8010062408929697E-3</v>
      </c>
      <c r="R149" s="81">
        <f t="shared" si="59"/>
        <v>-9.0038009971754977E-3</v>
      </c>
      <c r="S149" s="81">
        <f t="shared" si="60"/>
        <v>-1.0291272570937232E-2</v>
      </c>
      <c r="T149" s="81">
        <f t="shared" si="61"/>
        <v>8.6318515321536469E-4</v>
      </c>
      <c r="U149" s="81">
        <f t="shared" si="62"/>
        <v>-2.6847959653406916E-2</v>
      </c>
      <c r="V149" s="83">
        <f>Q149-J149</f>
        <v>-1.0282352294284203E-2</v>
      </c>
    </row>
    <row r="150" spans="1:24">
      <c r="A150" s="75">
        <v>127</v>
      </c>
      <c r="B150" s="125" t="s">
        <v>169</v>
      </c>
      <c r="C150" s="126" t="s">
        <v>114</v>
      </c>
      <c r="D150" s="2">
        <v>203125322.12</v>
      </c>
      <c r="E150" s="3">
        <f t="shared" si="57"/>
        <v>4.0702029116720089E-3</v>
      </c>
      <c r="F150" s="4">
        <v>181.54543699999999</v>
      </c>
      <c r="G150" s="4">
        <v>186.74477099999999</v>
      </c>
      <c r="H150" s="60">
        <v>139</v>
      </c>
      <c r="I150" s="5">
        <v>-2.3E-3</v>
      </c>
      <c r="J150" s="5">
        <v>1.9300000000000001E-2</v>
      </c>
      <c r="K150" s="2">
        <v>211526191.99000001</v>
      </c>
      <c r="L150" s="16">
        <f t="shared" si="58"/>
        <v>4.2888441169945269E-3</v>
      </c>
      <c r="M150" s="4">
        <v>182.28655900000001</v>
      </c>
      <c r="N150" s="4">
        <v>186.953192</v>
      </c>
      <c r="O150" s="60">
        <v>139</v>
      </c>
      <c r="P150" s="5">
        <v>-1.4E-3</v>
      </c>
      <c r="Q150" s="5">
        <v>9.7000000000000003E-3</v>
      </c>
      <c r="R150" s="81">
        <f t="shared" si="59"/>
        <v>4.1358063004262154E-2</v>
      </c>
      <c r="S150" s="81">
        <f t="shared" si="60"/>
        <v>1.1160740880932914E-3</v>
      </c>
      <c r="T150" s="81">
        <f t="shared" si="61"/>
        <v>0</v>
      </c>
      <c r="U150" s="81">
        <f t="shared" si="62"/>
        <v>8.9999999999999998E-4</v>
      </c>
      <c r="V150" s="83">
        <f t="shared" si="63"/>
        <v>-9.6000000000000009E-3</v>
      </c>
    </row>
    <row r="151" spans="1:24">
      <c r="A151" s="75">
        <v>128</v>
      </c>
      <c r="B151" s="125" t="s">
        <v>170</v>
      </c>
      <c r="C151" s="126" t="s">
        <v>29</v>
      </c>
      <c r="D151" s="2">
        <v>1683101206.99</v>
      </c>
      <c r="E151" s="3">
        <f t="shared" si="57"/>
        <v>3.3725797265602736E-2</v>
      </c>
      <c r="F151" s="4">
        <v>552.22</v>
      </c>
      <c r="G151" s="4">
        <v>552.22</v>
      </c>
      <c r="H151" s="60">
        <v>818</v>
      </c>
      <c r="I151" s="5">
        <v>-3.8999999999999999E-4</v>
      </c>
      <c r="J151" s="5">
        <v>7.6600000000000001E-2</v>
      </c>
      <c r="K151" s="2">
        <v>1693143863.95</v>
      </c>
      <c r="L151" s="16">
        <f t="shared" ref="L151:L159" si="64">(K151/$K$160)</f>
        <v>3.4329697101863565E-2</v>
      </c>
      <c r="M151" s="4">
        <v>552.22</v>
      </c>
      <c r="N151" s="4">
        <v>552.22</v>
      </c>
      <c r="O151" s="60">
        <v>818</v>
      </c>
      <c r="P151" s="5">
        <v>5.9699999999999996E-3</v>
      </c>
      <c r="Q151" s="5">
        <v>8.3062999999999998E-2</v>
      </c>
      <c r="R151" s="81">
        <f t="shared" si="59"/>
        <v>5.9667576247301127E-3</v>
      </c>
      <c r="S151" s="81">
        <f t="shared" si="60"/>
        <v>0</v>
      </c>
      <c r="T151" s="81">
        <f t="shared" si="61"/>
        <v>0</v>
      </c>
      <c r="U151" s="81">
        <f t="shared" si="62"/>
        <v>6.3599999999999993E-3</v>
      </c>
      <c r="V151" s="83">
        <f t="shared" si="63"/>
        <v>6.4629999999999965E-3</v>
      </c>
    </row>
    <row r="152" spans="1:24">
      <c r="A152" s="75">
        <v>129</v>
      </c>
      <c r="B152" s="125" t="s">
        <v>171</v>
      </c>
      <c r="C152" s="126" t="s">
        <v>80</v>
      </c>
      <c r="D152" s="4">
        <v>27063448.789999999</v>
      </c>
      <c r="E152" s="3">
        <f t="shared" si="57"/>
        <v>5.4229441664525207E-4</v>
      </c>
      <c r="F152" s="4">
        <v>1.72</v>
      </c>
      <c r="G152" s="4">
        <v>1.72</v>
      </c>
      <c r="H152" s="60">
        <v>8</v>
      </c>
      <c r="I152" s="5">
        <v>3.01E-4</v>
      </c>
      <c r="J152" s="127">
        <v>5.6725999999999999E-2</v>
      </c>
      <c r="K152" s="4">
        <v>26980520.149999999</v>
      </c>
      <c r="L152" s="16">
        <f t="shared" si="64"/>
        <v>5.4704925205787411E-4</v>
      </c>
      <c r="M152" s="4">
        <v>1.72</v>
      </c>
      <c r="N152" s="4">
        <v>1.72</v>
      </c>
      <c r="O152" s="60">
        <v>8</v>
      </c>
      <c r="P152" s="5">
        <v>-3.0639999999999999E-3</v>
      </c>
      <c r="Q152" s="127">
        <v>5.3171000000000003E-2</v>
      </c>
      <c r="R152" s="81">
        <f t="shared" si="59"/>
        <v>-3.0642303072120985E-3</v>
      </c>
      <c r="S152" s="81">
        <f t="shared" si="60"/>
        <v>0</v>
      </c>
      <c r="T152" s="81">
        <f t="shared" si="61"/>
        <v>0</v>
      </c>
      <c r="U152" s="81">
        <f t="shared" si="62"/>
        <v>-3.3649999999999999E-3</v>
      </c>
      <c r="V152" s="83">
        <f t="shared" si="63"/>
        <v>-3.5549999999999957E-3</v>
      </c>
    </row>
    <row r="153" spans="1:24">
      <c r="A153" s="75">
        <v>130</v>
      </c>
      <c r="B153" s="125" t="s">
        <v>172</v>
      </c>
      <c r="C153" s="126" t="s">
        <v>38</v>
      </c>
      <c r="D153" s="4">
        <v>288831983.38999999</v>
      </c>
      <c r="E153" s="3">
        <f t="shared" si="57"/>
        <v>5.7875835839091951E-3</v>
      </c>
      <c r="F153" s="4">
        <v>2.8139080000000001</v>
      </c>
      <c r="G153" s="4">
        <v>2.8568310000000001</v>
      </c>
      <c r="H153" s="60">
        <v>120</v>
      </c>
      <c r="I153" s="5">
        <v>-8.9499999999999996E-2</v>
      </c>
      <c r="J153" s="5">
        <v>0.20960000000000001</v>
      </c>
      <c r="K153" s="4">
        <v>288831983.38999999</v>
      </c>
      <c r="L153" s="16">
        <f t="shared" si="64"/>
        <v>5.8562740675661817E-3</v>
      </c>
      <c r="M153" s="4">
        <v>2.73264</v>
      </c>
      <c r="N153" s="4">
        <v>2.7767439999999999</v>
      </c>
      <c r="O153" s="60">
        <v>120</v>
      </c>
      <c r="P153" s="5">
        <v>2.8453963407591199E-2</v>
      </c>
      <c r="Q153" s="5">
        <v>0.17519999999999999</v>
      </c>
      <c r="R153" s="81">
        <f t="shared" si="59"/>
        <v>0</v>
      </c>
      <c r="S153" s="81">
        <f t="shared" si="60"/>
        <v>-2.803350985760104E-2</v>
      </c>
      <c r="T153" s="81">
        <f t="shared" si="61"/>
        <v>0</v>
      </c>
      <c r="U153" s="81">
        <f t="shared" si="62"/>
        <v>0.11795396340759119</v>
      </c>
      <c r="V153" s="83">
        <f t="shared" si="63"/>
        <v>-3.4400000000000014E-2</v>
      </c>
    </row>
    <row r="154" spans="1:24">
      <c r="A154" s="75">
        <v>131</v>
      </c>
      <c r="B154" s="125" t="s">
        <v>173</v>
      </c>
      <c r="C154" s="126" t="s">
        <v>42</v>
      </c>
      <c r="D154" s="2">
        <v>2957230843.2800002</v>
      </c>
      <c r="E154" s="3">
        <f t="shared" si="57"/>
        <v>5.9256667082077184E-2</v>
      </c>
      <c r="F154" s="4">
        <v>5554.88</v>
      </c>
      <c r="G154" s="4">
        <v>5602.49</v>
      </c>
      <c r="H154" s="60">
        <v>2237</v>
      </c>
      <c r="I154" s="5">
        <v>7.7999999999999996E-3</v>
      </c>
      <c r="J154" s="5">
        <v>0.1158</v>
      </c>
      <c r="K154" s="2">
        <v>2930798405.5700002</v>
      </c>
      <c r="L154" s="3">
        <f t="shared" si="64"/>
        <v>5.9424023954537393E-2</v>
      </c>
      <c r="M154" s="4">
        <v>5502.24</v>
      </c>
      <c r="N154" s="4">
        <v>5558.03</v>
      </c>
      <c r="O154" s="60">
        <v>2248</v>
      </c>
      <c r="P154" s="5">
        <v>-7.9000000000000008E-3</v>
      </c>
      <c r="Q154" s="5">
        <v>0.1069</v>
      </c>
      <c r="R154" s="81">
        <f t="shared" si="59"/>
        <v>-8.9382395595071669E-3</v>
      </c>
      <c r="S154" s="81">
        <f t="shared" si="60"/>
        <v>-7.935757136558929E-3</v>
      </c>
      <c r="T154" s="81">
        <f t="shared" si="61"/>
        <v>4.9172999552972736E-3</v>
      </c>
      <c r="U154" s="81">
        <f t="shared" si="62"/>
        <v>-1.5699999999999999E-2</v>
      </c>
      <c r="V154" s="83">
        <f t="shared" si="63"/>
        <v>-8.9000000000000051E-3</v>
      </c>
    </row>
    <row r="155" spans="1:24">
      <c r="A155" s="75">
        <v>132</v>
      </c>
      <c r="B155" s="125" t="s">
        <v>256</v>
      </c>
      <c r="C155" s="125" t="s">
        <v>257</v>
      </c>
      <c r="D155" s="2">
        <v>626146139.73000002</v>
      </c>
      <c r="E155" s="3">
        <f t="shared" si="57"/>
        <v>1.2546647628480496E-2</v>
      </c>
      <c r="F155" s="4">
        <v>1.2030000000000001</v>
      </c>
      <c r="G155" s="4">
        <v>1.2030000000000001</v>
      </c>
      <c r="H155" s="60">
        <v>33</v>
      </c>
      <c r="I155" s="5">
        <v>2.5000000000000001E-3</v>
      </c>
      <c r="J155" s="5">
        <v>5.9400000000000001E-2</v>
      </c>
      <c r="K155" s="2">
        <v>628264492.50999999</v>
      </c>
      <c r="L155" s="3">
        <f t="shared" si="64"/>
        <v>1.2738509814167366E-2</v>
      </c>
      <c r="M155" s="4">
        <v>1.206</v>
      </c>
      <c r="N155" s="4">
        <v>1.206</v>
      </c>
      <c r="O155" s="60">
        <v>32</v>
      </c>
      <c r="P155" s="5">
        <v>2.5000000000000001E-3</v>
      </c>
      <c r="Q155" s="5">
        <v>6.3E-2</v>
      </c>
      <c r="R155" s="81">
        <f>((K155-D155)/D155)</f>
        <v>3.3831603288545778E-3</v>
      </c>
      <c r="S155" s="81">
        <f>((N155-G155)/G155)</f>
        <v>2.4937655860348224E-3</v>
      </c>
      <c r="T155" s="81">
        <f>((O155-H155)/H155)</f>
        <v>-3.0303030303030304E-2</v>
      </c>
      <c r="U155" s="81">
        <f>P155-I155</f>
        <v>0</v>
      </c>
      <c r="V155" s="83">
        <f>Q155-J155</f>
        <v>3.599999999999999E-3</v>
      </c>
    </row>
    <row r="156" spans="1:24">
      <c r="A156" s="75">
        <v>133</v>
      </c>
      <c r="B156" s="125" t="s">
        <v>174</v>
      </c>
      <c r="C156" s="126" t="s">
        <v>45</v>
      </c>
      <c r="D156" s="4">
        <v>1836622147.6400001</v>
      </c>
      <c r="E156" s="3">
        <f t="shared" si="57"/>
        <v>3.680203302545107E-2</v>
      </c>
      <c r="F156" s="4">
        <v>2.0143</v>
      </c>
      <c r="G156" s="4">
        <v>2.028</v>
      </c>
      <c r="H156" s="60">
        <v>2015</v>
      </c>
      <c r="I156" s="5">
        <v>4.9500000000000002E-2</v>
      </c>
      <c r="J156" s="5">
        <v>8.9300000000000004E-2</v>
      </c>
      <c r="K156" s="4">
        <v>1730305200.3699999</v>
      </c>
      <c r="L156" s="16">
        <f t="shared" si="64"/>
        <v>3.5083169650984604E-2</v>
      </c>
      <c r="M156" s="4">
        <v>1.9103000000000001</v>
      </c>
      <c r="N156" s="4">
        <v>1.9237</v>
      </c>
      <c r="O156" s="60">
        <v>2020</v>
      </c>
      <c r="P156" s="5">
        <v>-5.1299999999999998E-2</v>
      </c>
      <c r="Q156" s="5">
        <v>3.3000000000000002E-2</v>
      </c>
      <c r="R156" s="81">
        <f t="shared" si="59"/>
        <v>-5.7887218340807907E-2</v>
      </c>
      <c r="S156" s="81">
        <f t="shared" si="60"/>
        <v>-5.142998027613415E-2</v>
      </c>
      <c r="T156" s="81">
        <f t="shared" si="61"/>
        <v>2.4813895781637717E-3</v>
      </c>
      <c r="U156" s="81">
        <f t="shared" si="62"/>
        <v>-0.1008</v>
      </c>
      <c r="V156" s="83">
        <f t="shared" si="63"/>
        <v>-5.6300000000000003E-2</v>
      </c>
    </row>
    <row r="157" spans="1:24">
      <c r="A157" s="75">
        <v>134</v>
      </c>
      <c r="B157" s="125" t="s">
        <v>175</v>
      </c>
      <c r="C157" s="126" t="s">
        <v>45</v>
      </c>
      <c r="D157" s="4">
        <v>1068357598.87</v>
      </c>
      <c r="E157" s="3">
        <f t="shared" si="57"/>
        <v>2.1407632314097574E-2</v>
      </c>
      <c r="F157" s="4">
        <v>1.6464000000000001</v>
      </c>
      <c r="G157" s="4">
        <v>1.6577999999999999</v>
      </c>
      <c r="H157" s="60">
        <v>614</v>
      </c>
      <c r="I157" s="5">
        <v>6.0900000000000003E-2</v>
      </c>
      <c r="J157" s="5">
        <v>0.15720000000000001</v>
      </c>
      <c r="K157" s="4">
        <v>1052787431.8099999</v>
      </c>
      <c r="L157" s="16">
        <f t="shared" si="64"/>
        <v>2.1346014604080591E-2</v>
      </c>
      <c r="M157" s="4">
        <v>1.6289</v>
      </c>
      <c r="N157" s="4">
        <v>1.6400999999999999</v>
      </c>
      <c r="O157" s="60">
        <v>622</v>
      </c>
      <c r="P157" s="5">
        <v>-1.01E-2</v>
      </c>
      <c r="Q157" s="5">
        <v>0.1449</v>
      </c>
      <c r="R157" s="81">
        <f t="shared" si="59"/>
        <v>-1.4573928314329023E-2</v>
      </c>
      <c r="S157" s="81">
        <f t="shared" si="60"/>
        <v>-1.067680057908074E-2</v>
      </c>
      <c r="T157" s="81">
        <f t="shared" si="61"/>
        <v>1.3029315960912053E-2</v>
      </c>
      <c r="U157" s="81">
        <f t="shared" si="62"/>
        <v>-7.1000000000000008E-2</v>
      </c>
      <c r="V157" s="83">
        <f t="shared" si="63"/>
        <v>-1.2300000000000005E-2</v>
      </c>
    </row>
    <row r="158" spans="1:24">
      <c r="A158" s="75">
        <v>135</v>
      </c>
      <c r="B158" s="125" t="s">
        <v>176</v>
      </c>
      <c r="C158" s="126" t="s">
        <v>87</v>
      </c>
      <c r="D158" s="2">
        <v>8820317577.9799995</v>
      </c>
      <c r="E158" s="3">
        <f t="shared" si="57"/>
        <v>0.17674055559925281</v>
      </c>
      <c r="F158" s="4">
        <v>431.82</v>
      </c>
      <c r="G158" s="4">
        <v>436.49</v>
      </c>
      <c r="H158" s="60">
        <v>31</v>
      </c>
      <c r="I158" s="5">
        <v>-1.8800000000000001E-2</v>
      </c>
      <c r="J158" s="5">
        <v>0.23760000000000001</v>
      </c>
      <c r="K158" s="2">
        <v>8544333517.1800003</v>
      </c>
      <c r="L158" s="16">
        <f t="shared" si="64"/>
        <v>0.17324244432353333</v>
      </c>
      <c r="M158" s="4">
        <v>418.31</v>
      </c>
      <c r="N158" s="4">
        <v>422.84</v>
      </c>
      <c r="O158" s="60">
        <v>31</v>
      </c>
      <c r="P158" s="5">
        <v>-3.1300000000000001E-2</v>
      </c>
      <c r="Q158" s="5">
        <v>0.20300000000000001</v>
      </c>
      <c r="R158" s="81">
        <f t="shared" si="59"/>
        <v>-3.1289583210585961E-2</v>
      </c>
      <c r="S158" s="81">
        <f t="shared" si="60"/>
        <v>-3.1272194093793747E-2</v>
      </c>
      <c r="T158" s="81">
        <f t="shared" si="61"/>
        <v>0</v>
      </c>
      <c r="U158" s="81">
        <f t="shared" si="62"/>
        <v>-1.2500000000000001E-2</v>
      </c>
      <c r="V158" s="83">
        <f t="shared" si="63"/>
        <v>-3.4599999999999992E-2</v>
      </c>
    </row>
    <row r="159" spans="1:24">
      <c r="A159" s="75">
        <v>136</v>
      </c>
      <c r="B159" s="125" t="s">
        <v>177</v>
      </c>
      <c r="C159" s="126" t="s">
        <v>40</v>
      </c>
      <c r="D159" s="2">
        <v>382047082.06</v>
      </c>
      <c r="E159" s="3">
        <f t="shared" si="57"/>
        <v>7.6554175007178911E-3</v>
      </c>
      <c r="F159" s="4">
        <v>230.42</v>
      </c>
      <c r="G159" s="4">
        <v>233.15</v>
      </c>
      <c r="H159" s="60">
        <v>690</v>
      </c>
      <c r="I159" s="5">
        <v>1.0800000000000001E-2</v>
      </c>
      <c r="J159" s="5">
        <v>0.12540000000000001</v>
      </c>
      <c r="K159" s="2">
        <v>380694926.64999998</v>
      </c>
      <c r="L159" s="16">
        <f t="shared" si="64"/>
        <v>7.7188606345719307E-3</v>
      </c>
      <c r="M159" s="4">
        <v>229.61</v>
      </c>
      <c r="N159" s="4">
        <v>232.32</v>
      </c>
      <c r="O159" s="60">
        <v>690</v>
      </c>
      <c r="P159" s="5">
        <v>-1.6000000000000001E-3</v>
      </c>
      <c r="Q159" s="5">
        <v>0.12139999999999999</v>
      </c>
      <c r="R159" s="81">
        <f t="shared" si="59"/>
        <v>-3.53923763194106E-3</v>
      </c>
      <c r="S159" s="81">
        <f t="shared" si="60"/>
        <v>-3.5599399528201264E-3</v>
      </c>
      <c r="T159" s="81">
        <f t="shared" si="61"/>
        <v>0</v>
      </c>
      <c r="U159" s="81">
        <f t="shared" si="62"/>
        <v>-1.2400000000000001E-2</v>
      </c>
      <c r="V159" s="83">
        <f t="shared" si="63"/>
        <v>-4.0000000000000174E-3</v>
      </c>
    </row>
    <row r="160" spans="1:24">
      <c r="A160" s="84"/>
      <c r="B160" s="19"/>
      <c r="C160" s="71" t="s">
        <v>46</v>
      </c>
      <c r="D160" s="72">
        <f>SUM(D134:D159)</f>
        <v>49905453494.100525</v>
      </c>
      <c r="E160" s="100">
        <f>(D160/$D$186)</f>
        <v>1.88689291501201E-2</v>
      </c>
      <c r="F160" s="30"/>
      <c r="G160" s="36"/>
      <c r="H160" s="65">
        <f>SUM(H134:H159)</f>
        <v>69324</v>
      </c>
      <c r="I160" s="37"/>
      <c r="J160" s="37"/>
      <c r="K160" s="72">
        <f>SUM(K134:K159)</f>
        <v>49320093297.825478</v>
      </c>
      <c r="L160" s="100">
        <f>(K160/$K$186)</f>
        <v>1.9044978636194188E-2</v>
      </c>
      <c r="M160" s="30"/>
      <c r="N160" s="36"/>
      <c r="O160" s="65">
        <f>SUM(O134:O159)</f>
        <v>69345</v>
      </c>
      <c r="P160" s="37"/>
      <c r="Q160" s="37"/>
      <c r="R160" s="81">
        <f t="shared" si="59"/>
        <v>-1.1729383369780308E-2</v>
      </c>
      <c r="S160" s="81" t="e">
        <f t="shared" si="60"/>
        <v>#DIV/0!</v>
      </c>
      <c r="T160" s="81">
        <f t="shared" si="61"/>
        <v>3.0292539380301196E-4</v>
      </c>
      <c r="U160" s="81">
        <f t="shared" si="62"/>
        <v>0</v>
      </c>
      <c r="V160" s="83">
        <f t="shared" si="63"/>
        <v>0</v>
      </c>
    </row>
    <row r="161" spans="1:24" ht="8.25" customHeight="1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</row>
    <row r="162" spans="1:24" ht="15" customHeight="1">
      <c r="A162" s="168" t="s">
        <v>178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</row>
    <row r="163" spans="1:24">
      <c r="A163" s="75">
        <v>137</v>
      </c>
      <c r="B163" s="125" t="s">
        <v>179</v>
      </c>
      <c r="C163" s="126" t="s">
        <v>21</v>
      </c>
      <c r="D163" s="17">
        <v>1013042822.28</v>
      </c>
      <c r="E163" s="3">
        <f>(D163/$D$166)</f>
        <v>0.1942093416125627</v>
      </c>
      <c r="F163" s="17">
        <v>64.052700000000002</v>
      </c>
      <c r="G163" s="17">
        <v>65.983999999999995</v>
      </c>
      <c r="H163" s="62">
        <v>1514</v>
      </c>
      <c r="I163" s="6">
        <v>0.10390000000000001</v>
      </c>
      <c r="J163" s="6">
        <v>0.71840000000000004</v>
      </c>
      <c r="K163" s="17">
        <v>1012565768.95</v>
      </c>
      <c r="L163" s="16">
        <f>(K163/$K$166)</f>
        <v>0.19664160801193722</v>
      </c>
      <c r="M163" s="17">
        <v>64.007499999999993</v>
      </c>
      <c r="N163" s="17">
        <v>65.937299999999993</v>
      </c>
      <c r="O163" s="62">
        <v>1515</v>
      </c>
      <c r="P163" s="6">
        <v>-3.6999999999999998E-2</v>
      </c>
      <c r="Q163" s="6">
        <v>0.66279999999999994</v>
      </c>
      <c r="R163" s="81">
        <f>((K163-D163)/D163)</f>
        <v>-4.7091131737772536E-4</v>
      </c>
      <c r="S163" s="81">
        <f t="shared" ref="S163:T166" si="65">((N163-G163)/G163)</f>
        <v>-7.0774733268673168E-4</v>
      </c>
      <c r="T163" s="81">
        <f t="shared" si="65"/>
        <v>6.6050198150594452E-4</v>
      </c>
      <c r="U163" s="81">
        <f t="shared" ref="U163:V166" si="66">P163-I163</f>
        <v>-0.1409</v>
      </c>
      <c r="V163" s="83">
        <f t="shared" si="66"/>
        <v>-5.5600000000000094E-2</v>
      </c>
    </row>
    <row r="164" spans="1:24">
      <c r="A164" s="75">
        <v>138</v>
      </c>
      <c r="B164" s="125" t="s">
        <v>180</v>
      </c>
      <c r="C164" s="126" t="s">
        <v>181</v>
      </c>
      <c r="D164" s="98">
        <v>802010918.84000003</v>
      </c>
      <c r="E164" s="3">
        <f>(D164/$D$166)</f>
        <v>0.15375264410190168</v>
      </c>
      <c r="F164" s="17">
        <v>22.670200000000001</v>
      </c>
      <c r="G164" s="17">
        <v>22.863700000000001</v>
      </c>
      <c r="H164" s="60">
        <v>1499</v>
      </c>
      <c r="I164" s="5">
        <v>6.8999999999999999E-3</v>
      </c>
      <c r="J164" s="5">
        <v>0.04</v>
      </c>
      <c r="K164" s="98">
        <v>805055722.44000006</v>
      </c>
      <c r="L164" s="16">
        <f>(K164/$K$166)</f>
        <v>0.1563428832518933</v>
      </c>
      <c r="M164" s="17">
        <v>22.666499999999999</v>
      </c>
      <c r="N164" s="17">
        <v>22.865600000000001</v>
      </c>
      <c r="O164" s="60">
        <v>1499</v>
      </c>
      <c r="P164" s="5">
        <v>8.2000000000000007E-3</v>
      </c>
      <c r="Q164" s="5">
        <v>0.04</v>
      </c>
      <c r="R164" s="81">
        <f>((K164-D164)/D164)</f>
        <v>3.7964615299800643E-3</v>
      </c>
      <c r="S164" s="81">
        <f t="shared" si="65"/>
        <v>8.3101160354584973E-5</v>
      </c>
      <c r="T164" s="81">
        <f t="shared" si="65"/>
        <v>0</v>
      </c>
      <c r="U164" s="81">
        <f t="shared" si="66"/>
        <v>1.3000000000000008E-3</v>
      </c>
      <c r="V164" s="83">
        <f t="shared" si="66"/>
        <v>0</v>
      </c>
    </row>
    <row r="165" spans="1:24">
      <c r="A165" s="75">
        <v>139</v>
      </c>
      <c r="B165" s="125" t="s">
        <v>182</v>
      </c>
      <c r="C165" s="126" t="s">
        <v>42</v>
      </c>
      <c r="D165" s="9">
        <v>3401187732.48</v>
      </c>
      <c r="E165" s="3">
        <f>(D165/$D$166)</f>
        <v>0.65203801428553554</v>
      </c>
      <c r="F165" s="17">
        <v>2.4</v>
      </c>
      <c r="G165" s="17">
        <v>2.4300000000000002</v>
      </c>
      <c r="H165" s="60">
        <v>10049</v>
      </c>
      <c r="I165" s="5">
        <v>1.2500000000000001E-2</v>
      </c>
      <c r="J165" s="5">
        <v>0.16830000000000001</v>
      </c>
      <c r="K165" s="9">
        <v>3331674118.9699998</v>
      </c>
      <c r="L165" s="16">
        <f>(K165/$K$166)</f>
        <v>0.64701550873616953</v>
      </c>
      <c r="M165" s="17">
        <v>2.36</v>
      </c>
      <c r="N165" s="17">
        <v>2.4</v>
      </c>
      <c r="O165" s="60">
        <v>10053</v>
      </c>
      <c r="P165" s="5">
        <v>-1.23E-2</v>
      </c>
      <c r="Q165" s="5">
        <v>0.15379999999999999</v>
      </c>
      <c r="R165" s="81">
        <f>((K165-D165)/D165)</f>
        <v>-2.0438040760341648E-2</v>
      </c>
      <c r="S165" s="81">
        <f t="shared" si="65"/>
        <v>-1.2345679012345781E-2</v>
      </c>
      <c r="T165" s="81">
        <f t="shared" si="65"/>
        <v>3.9804955716986763E-4</v>
      </c>
      <c r="U165" s="81">
        <f t="shared" si="66"/>
        <v>-2.4800000000000003E-2</v>
      </c>
      <c r="V165" s="83">
        <f t="shared" si="66"/>
        <v>-1.4500000000000013E-2</v>
      </c>
    </row>
    <row r="166" spans="1:24">
      <c r="A166" s="75"/>
      <c r="B166" s="19"/>
      <c r="C166" s="66" t="s">
        <v>46</v>
      </c>
      <c r="D166" s="72">
        <f>SUM(D163:D165)</f>
        <v>5216241473.6000004</v>
      </c>
      <c r="E166" s="100">
        <f>(D166/$D$186)</f>
        <v>1.9722271596412117E-3</v>
      </c>
      <c r="F166" s="30"/>
      <c r="G166" s="36"/>
      <c r="H166" s="65">
        <f>SUM(H163:H165)</f>
        <v>13062</v>
      </c>
      <c r="I166" s="37"/>
      <c r="J166" s="37"/>
      <c r="K166" s="72">
        <f>SUM(K163:K165)</f>
        <v>5149295610.3599997</v>
      </c>
      <c r="L166" s="100">
        <f>(K166/$K$186)</f>
        <v>1.9884030692837017E-3</v>
      </c>
      <c r="M166" s="30"/>
      <c r="N166" s="36"/>
      <c r="O166" s="65">
        <f>SUM(O163:O165)</f>
        <v>13067</v>
      </c>
      <c r="P166" s="37"/>
      <c r="Q166" s="37"/>
      <c r="R166" s="81">
        <f>((K166-D166)/D166)</f>
        <v>-1.2834118891700367E-2</v>
      </c>
      <c r="S166" s="81" t="e">
        <f t="shared" si="65"/>
        <v>#DIV/0!</v>
      </c>
      <c r="T166" s="81">
        <f t="shared" si="65"/>
        <v>3.8278977185729598E-4</v>
      </c>
      <c r="U166" s="81">
        <f t="shared" si="66"/>
        <v>0</v>
      </c>
      <c r="V166" s="83">
        <f t="shared" si="66"/>
        <v>0</v>
      </c>
    </row>
    <row r="167" spans="1:24" ht="6" customHeight="1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</row>
    <row r="168" spans="1:24" ht="15" customHeight="1">
      <c r="A168" s="168" t="s">
        <v>183</v>
      </c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</row>
    <row r="169" spans="1:24">
      <c r="A169" s="172" t="s">
        <v>232</v>
      </c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</row>
    <row r="170" spans="1:24">
      <c r="A170" s="75">
        <v>140</v>
      </c>
      <c r="B170" s="125" t="s">
        <v>184</v>
      </c>
      <c r="C170" s="126" t="s">
        <v>185</v>
      </c>
      <c r="D170" s="13">
        <v>4051236888.4699998</v>
      </c>
      <c r="E170" s="3">
        <f>(D170/$D$185)</f>
        <v>8.2353262711504588E-2</v>
      </c>
      <c r="F170" s="18">
        <v>1.92</v>
      </c>
      <c r="G170" s="18">
        <v>1.96</v>
      </c>
      <c r="H170" s="61">
        <v>14976</v>
      </c>
      <c r="I170" s="12">
        <v>1.9E-3</v>
      </c>
      <c r="J170" s="12">
        <v>5.4100000000000002E-2</v>
      </c>
      <c r="K170" s="13">
        <v>4068873393.2800002</v>
      </c>
      <c r="L170" s="3">
        <f>(K170/$K$185)</f>
        <v>8.2232552307411722E-2</v>
      </c>
      <c r="M170" s="18">
        <v>1.93</v>
      </c>
      <c r="N170" s="18">
        <v>1.97</v>
      </c>
      <c r="O170" s="61">
        <v>14975</v>
      </c>
      <c r="P170" s="12">
        <v>4.0000000000000001E-3</v>
      </c>
      <c r="Q170" s="12">
        <v>5.8299999999999998E-2</v>
      </c>
      <c r="R170" s="81">
        <f>((K170-D170)/D170)</f>
        <v>4.3533630087627551E-3</v>
      </c>
      <c r="S170" s="81">
        <f>((N170-G170)/G170)</f>
        <v>5.1020408163265354E-3</v>
      </c>
      <c r="T170" s="81">
        <f>((O170-H170)/H170)</f>
        <v>-6.677350427350428E-5</v>
      </c>
      <c r="U170" s="81">
        <f>P170-I170</f>
        <v>2.1000000000000003E-3</v>
      </c>
      <c r="V170" s="83">
        <f>Q170-J170</f>
        <v>4.1999999999999954E-3</v>
      </c>
    </row>
    <row r="171" spans="1:24">
      <c r="A171" s="75">
        <v>141</v>
      </c>
      <c r="B171" s="125" t="s">
        <v>186</v>
      </c>
      <c r="C171" s="126" t="s">
        <v>42</v>
      </c>
      <c r="D171" s="13">
        <v>775972969.88999999</v>
      </c>
      <c r="E171" s="3">
        <f>(D171/$D$185)</f>
        <v>1.5773924755733481E-2</v>
      </c>
      <c r="F171" s="18">
        <v>430.72</v>
      </c>
      <c r="G171" s="18">
        <v>436.31</v>
      </c>
      <c r="H171" s="61">
        <v>812</v>
      </c>
      <c r="I171" s="12">
        <v>-1.6000000000000001E-3</v>
      </c>
      <c r="J171" s="12">
        <v>0.1426</v>
      </c>
      <c r="K171" s="13">
        <v>780199430.38999999</v>
      </c>
      <c r="L171" s="3">
        <f>(K171/$K$185)</f>
        <v>1.5767949569460461E-2</v>
      </c>
      <c r="M171" s="18">
        <v>436.46</v>
      </c>
      <c r="N171" s="18">
        <v>442.17</v>
      </c>
      <c r="O171" s="61">
        <v>819</v>
      </c>
      <c r="P171" s="12">
        <v>1.34E-2</v>
      </c>
      <c r="Q171" s="12">
        <v>0.15790000000000001</v>
      </c>
      <c r="R171" s="81">
        <f>((K171-D171)/D171)</f>
        <v>5.4466594378914162E-3</v>
      </c>
      <c r="S171" s="81">
        <f>((N171-G171)/G171)</f>
        <v>1.3430817537989076E-2</v>
      </c>
      <c r="T171" s="81">
        <f>((O171-H171)/H171)</f>
        <v>8.6206896551724137E-3</v>
      </c>
      <c r="U171" s="81">
        <f>P171-I171</f>
        <v>1.5000000000000001E-2</v>
      </c>
      <c r="V171" s="83">
        <f>Q171-J171</f>
        <v>1.5300000000000008E-2</v>
      </c>
    </row>
    <row r="172" spans="1:24" ht="6" customHeight="1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</row>
    <row r="173" spans="1:24" ht="15" customHeight="1">
      <c r="A173" s="172" t="s">
        <v>231</v>
      </c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</row>
    <row r="174" spans="1:24">
      <c r="A174" s="75">
        <v>142</v>
      </c>
      <c r="B174" s="125" t="s">
        <v>187</v>
      </c>
      <c r="C174" s="126" t="s">
        <v>188</v>
      </c>
      <c r="D174" s="2">
        <v>402103974.63</v>
      </c>
      <c r="E174" s="3">
        <f t="shared" ref="E174:E184" si="67">(D174/$D$185)</f>
        <v>8.1739417298183955E-3</v>
      </c>
      <c r="F174" s="2">
        <v>1042.69</v>
      </c>
      <c r="G174" s="2">
        <v>1042.69</v>
      </c>
      <c r="H174" s="60">
        <v>20</v>
      </c>
      <c r="I174" s="5">
        <v>2E-3</v>
      </c>
      <c r="J174" s="5">
        <v>2.9700000000000001E-2</v>
      </c>
      <c r="K174" s="2">
        <v>402773476.19</v>
      </c>
      <c r="L174" s="3">
        <f t="shared" ref="L174:L184" si="68">(K174/$K$185)</f>
        <v>8.1401134288262168E-3</v>
      </c>
      <c r="M174" s="2">
        <v>1044.43</v>
      </c>
      <c r="N174" s="2">
        <v>1044.43</v>
      </c>
      <c r="O174" s="60">
        <v>20</v>
      </c>
      <c r="P174" s="5">
        <v>2.2000000000000001E-3</v>
      </c>
      <c r="Q174" s="5">
        <v>3.1899999999999998E-2</v>
      </c>
      <c r="R174" s="81">
        <f>((K174-D174)/D174)</f>
        <v>1.6649961259797318E-3</v>
      </c>
      <c r="S174" s="81">
        <f>((N174-G174)/G174)</f>
        <v>1.6687606095771601E-3</v>
      </c>
      <c r="T174" s="81">
        <f>((O174-H174)/H174)</f>
        <v>0</v>
      </c>
      <c r="U174" s="81">
        <f>P174-I174</f>
        <v>2.0000000000000009E-4</v>
      </c>
      <c r="V174" s="83">
        <f>Q174-J174</f>
        <v>2.1999999999999971E-3</v>
      </c>
      <c r="X174" s="70"/>
    </row>
    <row r="175" spans="1:24">
      <c r="A175" s="75">
        <v>143</v>
      </c>
      <c r="B175" s="125" t="s">
        <v>189</v>
      </c>
      <c r="C175" s="126" t="s">
        <v>58</v>
      </c>
      <c r="D175" s="2">
        <v>110330999.81999999</v>
      </c>
      <c r="E175" s="3">
        <f t="shared" si="67"/>
        <v>2.2428009182230047E-3</v>
      </c>
      <c r="F175" s="17">
        <v>111.69</v>
      </c>
      <c r="G175" s="17">
        <v>111.69</v>
      </c>
      <c r="H175" s="60">
        <v>69</v>
      </c>
      <c r="I175" s="5">
        <v>1.5E-3</v>
      </c>
      <c r="J175" s="5">
        <v>9.6100000000000005E-2</v>
      </c>
      <c r="K175" s="2">
        <v>110574257.31</v>
      </c>
      <c r="L175" s="3">
        <f t="shared" si="68"/>
        <v>2.234722617104556E-3</v>
      </c>
      <c r="M175" s="17">
        <v>111.9</v>
      </c>
      <c r="N175" s="17">
        <v>111.9</v>
      </c>
      <c r="O175" s="60">
        <v>69</v>
      </c>
      <c r="P175" s="5">
        <v>1.9E-3</v>
      </c>
      <c r="Q175" s="5">
        <v>0.1031</v>
      </c>
      <c r="R175" s="81">
        <f t="shared" ref="R175:R186" si="69">((K175-D175)/D175)</f>
        <v>2.2047972953827396E-3</v>
      </c>
      <c r="S175" s="81">
        <f t="shared" ref="S175:S185" si="70">((N175-G175)/G175)</f>
        <v>1.8802041364491715E-3</v>
      </c>
      <c r="T175" s="81">
        <f t="shared" ref="T175:T185" si="71">((O175-H175)/H175)</f>
        <v>0</v>
      </c>
      <c r="U175" s="81">
        <f t="shared" ref="U175:U185" si="72">P175-I175</f>
        <v>3.9999999999999996E-4</v>
      </c>
      <c r="V175" s="83">
        <f t="shared" ref="V175:V185" si="73">Q175-J175</f>
        <v>6.9999999999999923E-3</v>
      </c>
    </row>
    <row r="176" spans="1:24">
      <c r="A176" s="75">
        <v>144</v>
      </c>
      <c r="B176" s="160" t="s">
        <v>190</v>
      </c>
      <c r="C176" s="126" t="s">
        <v>64</v>
      </c>
      <c r="D176" s="9">
        <v>56185943.979999997</v>
      </c>
      <c r="E176" s="3">
        <f t="shared" si="67"/>
        <v>1.1421439754480266E-3</v>
      </c>
      <c r="F176" s="17">
        <v>101.32</v>
      </c>
      <c r="G176" s="17">
        <v>102.49</v>
      </c>
      <c r="H176" s="60">
        <v>13</v>
      </c>
      <c r="I176" s="5">
        <v>3.0000000000000001E-3</v>
      </c>
      <c r="J176" s="5">
        <v>5.7099999999999998E-2</v>
      </c>
      <c r="K176" s="9">
        <v>56280323.200000003</v>
      </c>
      <c r="L176" s="3">
        <f t="shared" si="68"/>
        <v>1.1374339218972981E-3</v>
      </c>
      <c r="M176" s="17">
        <v>101.4</v>
      </c>
      <c r="N176" s="17">
        <v>102.63</v>
      </c>
      <c r="O176" s="60">
        <v>13</v>
      </c>
      <c r="P176" s="5">
        <v>4.1000000000000003E-3</v>
      </c>
      <c r="Q176" s="5">
        <v>5.8200000000000002E-2</v>
      </c>
      <c r="R176" s="81">
        <f t="shared" si="69"/>
        <v>1.6797656729519678E-3</v>
      </c>
      <c r="S176" s="81">
        <f t="shared" si="70"/>
        <v>1.3659869255537181E-3</v>
      </c>
      <c r="T176" s="81">
        <f t="shared" si="71"/>
        <v>0</v>
      </c>
      <c r="U176" s="81">
        <f t="shared" si="72"/>
        <v>1.1000000000000003E-3</v>
      </c>
      <c r="V176" s="83">
        <f t="shared" si="73"/>
        <v>1.1000000000000038E-3</v>
      </c>
    </row>
    <row r="177" spans="1:22">
      <c r="A177" s="75">
        <v>145</v>
      </c>
      <c r="B177" s="125" t="s">
        <v>191</v>
      </c>
      <c r="C177" s="126" t="s">
        <v>27</v>
      </c>
      <c r="D177" s="2">
        <v>9572787492.7299995</v>
      </c>
      <c r="E177" s="3">
        <f t="shared" si="67"/>
        <v>0.19459496074245344</v>
      </c>
      <c r="F177" s="17">
        <v>137.88</v>
      </c>
      <c r="G177" s="17">
        <v>137.88</v>
      </c>
      <c r="H177" s="60">
        <v>695</v>
      </c>
      <c r="I177" s="5">
        <v>2.3999999999999998E-3</v>
      </c>
      <c r="J177" s="5">
        <v>3.1199999999999999E-2</v>
      </c>
      <c r="K177" s="2">
        <v>9647224246.3700008</v>
      </c>
      <c r="L177" s="3">
        <f t="shared" si="68"/>
        <v>0.19497187446804382</v>
      </c>
      <c r="M177" s="17">
        <v>138.32</v>
      </c>
      <c r="N177" s="17">
        <v>138.32</v>
      </c>
      <c r="O177" s="60">
        <v>694</v>
      </c>
      <c r="P177" s="5">
        <v>3.2000000000000002E-3</v>
      </c>
      <c r="Q177" s="5">
        <v>3.4500000000000003E-2</v>
      </c>
      <c r="R177" s="81">
        <f t="shared" si="69"/>
        <v>7.7758702673105277E-3</v>
      </c>
      <c r="S177" s="81">
        <f t="shared" si="70"/>
        <v>3.1911807368726263E-3</v>
      </c>
      <c r="T177" s="81">
        <f t="shared" si="71"/>
        <v>-1.4388489208633094E-3</v>
      </c>
      <c r="U177" s="81">
        <f t="shared" si="72"/>
        <v>8.0000000000000036E-4</v>
      </c>
      <c r="V177" s="83">
        <f t="shared" si="73"/>
        <v>3.3000000000000043E-3</v>
      </c>
    </row>
    <row r="178" spans="1:22">
      <c r="A178" s="75">
        <v>146</v>
      </c>
      <c r="B178" s="125" t="s">
        <v>249</v>
      </c>
      <c r="C178" s="126" t="s">
        <v>56</v>
      </c>
      <c r="D178" s="2">
        <v>264687739.741997</v>
      </c>
      <c r="E178" s="3">
        <f t="shared" si="67"/>
        <v>5.3805540301839223E-3</v>
      </c>
      <c r="F178" s="4">
        <v>1058.4219311525701</v>
      </c>
      <c r="G178" s="4">
        <v>1058.4219311525701</v>
      </c>
      <c r="H178" s="60">
        <v>27</v>
      </c>
      <c r="I178" s="5">
        <v>0.12371072186170246</v>
      </c>
      <c r="J178" s="5">
        <v>0.11634046932644213</v>
      </c>
      <c r="K178" s="2">
        <v>265312451.04207</v>
      </c>
      <c r="L178" s="3">
        <f t="shared" si="68"/>
        <v>5.3620051300090352E-3</v>
      </c>
      <c r="M178" s="4">
        <v>1060.9199997872599</v>
      </c>
      <c r="N178" s="4">
        <v>1060.9199997872599</v>
      </c>
      <c r="O178" s="60">
        <v>28</v>
      </c>
      <c r="P178" s="5">
        <v>0.12340381378649817</v>
      </c>
      <c r="Q178" s="5">
        <v>0.11711006776676858</v>
      </c>
      <c r="R178" s="81">
        <f t="shared" si="69"/>
        <v>2.3601822308881096E-3</v>
      </c>
      <c r="S178" s="81">
        <f t="shared" si="70"/>
        <v>2.3601822308893091E-3</v>
      </c>
      <c r="T178" s="81">
        <f t="shared" si="71"/>
        <v>3.7037037037037035E-2</v>
      </c>
      <c r="U178" s="81">
        <f t="shared" si="72"/>
        <v>-3.0690807520428187E-4</v>
      </c>
      <c r="V178" s="83">
        <f t="shared" si="73"/>
        <v>7.6959844032645219E-4</v>
      </c>
    </row>
    <row r="179" spans="1:22">
      <c r="A179" s="75">
        <v>147</v>
      </c>
      <c r="B179" s="125" t="s">
        <v>192</v>
      </c>
      <c r="C179" s="126" t="s">
        <v>185</v>
      </c>
      <c r="D179" s="2">
        <v>19855246057.099998</v>
      </c>
      <c r="E179" s="3">
        <f t="shared" si="67"/>
        <v>0.40361606584784387</v>
      </c>
      <c r="F179" s="7">
        <v>1228.0999999999999</v>
      </c>
      <c r="G179" s="7">
        <v>1228.0999999999999</v>
      </c>
      <c r="H179" s="60">
        <v>8016</v>
      </c>
      <c r="I179" s="5">
        <v>5.5999999999999999E-3</v>
      </c>
      <c r="J179" s="5">
        <v>3.6299999999999999E-2</v>
      </c>
      <c r="K179" s="2">
        <v>20029058895.02</v>
      </c>
      <c r="L179" s="3">
        <f t="shared" si="68"/>
        <v>0.40479033728922437</v>
      </c>
      <c r="M179" s="7">
        <v>1231.3699999999999</v>
      </c>
      <c r="N179" s="7">
        <v>1231.3699999999999</v>
      </c>
      <c r="O179" s="60">
        <v>8075</v>
      </c>
      <c r="P179" s="5">
        <v>2.7000000000000001E-3</v>
      </c>
      <c r="Q179" s="5">
        <v>3.9399999999999998E-2</v>
      </c>
      <c r="R179" s="81">
        <f t="shared" si="69"/>
        <v>8.7540007018874783E-3</v>
      </c>
      <c r="S179" s="81">
        <f t="shared" si="70"/>
        <v>2.6626496213663234E-3</v>
      </c>
      <c r="T179" s="81">
        <f t="shared" si="71"/>
        <v>7.3602794411177647E-3</v>
      </c>
      <c r="U179" s="81">
        <f t="shared" si="72"/>
        <v>-2.8999999999999998E-3</v>
      </c>
      <c r="V179" s="83">
        <f t="shared" si="73"/>
        <v>3.0999999999999986E-3</v>
      </c>
    </row>
    <row r="180" spans="1:22" ht="12.75" customHeight="1">
      <c r="A180" s="75">
        <v>148</v>
      </c>
      <c r="B180" s="125" t="s">
        <v>193</v>
      </c>
      <c r="C180" s="126" t="s">
        <v>78</v>
      </c>
      <c r="D180" s="2">
        <v>1088507155.1400001</v>
      </c>
      <c r="E180" s="3">
        <f t="shared" si="67"/>
        <v>2.2127098014367502E-2</v>
      </c>
      <c r="F180" s="14">
        <v>104.97</v>
      </c>
      <c r="G180" s="14">
        <v>104.97</v>
      </c>
      <c r="H180" s="60">
        <v>547</v>
      </c>
      <c r="I180" s="5">
        <v>2.3E-3</v>
      </c>
      <c r="J180" s="5">
        <v>2.7900000000000001E-2</v>
      </c>
      <c r="K180" s="2">
        <v>1091881164.74</v>
      </c>
      <c r="L180" s="3">
        <f t="shared" si="68"/>
        <v>2.2067084992433161E-2</v>
      </c>
      <c r="M180" s="14">
        <v>102.71</v>
      </c>
      <c r="N180" s="14">
        <v>102.71</v>
      </c>
      <c r="O180" s="60">
        <v>548</v>
      </c>
      <c r="P180" s="5">
        <v>1.9E-3</v>
      </c>
      <c r="Q180" s="5">
        <v>2.9899999999999999E-2</v>
      </c>
      <c r="R180" s="81">
        <f t="shared" si="69"/>
        <v>3.0996669007342915E-3</v>
      </c>
      <c r="S180" s="81">
        <f t="shared" si="70"/>
        <v>-2.1529960941221352E-2</v>
      </c>
      <c r="T180" s="81">
        <f t="shared" si="71"/>
        <v>1.8281535648994515E-3</v>
      </c>
      <c r="U180" s="81">
        <f t="shared" si="72"/>
        <v>-3.9999999999999996E-4</v>
      </c>
      <c r="V180" s="83">
        <f t="shared" si="73"/>
        <v>1.9999999999999983E-3</v>
      </c>
    </row>
    <row r="181" spans="1:22" ht="15.75" customHeight="1">
      <c r="A181" s="75">
        <v>149</v>
      </c>
      <c r="B181" s="125" t="s">
        <v>194</v>
      </c>
      <c r="C181" s="126" t="s">
        <v>42</v>
      </c>
      <c r="D181" s="2">
        <v>8089551839.1499996</v>
      </c>
      <c r="E181" s="3">
        <f t="shared" si="67"/>
        <v>0.16444384916712537</v>
      </c>
      <c r="F181" s="14">
        <v>130.33000000000001</v>
      </c>
      <c r="G181" s="14">
        <v>130.33000000000001</v>
      </c>
      <c r="H181" s="60">
        <v>1153</v>
      </c>
      <c r="I181" s="5">
        <v>1.1999999999999999E-3</v>
      </c>
      <c r="J181" s="5">
        <v>1.5900000000000001E-2</v>
      </c>
      <c r="K181" s="2">
        <v>8109255279.3400002</v>
      </c>
      <c r="L181" s="3">
        <f t="shared" si="68"/>
        <v>0.16388928690526897</v>
      </c>
      <c r="M181" s="14">
        <v>130.49</v>
      </c>
      <c r="N181" s="14">
        <v>130.59</v>
      </c>
      <c r="O181" s="60">
        <v>1160</v>
      </c>
      <c r="P181" s="5">
        <v>1.1999999999999999E-3</v>
      </c>
      <c r="Q181" s="5">
        <v>7.1400000000000005E-2</v>
      </c>
      <c r="R181" s="81">
        <f t="shared" si="69"/>
        <v>2.4356652360695979E-3</v>
      </c>
      <c r="S181" s="81">
        <f t="shared" si="70"/>
        <v>1.994935931865195E-3</v>
      </c>
      <c r="T181" s="81">
        <f t="shared" si="71"/>
        <v>6.0711188204683438E-3</v>
      </c>
      <c r="U181" s="81">
        <f t="shared" si="72"/>
        <v>0</v>
      </c>
      <c r="V181" s="83">
        <f t="shared" si="73"/>
        <v>5.5500000000000008E-2</v>
      </c>
    </row>
    <row r="182" spans="1:22">
      <c r="A182" s="75">
        <v>150</v>
      </c>
      <c r="B182" s="125" t="s">
        <v>195</v>
      </c>
      <c r="C182" s="126" t="s">
        <v>45</v>
      </c>
      <c r="D182" s="2">
        <v>4354016642.9300003</v>
      </c>
      <c r="E182" s="3">
        <f t="shared" si="67"/>
        <v>8.8508148577037427E-2</v>
      </c>
      <c r="F182" s="14">
        <v>1.2073</v>
      </c>
      <c r="G182" s="14">
        <v>1.2073</v>
      </c>
      <c r="H182" s="60">
        <v>622</v>
      </c>
      <c r="I182" s="5">
        <v>9.4899999999999998E-2</v>
      </c>
      <c r="J182" s="5">
        <v>9.6100000000000005E-2</v>
      </c>
      <c r="K182" s="2">
        <v>4344100661.5799999</v>
      </c>
      <c r="L182" s="3">
        <f t="shared" si="68"/>
        <v>8.7794937407494958E-2</v>
      </c>
      <c r="M182" s="14">
        <v>1.2084999999999999</v>
      </c>
      <c r="N182" s="14">
        <v>1.2084999999999999</v>
      </c>
      <c r="O182" s="60">
        <v>624</v>
      </c>
      <c r="P182" s="5">
        <v>9.4899999999999998E-2</v>
      </c>
      <c r="Q182" s="5">
        <v>9.6100000000000005E-2</v>
      </c>
      <c r="R182" s="81">
        <f t="shared" si="69"/>
        <v>-2.2774330378598421E-3</v>
      </c>
      <c r="S182" s="81">
        <f t="shared" si="70"/>
        <v>9.9395344984665591E-4</v>
      </c>
      <c r="T182" s="81">
        <f t="shared" si="71"/>
        <v>3.2154340836012861E-3</v>
      </c>
      <c r="U182" s="81">
        <f t="shared" si="72"/>
        <v>0</v>
      </c>
      <c r="V182" s="83">
        <f t="shared" si="73"/>
        <v>0</v>
      </c>
    </row>
    <row r="183" spans="1:22">
      <c r="A183" s="75">
        <v>151</v>
      </c>
      <c r="B183" s="125" t="s">
        <v>196</v>
      </c>
      <c r="C183" s="126" t="s">
        <v>197</v>
      </c>
      <c r="D183" s="2">
        <v>418977625.67000002</v>
      </c>
      <c r="E183" s="3">
        <f t="shared" si="67"/>
        <v>8.5169481387880209E-3</v>
      </c>
      <c r="F183" s="18">
        <v>112.1575</v>
      </c>
      <c r="G183" s="18">
        <v>112.6644</v>
      </c>
      <c r="H183" s="61">
        <v>155</v>
      </c>
      <c r="I183" s="5">
        <v>-5.9659999999999999E-3</v>
      </c>
      <c r="J183" s="5">
        <v>0.1318</v>
      </c>
      <c r="K183" s="2">
        <v>420483311.35000002</v>
      </c>
      <c r="L183" s="3">
        <f t="shared" si="68"/>
        <v>8.4980319004492339E-3</v>
      </c>
      <c r="M183" s="18">
        <v>112.544</v>
      </c>
      <c r="N183" s="18">
        <v>113.0599</v>
      </c>
      <c r="O183" s="61">
        <v>157</v>
      </c>
      <c r="P183" s="5">
        <v>3.4880000000000002E-3</v>
      </c>
      <c r="Q183" s="5">
        <v>0.13569999999999999</v>
      </c>
      <c r="R183" s="81">
        <f>((K183-D183)/D183)</f>
        <v>3.5937138113096585E-3</v>
      </c>
      <c r="S183" s="81">
        <f>((N183-G183)/G183)</f>
        <v>3.510425653533844E-3</v>
      </c>
      <c r="T183" s="81">
        <f>((O183-H183)/H183)</f>
        <v>1.2903225806451613E-2</v>
      </c>
      <c r="U183" s="81">
        <f>P183-I183</f>
        <v>9.4540000000000006E-3</v>
      </c>
      <c r="V183" s="83">
        <f>Q183-J183</f>
        <v>3.8999999999999868E-3</v>
      </c>
    </row>
    <row r="184" spans="1:22">
      <c r="A184" s="75">
        <v>152</v>
      </c>
      <c r="B184" s="125" t="s">
        <v>244</v>
      </c>
      <c r="C184" s="126" t="s">
        <v>197</v>
      </c>
      <c r="D184" s="2">
        <v>153793390.87</v>
      </c>
      <c r="E184" s="3">
        <f t="shared" si="67"/>
        <v>3.1263013914729293E-3</v>
      </c>
      <c r="F184" s="18">
        <v>101.47490000000001</v>
      </c>
      <c r="G184" s="18">
        <v>101.47490000000001</v>
      </c>
      <c r="H184" s="61">
        <v>64</v>
      </c>
      <c r="I184" s="5">
        <v>1.3669999999999999E-3</v>
      </c>
      <c r="J184" s="5">
        <v>1.3275E-2</v>
      </c>
      <c r="K184" s="2">
        <v>154064648.56999999</v>
      </c>
      <c r="L184" s="3">
        <f t="shared" si="68"/>
        <v>3.1136700623763305E-3</v>
      </c>
      <c r="M184" s="18">
        <v>101.65389999999999</v>
      </c>
      <c r="N184" s="18">
        <v>101.65389999999999</v>
      </c>
      <c r="O184" s="61">
        <v>64</v>
      </c>
      <c r="P184" s="5">
        <v>1.7639999999999999E-3</v>
      </c>
      <c r="Q184" s="5">
        <v>1.5062000000000001E-2</v>
      </c>
      <c r="R184" s="81">
        <f t="shared" si="69"/>
        <v>1.7637799548179509E-3</v>
      </c>
      <c r="S184" s="81">
        <f t="shared" si="70"/>
        <v>1.7639830145187412E-3</v>
      </c>
      <c r="T184" s="81">
        <f t="shared" si="71"/>
        <v>0</v>
      </c>
      <c r="U184" s="81">
        <f t="shared" si="72"/>
        <v>3.97E-4</v>
      </c>
      <c r="V184" s="83">
        <f t="shared" si="73"/>
        <v>1.7870000000000004E-3</v>
      </c>
    </row>
    <row r="185" spans="1:22">
      <c r="A185" s="85"/>
      <c r="B185" s="19"/>
      <c r="C185" s="66" t="s">
        <v>46</v>
      </c>
      <c r="D185" s="59">
        <f>SUM(D170:D184)</f>
        <v>49193398720.121994</v>
      </c>
      <c r="E185" s="100">
        <f>(D185/$D$186)</f>
        <v>1.8599705846041838E-2</v>
      </c>
      <c r="F185" s="30"/>
      <c r="G185" s="34"/>
      <c r="H185" s="68">
        <f>SUM(H170:H184)</f>
        <v>27169</v>
      </c>
      <c r="I185" s="35"/>
      <c r="J185" s="35"/>
      <c r="K185" s="59">
        <f>SUM(K170:K184)</f>
        <v>49480081538.382065</v>
      </c>
      <c r="L185" s="100">
        <f>(K185/$K$186)</f>
        <v>1.9106758175114421E-2</v>
      </c>
      <c r="M185" s="30"/>
      <c r="N185" s="34"/>
      <c r="O185" s="68">
        <f>SUM(O170:O184)</f>
        <v>27246</v>
      </c>
      <c r="P185" s="35"/>
      <c r="Q185" s="35"/>
      <c r="R185" s="81">
        <f t="shared" si="69"/>
        <v>5.8276684620045677E-3</v>
      </c>
      <c r="S185" s="81" t="e">
        <f t="shared" si="70"/>
        <v>#DIV/0!</v>
      </c>
      <c r="T185" s="81">
        <f t="shared" si="71"/>
        <v>2.8341124075232801E-3</v>
      </c>
      <c r="U185" s="81">
        <f t="shared" si="72"/>
        <v>0</v>
      </c>
      <c r="V185" s="83">
        <f t="shared" si="73"/>
        <v>0</v>
      </c>
    </row>
    <row r="186" spans="1:22">
      <c r="A186" s="86"/>
      <c r="B186" s="38"/>
      <c r="C186" s="67" t="s">
        <v>198</v>
      </c>
      <c r="D186" s="69">
        <f>SUM(D22,D56,D93,D123,D131,D160,D166,D185)</f>
        <v>2644848210359.7744</v>
      </c>
      <c r="E186" s="39"/>
      <c r="F186" s="39"/>
      <c r="G186" s="40"/>
      <c r="H186" s="69">
        <f>SUM(H22,H56,H93,H123,H131,H160,H166,H185)</f>
        <v>722439</v>
      </c>
      <c r="I186" s="41"/>
      <c r="J186" s="41"/>
      <c r="K186" s="69">
        <f>SUM(K22,K56,K93,K123,K131,K160,K166,K185)</f>
        <v>2589663881486.0469</v>
      </c>
      <c r="L186" s="39"/>
      <c r="M186" s="39"/>
      <c r="N186" s="40"/>
      <c r="O186" s="69">
        <f>SUM(O22,O56,O93,O123,O131,O160,O166,O185)</f>
        <v>722868</v>
      </c>
      <c r="P186" s="42"/>
      <c r="Q186" s="69"/>
      <c r="R186" s="25">
        <f t="shared" si="69"/>
        <v>-2.0864837784479475E-2</v>
      </c>
      <c r="S186" s="25"/>
      <c r="T186" s="25"/>
      <c r="U186" s="25"/>
      <c r="V186" s="25"/>
    </row>
    <row r="187" spans="1:22" ht="6.75" customHeight="1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9"/>
    </row>
    <row r="188" spans="1:22" ht="15.75">
      <c r="A188" s="168" t="s">
        <v>199</v>
      </c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</row>
    <row r="189" spans="1:22">
      <c r="A189" s="75">
        <v>1</v>
      </c>
      <c r="B189" s="125" t="s">
        <v>200</v>
      </c>
      <c r="C189" s="126" t="s">
        <v>201</v>
      </c>
      <c r="D189" s="2">
        <v>92548651821</v>
      </c>
      <c r="E189" s="3">
        <f>(D189/$D$191)</f>
        <v>0.97727436362743636</v>
      </c>
      <c r="F189" s="14">
        <v>114</v>
      </c>
      <c r="G189" s="14">
        <v>114</v>
      </c>
      <c r="H189" s="64">
        <v>0</v>
      </c>
      <c r="I189" s="20">
        <v>0</v>
      </c>
      <c r="J189" s="20">
        <v>0.13800000000000001</v>
      </c>
      <c r="K189" s="2">
        <v>92548651821</v>
      </c>
      <c r="L189" s="3">
        <f>(K189/$K$191)</f>
        <v>0.97722133337745309</v>
      </c>
      <c r="M189" s="14">
        <v>114</v>
      </c>
      <c r="N189" s="14">
        <v>114</v>
      </c>
      <c r="O189" s="64">
        <v>0</v>
      </c>
      <c r="P189" s="20">
        <v>0</v>
      </c>
      <c r="Q189" s="20">
        <v>0.13800000000000001</v>
      </c>
      <c r="R189" s="81">
        <f>((K189-D189)/D189)</f>
        <v>0</v>
      </c>
      <c r="S189" s="81">
        <f>((N189-G189)/G189)</f>
        <v>0</v>
      </c>
      <c r="T189" s="81" t="e">
        <f>((O189-H189)/H189)</f>
        <v>#DIV/0!</v>
      </c>
      <c r="U189" s="81">
        <f>P189-I189</f>
        <v>0</v>
      </c>
      <c r="V189" s="83">
        <f>Q189-J189</f>
        <v>0</v>
      </c>
    </row>
    <row r="190" spans="1:22">
      <c r="A190" s="75">
        <v>2</v>
      </c>
      <c r="B190" s="125" t="s">
        <v>202</v>
      </c>
      <c r="C190" s="126" t="s">
        <v>45</v>
      </c>
      <c r="D190" s="2">
        <v>2152135660.5</v>
      </c>
      <c r="E190" s="3">
        <f>(D190/$D$191)</f>
        <v>2.2725636372563685E-2</v>
      </c>
      <c r="F190" s="21">
        <v>1000000</v>
      </c>
      <c r="G190" s="21">
        <v>1000000</v>
      </c>
      <c r="H190" s="64">
        <v>0</v>
      </c>
      <c r="I190" s="20">
        <v>0.16439999999999999</v>
      </c>
      <c r="J190" s="20">
        <v>0.16439999999999999</v>
      </c>
      <c r="K190" s="2">
        <v>2157274728.04</v>
      </c>
      <c r="L190" s="3">
        <f>(K190/$K$191)</f>
        <v>2.2778666622546948E-2</v>
      </c>
      <c r="M190" s="21">
        <v>1000000</v>
      </c>
      <c r="N190" s="21">
        <v>1000000</v>
      </c>
      <c r="O190" s="64">
        <v>0</v>
      </c>
      <c r="P190" s="20">
        <v>0.1643</v>
      </c>
      <c r="Q190" s="20">
        <v>0.1643</v>
      </c>
      <c r="R190" s="81">
        <f>((K190-D190)/D190)</f>
        <v>2.3878920062158238E-3</v>
      </c>
      <c r="S190" s="81">
        <f>((N190-G190)/G190)</f>
        <v>0</v>
      </c>
      <c r="T190" s="81" t="e">
        <f>((O190-H190)/H190)</f>
        <v>#DIV/0!</v>
      </c>
      <c r="U190" s="81">
        <f>P190-I190</f>
        <v>-9.9999999999988987E-5</v>
      </c>
      <c r="V190" s="83">
        <f>Q190-J190</f>
        <v>-9.9999999999988987E-5</v>
      </c>
    </row>
    <row r="191" spans="1:22">
      <c r="A191" s="38"/>
      <c r="B191" s="38"/>
      <c r="C191" s="67" t="s">
        <v>203</v>
      </c>
      <c r="D191" s="73">
        <f>SUM(D189:D190)</f>
        <v>94700787481.5</v>
      </c>
      <c r="E191" s="24"/>
      <c r="F191" s="22"/>
      <c r="G191" s="22"/>
      <c r="H191" s="73">
        <f>SUM(H189:H190)</f>
        <v>0</v>
      </c>
      <c r="I191" s="23"/>
      <c r="J191" s="23"/>
      <c r="K191" s="73">
        <f>SUM(K189:K190)</f>
        <v>94705926549.039993</v>
      </c>
      <c r="L191" s="24"/>
      <c r="M191" s="22"/>
      <c r="N191" s="22"/>
      <c r="O191" s="23"/>
      <c r="P191" s="23"/>
      <c r="Q191" s="73"/>
      <c r="R191" s="25">
        <f>((K191-D191)/D191)</f>
        <v>5.4266365430141894E-5</v>
      </c>
      <c r="S191" s="26"/>
      <c r="T191" s="26"/>
      <c r="U191" s="25">
        <f>O191-H191</f>
        <v>0</v>
      </c>
      <c r="V191" s="87">
        <f>P191-I191</f>
        <v>0</v>
      </c>
    </row>
    <row r="192" spans="1:22" ht="8.25" customHeight="1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</row>
    <row r="193" spans="1:22" ht="15.75">
      <c r="A193" s="168" t="s">
        <v>204</v>
      </c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</row>
    <row r="194" spans="1:22">
      <c r="A194" s="75">
        <v>1</v>
      </c>
      <c r="B194" s="125" t="s">
        <v>205</v>
      </c>
      <c r="C194" s="126" t="s">
        <v>74</v>
      </c>
      <c r="D194" s="27">
        <v>1010571446.505819</v>
      </c>
      <c r="E194" s="10">
        <f t="shared" ref="E194:E205" si="74">(D194/$D$206)</f>
        <v>7.4099997943772158E-2</v>
      </c>
      <c r="F194" s="21">
        <v>238.14573972094237</v>
      </c>
      <c r="G194" s="21">
        <v>240.98239350771769</v>
      </c>
      <c r="H194" s="63">
        <v>61</v>
      </c>
      <c r="I194" s="28">
        <v>-2.0159595993277657E-3</v>
      </c>
      <c r="J194" s="28">
        <v>0.36036638707267432</v>
      </c>
      <c r="K194" s="27">
        <v>998881471.41608548</v>
      </c>
      <c r="L194" s="10">
        <f t="shared" ref="L194:L205" si="75">(K194/$K$206)</f>
        <v>7.4585203164655847E-2</v>
      </c>
      <c r="M194" s="21">
        <v>235.39094413010145</v>
      </c>
      <c r="N194" s="21">
        <v>238.33327075527285</v>
      </c>
      <c r="O194" s="63">
        <v>61</v>
      </c>
      <c r="P194" s="28">
        <v>-1.1567687895945533E-2</v>
      </c>
      <c r="Q194" s="28">
        <v>0.34643359870439117</v>
      </c>
      <c r="R194" s="81">
        <f>((K194-D194)/D194)</f>
        <v>-1.1567687895945485E-2</v>
      </c>
      <c r="S194" s="81">
        <f>((N194-G194)/G194)</f>
        <v>-1.0993013696496455E-2</v>
      </c>
      <c r="T194" s="81">
        <f>((O194-H194)/H194)</f>
        <v>0</v>
      </c>
      <c r="U194" s="81">
        <f>P194-I194</f>
        <v>-9.5517282966177675E-3</v>
      </c>
      <c r="V194" s="83">
        <f>Q194-J194</f>
        <v>-1.3932788368283155E-2</v>
      </c>
    </row>
    <row r="195" spans="1:22">
      <c r="A195" s="75">
        <v>2</v>
      </c>
      <c r="B195" s="125" t="s">
        <v>206</v>
      </c>
      <c r="C195" s="126" t="s">
        <v>185</v>
      </c>
      <c r="D195" s="27">
        <v>1005733208.51</v>
      </c>
      <c r="E195" s="10">
        <f t="shared" si="74"/>
        <v>7.3745234877012983E-2</v>
      </c>
      <c r="F195" s="21">
        <v>28.61</v>
      </c>
      <c r="G195" s="21">
        <v>31.62</v>
      </c>
      <c r="H195" s="63">
        <v>209</v>
      </c>
      <c r="I195" s="28">
        <v>1.6999999999999999E-3</v>
      </c>
      <c r="J195" s="28">
        <v>0.33460000000000001</v>
      </c>
      <c r="K195" s="27">
        <v>1000100768.97</v>
      </c>
      <c r="L195" s="10">
        <f t="shared" si="75"/>
        <v>7.4676246555067285E-2</v>
      </c>
      <c r="M195" s="21">
        <v>28.45</v>
      </c>
      <c r="N195" s="21">
        <v>31.44</v>
      </c>
      <c r="O195" s="63">
        <v>211</v>
      </c>
      <c r="P195" s="28">
        <v>-5.5999999999999999E-3</v>
      </c>
      <c r="Q195" s="28">
        <v>0.3271</v>
      </c>
      <c r="R195" s="81">
        <f t="shared" ref="R195:R206" si="76">((K195-D195)/D195)</f>
        <v>-5.6003316708060739E-3</v>
      </c>
      <c r="S195" s="81">
        <f t="shared" ref="S195:S206" si="77">((N195-G195)/G195)</f>
        <v>-5.6925996204933499E-3</v>
      </c>
      <c r="T195" s="81">
        <f t="shared" ref="T195:T206" si="78">((O195-H195)/H195)</f>
        <v>9.5693779904306216E-3</v>
      </c>
      <c r="U195" s="81">
        <f t="shared" ref="U195:U206" si="79">P195-I195</f>
        <v>-7.3000000000000001E-3</v>
      </c>
      <c r="V195" s="83">
        <f t="shared" ref="V195:V206" si="80">Q195-J195</f>
        <v>-7.5000000000000067E-3</v>
      </c>
    </row>
    <row r="196" spans="1:22">
      <c r="A196" s="75">
        <v>3</v>
      </c>
      <c r="B196" s="125" t="s">
        <v>207</v>
      </c>
      <c r="C196" s="126" t="s">
        <v>36</v>
      </c>
      <c r="D196" s="27">
        <v>309187870.31999999</v>
      </c>
      <c r="E196" s="10">
        <f t="shared" si="74"/>
        <v>2.2671153666738168E-2</v>
      </c>
      <c r="F196" s="21">
        <v>23.305828999999999</v>
      </c>
      <c r="G196" s="21">
        <v>23.765349000000001</v>
      </c>
      <c r="H196" s="63">
        <v>107</v>
      </c>
      <c r="I196" s="28">
        <v>3.0327578015779011E-2</v>
      </c>
      <c r="J196" s="28">
        <v>-1.7911892709246202E-2</v>
      </c>
      <c r="K196" s="27">
        <v>300640633.79000002</v>
      </c>
      <c r="L196" s="10">
        <f t="shared" si="75"/>
        <v>2.244845198598901E-2</v>
      </c>
      <c r="M196" s="21">
        <v>22.236270999999999</v>
      </c>
      <c r="N196" s="21">
        <v>22.705085</v>
      </c>
      <c r="O196" s="63">
        <v>107</v>
      </c>
      <c r="P196" s="28">
        <v>-2.7644152149804091E-2</v>
      </c>
      <c r="Q196" s="28">
        <v>-1.7911892709246202E-2</v>
      </c>
      <c r="R196" s="81">
        <f t="shared" si="76"/>
        <v>-2.7644152149804074E-2</v>
      </c>
      <c r="S196" s="81">
        <f t="shared" si="77"/>
        <v>-4.461386197189867E-2</v>
      </c>
      <c r="T196" s="81">
        <f t="shared" si="78"/>
        <v>0</v>
      </c>
      <c r="U196" s="81">
        <f t="shared" si="79"/>
        <v>-5.7971730165583102E-2</v>
      </c>
      <c r="V196" s="83">
        <f t="shared" si="80"/>
        <v>0</v>
      </c>
    </row>
    <row r="197" spans="1:22">
      <c r="A197" s="75">
        <v>4</v>
      </c>
      <c r="B197" s="125" t="s">
        <v>208</v>
      </c>
      <c r="C197" s="126" t="s">
        <v>36</v>
      </c>
      <c r="D197" s="27">
        <v>538111855.04999995</v>
      </c>
      <c r="E197" s="10">
        <f t="shared" si="74"/>
        <v>3.9456970103988409E-2</v>
      </c>
      <c r="F197" s="21">
        <v>41.174629000000003</v>
      </c>
      <c r="G197" s="21">
        <v>41.739801999999997</v>
      </c>
      <c r="H197" s="63">
        <v>98</v>
      </c>
      <c r="I197" s="28">
        <v>5.5299789659779552E-3</v>
      </c>
      <c r="J197" s="28">
        <v>7.2432475233016769E-2</v>
      </c>
      <c r="K197" s="27">
        <v>543882407.12</v>
      </c>
      <c r="L197" s="10">
        <f t="shared" si="75"/>
        <v>4.061100440197235E-2</v>
      </c>
      <c r="M197" s="21">
        <v>40.684196</v>
      </c>
      <c r="N197" s="21">
        <v>41.261429</v>
      </c>
      <c r="O197" s="63">
        <v>98</v>
      </c>
      <c r="P197" s="28">
        <v>1.0723703660949546E-2</v>
      </c>
      <c r="Q197" s="28">
        <v>7.2432475233016769E-2</v>
      </c>
      <c r="R197" s="81">
        <f t="shared" si="76"/>
        <v>1.0723703660949577E-2</v>
      </c>
      <c r="S197" s="81">
        <f t="shared" si="77"/>
        <v>-1.146083539160051E-2</v>
      </c>
      <c r="T197" s="81">
        <f t="shared" si="78"/>
        <v>0</v>
      </c>
      <c r="U197" s="81">
        <f t="shared" si="79"/>
        <v>5.1937246949715909E-3</v>
      </c>
      <c r="V197" s="83">
        <f t="shared" si="80"/>
        <v>0</v>
      </c>
    </row>
    <row r="198" spans="1:22">
      <c r="A198" s="75">
        <v>5</v>
      </c>
      <c r="B198" s="125" t="s">
        <v>209</v>
      </c>
      <c r="C198" s="126" t="s">
        <v>210</v>
      </c>
      <c r="D198" s="27">
        <v>984382460.55999994</v>
      </c>
      <c r="E198" s="10">
        <f t="shared" si="74"/>
        <v>7.2179694523915455E-2</v>
      </c>
      <c r="F198" s="21">
        <v>27500</v>
      </c>
      <c r="G198" s="21">
        <v>35200</v>
      </c>
      <c r="H198" s="63">
        <v>222</v>
      </c>
      <c r="I198" s="28">
        <v>0.02</v>
      </c>
      <c r="J198" s="28">
        <v>0.68</v>
      </c>
      <c r="K198" s="27">
        <v>912722054.11000001</v>
      </c>
      <c r="L198" s="10">
        <f t="shared" si="75"/>
        <v>6.8151789563327861E-2</v>
      </c>
      <c r="M198" s="21">
        <v>28700</v>
      </c>
      <c r="N198" s="21">
        <v>36400</v>
      </c>
      <c r="O198" s="63">
        <v>222</v>
      </c>
      <c r="P198" s="28">
        <v>-7.0000000000000007E-2</v>
      </c>
      <c r="Q198" s="28">
        <v>0.56000000000000005</v>
      </c>
      <c r="R198" s="81">
        <f t="shared" si="76"/>
        <v>-7.2797321489488379E-2</v>
      </c>
      <c r="S198" s="81">
        <f t="shared" si="77"/>
        <v>3.4090909090909088E-2</v>
      </c>
      <c r="T198" s="81">
        <f t="shared" si="78"/>
        <v>0</v>
      </c>
      <c r="U198" s="81">
        <f t="shared" si="79"/>
        <v>-9.0000000000000011E-2</v>
      </c>
      <c r="V198" s="83">
        <f t="shared" si="80"/>
        <v>-0.12</v>
      </c>
    </row>
    <row r="199" spans="1:22">
      <c r="A199" s="75">
        <v>6</v>
      </c>
      <c r="B199" s="125" t="s">
        <v>211</v>
      </c>
      <c r="C199" s="126" t="s">
        <v>212</v>
      </c>
      <c r="D199" s="27">
        <v>1131715451.4400001</v>
      </c>
      <c r="E199" s="10">
        <f t="shared" si="74"/>
        <v>8.2982863719924346E-2</v>
      </c>
      <c r="F199" s="21">
        <v>1018.9</v>
      </c>
      <c r="G199" s="21">
        <v>1018.9</v>
      </c>
      <c r="H199" s="63">
        <v>113</v>
      </c>
      <c r="I199" s="28">
        <v>7.7000000000000002E-3</v>
      </c>
      <c r="J199" s="28">
        <v>0.183</v>
      </c>
      <c r="K199" s="27">
        <v>1089107497.0899999</v>
      </c>
      <c r="L199" s="10">
        <f t="shared" si="75"/>
        <v>8.13222652167611E-2</v>
      </c>
      <c r="M199" s="21">
        <v>1018.9</v>
      </c>
      <c r="N199" s="21">
        <v>1018.9</v>
      </c>
      <c r="O199" s="63">
        <v>113</v>
      </c>
      <c r="P199" s="28">
        <v>-3.7699999999999997E-2</v>
      </c>
      <c r="Q199" s="28">
        <v>0.13950000000000001</v>
      </c>
      <c r="R199" s="81">
        <f t="shared" si="76"/>
        <v>-3.764899939802499E-2</v>
      </c>
      <c r="S199" s="81">
        <f t="shared" si="77"/>
        <v>0</v>
      </c>
      <c r="T199" s="81">
        <f t="shared" si="78"/>
        <v>0</v>
      </c>
      <c r="U199" s="81">
        <f t="shared" si="79"/>
        <v>-4.5399999999999996E-2</v>
      </c>
      <c r="V199" s="83">
        <f t="shared" si="80"/>
        <v>-4.3499999999999983E-2</v>
      </c>
    </row>
    <row r="200" spans="1:22">
      <c r="A200" s="75">
        <v>7</v>
      </c>
      <c r="B200" s="125" t="s">
        <v>213</v>
      </c>
      <c r="C200" s="126" t="s">
        <v>212</v>
      </c>
      <c r="D200" s="27">
        <v>960190132.13</v>
      </c>
      <c r="E200" s="10">
        <f t="shared" si="74"/>
        <v>7.040579571337971E-2</v>
      </c>
      <c r="F200" s="21">
        <v>600</v>
      </c>
      <c r="G200" s="21">
        <v>600</v>
      </c>
      <c r="H200" s="63">
        <v>533</v>
      </c>
      <c r="I200" s="28">
        <v>-4.0000000000000001E-3</v>
      </c>
      <c r="J200" s="28">
        <v>0.43640000000000001</v>
      </c>
      <c r="K200" s="27">
        <v>948797403.62</v>
      </c>
      <c r="L200" s="10">
        <f t="shared" si="75"/>
        <v>7.0845489816496854E-2</v>
      </c>
      <c r="M200" s="21">
        <v>592</v>
      </c>
      <c r="N200" s="21">
        <v>592</v>
      </c>
      <c r="O200" s="63">
        <v>533</v>
      </c>
      <c r="P200" s="28">
        <v>-1.1900000000000001E-2</v>
      </c>
      <c r="Q200" s="28">
        <v>0.41949999999999998</v>
      </c>
      <c r="R200" s="81">
        <f t="shared" si="76"/>
        <v>-1.1865075601982474E-2</v>
      </c>
      <c r="S200" s="81">
        <f t="shared" si="77"/>
        <v>-1.3333333333333334E-2</v>
      </c>
      <c r="T200" s="81">
        <f t="shared" si="78"/>
        <v>0</v>
      </c>
      <c r="U200" s="81">
        <f t="shared" si="79"/>
        <v>-7.9000000000000008E-3</v>
      </c>
      <c r="V200" s="83">
        <f t="shared" si="80"/>
        <v>-1.6900000000000026E-2</v>
      </c>
    </row>
    <row r="201" spans="1:22">
      <c r="A201" s="75">
        <v>8</v>
      </c>
      <c r="B201" s="125" t="s">
        <v>214</v>
      </c>
      <c r="C201" s="126" t="s">
        <v>215</v>
      </c>
      <c r="D201" s="27">
        <v>363581087.36000001</v>
      </c>
      <c r="E201" s="10">
        <f t="shared" si="74"/>
        <v>2.6659528051107783E-2</v>
      </c>
      <c r="F201" s="21">
        <v>16.059999999999999</v>
      </c>
      <c r="G201" s="21">
        <v>16.16</v>
      </c>
      <c r="H201" s="63">
        <v>58</v>
      </c>
      <c r="I201" s="28">
        <v>0</v>
      </c>
      <c r="J201" s="28">
        <v>0.43230000000000002</v>
      </c>
      <c r="K201" s="27">
        <v>367053086.00999999</v>
      </c>
      <c r="L201" s="10">
        <f t="shared" si="75"/>
        <v>2.7407384935730708E-2</v>
      </c>
      <c r="M201" s="21">
        <v>16.21</v>
      </c>
      <c r="N201" s="21">
        <v>16.309999999999999</v>
      </c>
      <c r="O201" s="63">
        <v>58</v>
      </c>
      <c r="P201" s="28">
        <v>0</v>
      </c>
      <c r="Q201" s="28">
        <v>0.43230000000000002</v>
      </c>
      <c r="R201" s="81">
        <f t="shared" si="76"/>
        <v>9.5494478967828571E-3</v>
      </c>
      <c r="S201" s="81">
        <f t="shared" si="77"/>
        <v>9.282178217821695E-3</v>
      </c>
      <c r="T201" s="81">
        <f t="shared" si="78"/>
        <v>0</v>
      </c>
      <c r="U201" s="81">
        <f t="shared" si="79"/>
        <v>0</v>
      </c>
      <c r="V201" s="83">
        <f t="shared" si="80"/>
        <v>0</v>
      </c>
    </row>
    <row r="202" spans="1:22">
      <c r="A202" s="75">
        <v>9</v>
      </c>
      <c r="B202" s="125" t="s">
        <v>216</v>
      </c>
      <c r="C202" s="126" t="s">
        <v>215</v>
      </c>
      <c r="D202" s="29">
        <v>823977158.40999997</v>
      </c>
      <c r="E202" s="10">
        <f t="shared" si="74"/>
        <v>6.0418000087977604E-2</v>
      </c>
      <c r="F202" s="21">
        <v>10.25</v>
      </c>
      <c r="G202" s="21">
        <v>10.35</v>
      </c>
      <c r="H202" s="63">
        <v>97</v>
      </c>
      <c r="I202" s="28">
        <v>2.8199999999999999E-2</v>
      </c>
      <c r="J202" s="28">
        <v>0.1552</v>
      </c>
      <c r="K202" s="29">
        <v>768510751.38</v>
      </c>
      <c r="L202" s="10">
        <f t="shared" si="75"/>
        <v>5.7383715852331679E-2</v>
      </c>
      <c r="M202" s="21">
        <v>9.5500000000000007</v>
      </c>
      <c r="N202" s="21">
        <v>9.65</v>
      </c>
      <c r="O202" s="63">
        <v>97</v>
      </c>
      <c r="P202" s="28">
        <v>-4.9000000000000002E-2</v>
      </c>
      <c r="Q202" s="28">
        <v>9.8500000000000004E-2</v>
      </c>
      <c r="R202" s="81">
        <f t="shared" si="76"/>
        <v>-6.7315466774627061E-2</v>
      </c>
      <c r="S202" s="81">
        <f t="shared" si="77"/>
        <v>-6.7632850241545833E-2</v>
      </c>
      <c r="T202" s="81">
        <f t="shared" si="78"/>
        <v>0</v>
      </c>
      <c r="U202" s="81">
        <f t="shared" si="79"/>
        <v>-7.7200000000000005E-2</v>
      </c>
      <c r="V202" s="83">
        <f t="shared" si="80"/>
        <v>-5.67E-2</v>
      </c>
    </row>
    <row r="203" spans="1:22" ht="15" customHeight="1">
      <c r="A203" s="75">
        <v>10</v>
      </c>
      <c r="B203" s="125" t="s">
        <v>217</v>
      </c>
      <c r="C203" s="126" t="s">
        <v>215</v>
      </c>
      <c r="D203" s="27">
        <v>437147934.64999998</v>
      </c>
      <c r="E203" s="10">
        <f t="shared" si="74"/>
        <v>3.2053805963636758E-2</v>
      </c>
      <c r="F203" s="21">
        <v>123.18</v>
      </c>
      <c r="G203" s="21">
        <v>125.18</v>
      </c>
      <c r="H203" s="63">
        <v>252</v>
      </c>
      <c r="I203" s="28">
        <v>-0.43180000000000002</v>
      </c>
      <c r="J203" s="28">
        <v>0.68920000000000003</v>
      </c>
      <c r="K203" s="27">
        <v>453234572.95999998</v>
      </c>
      <c r="L203" s="10">
        <f t="shared" si="75"/>
        <v>3.3842446449170623E-2</v>
      </c>
      <c r="M203" s="21">
        <v>127.75</v>
      </c>
      <c r="N203" s="21">
        <v>129.75</v>
      </c>
      <c r="O203" s="63">
        <v>250</v>
      </c>
      <c r="P203" s="28">
        <v>4.0000000000000002E-4</v>
      </c>
      <c r="Q203" s="28">
        <v>0.68989999999999996</v>
      </c>
      <c r="R203" s="81">
        <f t="shared" si="76"/>
        <v>3.679907197292303E-2</v>
      </c>
      <c r="S203" s="81">
        <f t="shared" si="77"/>
        <v>3.6507429301805346E-2</v>
      </c>
      <c r="T203" s="81">
        <f t="shared" si="78"/>
        <v>-7.9365079365079361E-3</v>
      </c>
      <c r="U203" s="81">
        <f t="shared" si="79"/>
        <v>0.43220000000000003</v>
      </c>
      <c r="V203" s="83">
        <f t="shared" si="80"/>
        <v>6.9999999999992291E-4</v>
      </c>
    </row>
    <row r="204" spans="1:22">
      <c r="A204" s="75">
        <v>11</v>
      </c>
      <c r="B204" s="125" t="s">
        <v>218</v>
      </c>
      <c r="C204" s="126" t="s">
        <v>215</v>
      </c>
      <c r="D204" s="27">
        <v>5572078854.0100002</v>
      </c>
      <c r="E204" s="10">
        <f t="shared" si="74"/>
        <v>0.40857183631330701</v>
      </c>
      <c r="F204" s="21">
        <v>39.049999999999997</v>
      </c>
      <c r="G204" s="21">
        <v>39.25</v>
      </c>
      <c r="H204" s="63">
        <v>262</v>
      </c>
      <c r="I204" s="28">
        <v>-7.7000000000000002E-3</v>
      </c>
      <c r="J204" s="28">
        <v>0.4259</v>
      </c>
      <c r="K204" s="27">
        <v>5509805831.4799995</v>
      </c>
      <c r="L204" s="10">
        <f t="shared" si="75"/>
        <v>0.41141016136393976</v>
      </c>
      <c r="M204" s="21">
        <v>38.590000000000003</v>
      </c>
      <c r="N204" s="21">
        <v>38.79</v>
      </c>
      <c r="O204" s="63">
        <v>260</v>
      </c>
      <c r="P204" s="28">
        <v>-1.43E-2</v>
      </c>
      <c r="Q204" s="28">
        <v>0.40560000000000002</v>
      </c>
      <c r="R204" s="81">
        <f t="shared" si="76"/>
        <v>-1.1175904749658254E-2</v>
      </c>
      <c r="S204" s="81">
        <f t="shared" si="77"/>
        <v>-1.1719745222929958E-2</v>
      </c>
      <c r="T204" s="81">
        <f t="shared" si="78"/>
        <v>-7.6335877862595417E-3</v>
      </c>
      <c r="U204" s="81">
        <f t="shared" si="79"/>
        <v>-6.6E-3</v>
      </c>
      <c r="V204" s="83">
        <f t="shared" si="80"/>
        <v>-2.0299999999999985E-2</v>
      </c>
    </row>
    <row r="205" spans="1:22">
      <c r="A205" s="75">
        <v>12</v>
      </c>
      <c r="B205" s="125" t="s">
        <v>219</v>
      </c>
      <c r="C205" s="126" t="s">
        <v>215</v>
      </c>
      <c r="D205" s="29">
        <v>501264167.88999999</v>
      </c>
      <c r="E205" s="10">
        <f t="shared" si="74"/>
        <v>3.675511903523962E-2</v>
      </c>
      <c r="F205" s="21">
        <v>48.31</v>
      </c>
      <c r="G205" s="21">
        <v>48.51</v>
      </c>
      <c r="H205" s="63">
        <v>55</v>
      </c>
      <c r="I205" s="28">
        <v>-6.1999999999999998E-3</v>
      </c>
      <c r="J205" s="28">
        <v>0.81130000000000002</v>
      </c>
      <c r="K205" s="29">
        <v>499751965.25</v>
      </c>
      <c r="L205" s="10">
        <f t="shared" si="75"/>
        <v>3.7315840694556943E-2</v>
      </c>
      <c r="M205" s="21">
        <v>48.18</v>
      </c>
      <c r="N205" s="21">
        <v>48.38</v>
      </c>
      <c r="O205" s="63">
        <v>58</v>
      </c>
      <c r="P205" s="28">
        <v>0</v>
      </c>
      <c r="Q205" s="28">
        <v>0.81130000000000002</v>
      </c>
      <c r="R205" s="81">
        <f t="shared" si="76"/>
        <v>-3.0167778526148936E-3</v>
      </c>
      <c r="S205" s="81">
        <f t="shared" si="77"/>
        <v>-2.6798598227168718E-3</v>
      </c>
      <c r="T205" s="81">
        <f t="shared" si="78"/>
        <v>5.4545454545454543E-2</v>
      </c>
      <c r="U205" s="81">
        <f t="shared" si="79"/>
        <v>6.1999999999999998E-3</v>
      </c>
      <c r="V205" s="83">
        <f t="shared" si="80"/>
        <v>0</v>
      </c>
    </row>
    <row r="206" spans="1:22">
      <c r="A206" s="43"/>
      <c r="B206" s="43"/>
      <c r="C206" s="74" t="s">
        <v>220</v>
      </c>
      <c r="D206" s="73">
        <f>SUM(D194:D205)</f>
        <v>13637941626.835819</v>
      </c>
      <c r="E206" s="24"/>
      <c r="F206" s="24"/>
      <c r="G206" s="22"/>
      <c r="H206" s="73">
        <f>SUM(H194:H205)</f>
        <v>2067</v>
      </c>
      <c r="I206" s="23"/>
      <c r="J206" s="23"/>
      <c r="K206" s="73">
        <f>SUM(K194:K205)</f>
        <v>13392488443.196085</v>
      </c>
      <c r="L206" s="24"/>
      <c r="M206" s="24"/>
      <c r="N206" s="22"/>
      <c r="O206" s="73">
        <f>SUM(O194:O205)</f>
        <v>2068</v>
      </c>
      <c r="P206" s="23"/>
      <c r="Q206" s="23"/>
      <c r="R206" s="81">
        <f t="shared" si="76"/>
        <v>-1.7997817438721697E-2</v>
      </c>
      <c r="S206" s="81" t="e">
        <f t="shared" si="77"/>
        <v>#DIV/0!</v>
      </c>
      <c r="T206" s="81">
        <f t="shared" si="78"/>
        <v>4.8379293662312528E-4</v>
      </c>
      <c r="U206" s="81">
        <f t="shared" si="79"/>
        <v>0</v>
      </c>
      <c r="V206" s="83">
        <f t="shared" si="80"/>
        <v>0</v>
      </c>
    </row>
    <row r="207" spans="1:22">
      <c r="A207" s="88"/>
      <c r="B207" s="88"/>
      <c r="C207" s="89" t="s">
        <v>221</v>
      </c>
      <c r="D207" s="90">
        <f>SUM(D186,D191,D206)</f>
        <v>2753186939468.1104</v>
      </c>
      <c r="E207" s="91"/>
      <c r="F207" s="91"/>
      <c r="G207" s="92"/>
      <c r="H207" s="90">
        <f>SUM(H186,H191,H206)</f>
        <v>724506</v>
      </c>
      <c r="I207" s="93"/>
      <c r="J207" s="93"/>
      <c r="K207" s="90">
        <f>SUM(K186,K191,K206)</f>
        <v>2697762296478.2832</v>
      </c>
      <c r="L207" s="91"/>
      <c r="M207" s="91"/>
      <c r="N207" s="92"/>
      <c r="O207" s="90">
        <f>SUM(O186,O191,O206)</f>
        <v>724936</v>
      </c>
      <c r="P207" s="94"/>
      <c r="Q207" s="90"/>
      <c r="R207" s="95"/>
      <c r="S207" s="96"/>
      <c r="T207" s="96"/>
      <c r="U207" s="97"/>
      <c r="V207" s="97"/>
    </row>
    <row r="208" spans="1:22">
      <c r="A208" s="109" t="s">
        <v>250</v>
      </c>
      <c r="B208" s="110" t="s">
        <v>271</v>
      </c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</row>
    <row r="210" spans="2:11">
      <c r="B210" s="113"/>
      <c r="C210" s="113"/>
      <c r="D210" s="112"/>
      <c r="K210" s="112"/>
    </row>
    <row r="211" spans="2:11">
      <c r="B211" s="113"/>
      <c r="D211" s="112"/>
    </row>
  </sheetData>
  <sheetProtection algorithmName="SHA-512" hashValue="j7576z50kNlZU/uFYA6V1cJ/agDGplz8SQsiStULqGjvPDaze7mjklbIelQWnofEa4lXtKVbUJJU/5FcdDm9mg==" saltValue="oSGTQ9BuwCbzK+JfDtDnIQ==" spinCount="100000" sheet="1" objects="1" scenarios="1"/>
  <mergeCells count="31">
    <mergeCell ref="A192:V192"/>
    <mergeCell ref="A193:V193"/>
    <mergeCell ref="A169:V169"/>
    <mergeCell ref="A172:V172"/>
    <mergeCell ref="A173:V173"/>
    <mergeCell ref="A187:U187"/>
    <mergeCell ref="A188:V188"/>
    <mergeCell ref="A168:V168"/>
    <mergeCell ref="A95:V95"/>
    <mergeCell ref="A96:V96"/>
    <mergeCell ref="A109:V109"/>
    <mergeCell ref="A110:V110"/>
    <mergeCell ref="A124:V124"/>
    <mergeCell ref="A125:V125"/>
    <mergeCell ref="A132:V132"/>
    <mergeCell ref="A133:V133"/>
    <mergeCell ref="A161:V161"/>
    <mergeCell ref="A162:V162"/>
    <mergeCell ref="A167:V167"/>
    <mergeCell ref="A94:V94"/>
    <mergeCell ref="A1:V1"/>
    <mergeCell ref="U2:V2"/>
    <mergeCell ref="A4:V4"/>
    <mergeCell ref="A5:V5"/>
    <mergeCell ref="A23:V23"/>
    <mergeCell ref="A24:V24"/>
    <mergeCell ref="A57:V57"/>
    <mergeCell ref="A58:V58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0 E80 E63" formula="1"/>
    <ignoredError sqref="S131 S22 T33 S56 S93 S123 T141 S160 S166 S185 S206 T189:T19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I1" sqref="I1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34" t="s">
        <v>222</v>
      </c>
      <c r="B2" s="135" t="s">
        <v>267</v>
      </c>
      <c r="C2" s="135" t="s">
        <v>272</v>
      </c>
      <c r="D2" s="99"/>
    </row>
    <row r="3" spans="1:4" ht="16.5">
      <c r="A3" s="136" t="s">
        <v>15</v>
      </c>
      <c r="B3" s="137">
        <f t="shared" ref="B3:C10" si="0">B12</f>
        <v>28.499552255214198</v>
      </c>
      <c r="C3" s="137">
        <f t="shared" si="0"/>
        <v>27.852455758705901</v>
      </c>
      <c r="D3" s="99"/>
    </row>
    <row r="4" spans="1:4" ht="17.25" customHeight="1">
      <c r="A4" s="138" t="s">
        <v>47</v>
      </c>
      <c r="B4" s="139">
        <f t="shared" si="0"/>
        <v>919.49600657440953</v>
      </c>
      <c r="C4" s="139">
        <f t="shared" si="0"/>
        <v>932.13546825462367</v>
      </c>
      <c r="D4" s="99"/>
    </row>
    <row r="5" spans="1:4" ht="19.5" customHeight="1">
      <c r="A5" s="138" t="s">
        <v>223</v>
      </c>
      <c r="B5" s="137">
        <f t="shared" si="0"/>
        <v>271.6586965135848</v>
      </c>
      <c r="C5" s="137">
        <f t="shared" si="0"/>
        <v>269.47204641353358</v>
      </c>
      <c r="D5" s="99"/>
    </row>
    <row r="6" spans="1:4" ht="16.5">
      <c r="A6" s="138" t="s">
        <v>128</v>
      </c>
      <c r="B6" s="139">
        <f t="shared" si="0"/>
        <v>1220.9864248515159</v>
      </c>
      <c r="C6" s="139">
        <f t="shared" si="0"/>
        <v>1156.4173084608565</v>
      </c>
      <c r="D6" s="99"/>
    </row>
    <row r="7" spans="1:4" ht="16.5">
      <c r="A7" s="138" t="s">
        <v>224</v>
      </c>
      <c r="B7" s="137">
        <f t="shared" si="0"/>
        <v>99.892436477227193</v>
      </c>
      <c r="C7" s="137">
        <f t="shared" si="0"/>
        <v>99.83713215175986</v>
      </c>
      <c r="D7" s="99"/>
    </row>
    <row r="8" spans="1:4" ht="16.5">
      <c r="A8" s="138" t="s">
        <v>154</v>
      </c>
      <c r="B8" s="140">
        <f t="shared" si="0"/>
        <v>49.905453494100527</v>
      </c>
      <c r="C8" s="140">
        <f t="shared" si="0"/>
        <v>49.32009329782548</v>
      </c>
      <c r="D8" s="99"/>
    </row>
    <row r="9" spans="1:4" ht="16.5">
      <c r="A9" s="138" t="s">
        <v>178</v>
      </c>
      <c r="B9" s="137">
        <f t="shared" si="0"/>
        <v>5.2162414736000002</v>
      </c>
      <c r="C9" s="137">
        <f t="shared" si="0"/>
        <v>5.1492956103599994</v>
      </c>
      <c r="D9" s="99"/>
    </row>
    <row r="10" spans="1:4" ht="16.5">
      <c r="A10" s="138" t="s">
        <v>225</v>
      </c>
      <c r="B10" s="137">
        <f t="shared" si="0"/>
        <v>49.193398720121991</v>
      </c>
      <c r="C10" s="137">
        <f t="shared" si="0"/>
        <v>49.480081538382066</v>
      </c>
      <c r="D10" s="99"/>
    </row>
    <row r="11" spans="1:4">
      <c r="A11" s="99"/>
      <c r="B11" s="99"/>
      <c r="C11" s="99"/>
      <c r="D11" s="99"/>
    </row>
    <row r="12" spans="1:4">
      <c r="A12" s="141" t="s">
        <v>15</v>
      </c>
      <c r="B12" s="142">
        <f>'Weekly Valuation'!D22/1000000000</f>
        <v>28.499552255214198</v>
      </c>
      <c r="C12" s="143">
        <f>'Weekly Valuation'!K22/1000000000</f>
        <v>27.852455758705901</v>
      </c>
      <c r="D12" s="99"/>
    </row>
    <row r="13" spans="1:4">
      <c r="A13" s="144" t="s">
        <v>47</v>
      </c>
      <c r="B13" s="142">
        <f>'Weekly Valuation'!D56/1000000000</f>
        <v>919.49600657440953</v>
      </c>
      <c r="C13" s="145">
        <f>'Weekly Valuation'!K56/1000000000</f>
        <v>932.13546825462367</v>
      </c>
      <c r="D13" s="99"/>
    </row>
    <row r="14" spans="1:4">
      <c r="A14" s="144" t="s">
        <v>223</v>
      </c>
      <c r="B14" s="142">
        <f>'Weekly Valuation'!D93/1000000000</f>
        <v>271.6586965135848</v>
      </c>
      <c r="C14" s="143">
        <f>'Weekly Valuation'!K93/1000000000</f>
        <v>269.47204641353358</v>
      </c>
      <c r="D14" s="99"/>
    </row>
    <row r="15" spans="1:4">
      <c r="A15" s="144" t="s">
        <v>128</v>
      </c>
      <c r="B15" s="142">
        <f>'Weekly Valuation'!D123/1000000000</f>
        <v>1220.9864248515159</v>
      </c>
      <c r="C15" s="145">
        <f>'Weekly Valuation'!K123/1000000000</f>
        <v>1156.4173084608565</v>
      </c>
      <c r="D15" s="99"/>
    </row>
    <row r="16" spans="1:4">
      <c r="A16" s="144" t="s">
        <v>224</v>
      </c>
      <c r="B16" s="142">
        <f>'Weekly Valuation'!D131/1000000000</f>
        <v>99.892436477227193</v>
      </c>
      <c r="C16" s="143">
        <f>'Weekly Valuation'!K131/1000000000</f>
        <v>99.83713215175986</v>
      </c>
      <c r="D16" s="99"/>
    </row>
    <row r="17" spans="1:4">
      <c r="A17" s="144" t="s">
        <v>154</v>
      </c>
      <c r="B17" s="142">
        <f>'Weekly Valuation'!D160/1000000000</f>
        <v>49.905453494100527</v>
      </c>
      <c r="C17" s="146">
        <f>'Weekly Valuation'!K160/1000000000</f>
        <v>49.32009329782548</v>
      </c>
      <c r="D17" s="99"/>
    </row>
    <row r="18" spans="1:4">
      <c r="A18" s="144" t="s">
        <v>178</v>
      </c>
      <c r="B18" s="142">
        <f>'Weekly Valuation'!D166/1000000000</f>
        <v>5.2162414736000002</v>
      </c>
      <c r="C18" s="143">
        <f>'Weekly Valuation'!K166/1000000000</f>
        <v>5.1492956103599994</v>
      </c>
      <c r="D18" s="99"/>
    </row>
    <row r="19" spans="1:4">
      <c r="A19" s="144" t="s">
        <v>225</v>
      </c>
      <c r="B19" s="142">
        <f>'Weekly Valuation'!D185/1000000000</f>
        <v>49.193398720121991</v>
      </c>
      <c r="C19" s="143">
        <f>'Weekly Valuation'!K185/1000000000</f>
        <v>49.480081538382066</v>
      </c>
      <c r="D19" s="99"/>
    </row>
    <row r="20" spans="1:4" ht="16.5">
      <c r="A20" s="114"/>
      <c r="B20" s="99"/>
      <c r="C20" s="128"/>
      <c r="D20" s="99"/>
    </row>
    <row r="21" spans="1:4" ht="16.5">
      <c r="A21" s="114"/>
      <c r="B21" s="99"/>
      <c r="C21" s="11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w9pkF2/kHqK1JSgzscFdR7VLEImj/+4G0ew4+VwpydAmWF2yHkj+mkijU07KZe7cvTWl/fnrOb+W9J+CLGy5BA==" saltValue="Slzq7rDXOmWX6HUsgHtZf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O2" sqref="O2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34" t="s">
        <v>222</v>
      </c>
      <c r="B1" s="147">
        <v>45387</v>
      </c>
      <c r="C1" s="99"/>
    </row>
    <row r="2" spans="1:3" ht="16.5">
      <c r="A2" s="138" t="s">
        <v>178</v>
      </c>
      <c r="B2" s="137">
        <f>'Weekly Valuation'!K166</f>
        <v>5149295610.3599997</v>
      </c>
      <c r="C2" s="99"/>
    </row>
    <row r="3" spans="1:3" ht="16.5">
      <c r="A3" s="138" t="s">
        <v>15</v>
      </c>
      <c r="B3" s="137">
        <f>'Weekly Valuation'!K22</f>
        <v>27852455758.705902</v>
      </c>
      <c r="C3" s="99"/>
    </row>
    <row r="4" spans="1:3" ht="16.5">
      <c r="A4" s="138" t="s">
        <v>225</v>
      </c>
      <c r="B4" s="137">
        <f>'Weekly Valuation'!K185</f>
        <v>49480081538.382065</v>
      </c>
      <c r="C4" s="99"/>
    </row>
    <row r="5" spans="1:3" ht="16.5">
      <c r="A5" s="138" t="s">
        <v>154</v>
      </c>
      <c r="B5" s="140">
        <f>'Weekly Valuation'!K160</f>
        <v>49320093297.825478</v>
      </c>
      <c r="C5" s="99"/>
    </row>
    <row r="6" spans="1:3" ht="16.5">
      <c r="A6" s="138" t="s">
        <v>224</v>
      </c>
      <c r="B6" s="137">
        <f>'Weekly Valuation'!K131</f>
        <v>99837132151.759857</v>
      </c>
      <c r="C6" s="99"/>
    </row>
    <row r="7" spans="1:3" ht="16.5">
      <c r="A7" s="138" t="s">
        <v>223</v>
      </c>
      <c r="B7" s="137">
        <f>'Weekly Valuation'!K93</f>
        <v>269472046413.53357</v>
      </c>
      <c r="C7" s="99"/>
    </row>
    <row r="8" spans="1:3" ht="16.5">
      <c r="A8" s="138" t="s">
        <v>47</v>
      </c>
      <c r="B8" s="139">
        <f>'Weekly Valuation'!K56</f>
        <v>932135468254.62366</v>
      </c>
      <c r="C8" s="99"/>
    </row>
    <row r="9" spans="1:3" ht="16.5">
      <c r="A9" s="138" t="s">
        <v>128</v>
      </c>
      <c r="B9" s="139">
        <f>'Weekly Valuation'!K123</f>
        <v>1156417308460.8564</v>
      </c>
      <c r="C9" s="99"/>
    </row>
    <row r="10" spans="1:3">
      <c r="A10" s="99"/>
      <c r="B10" s="99"/>
      <c r="C10" s="99"/>
    </row>
    <row r="11" spans="1:3" ht="16.5">
      <c r="A11" s="148"/>
      <c r="B11" s="99"/>
      <c r="C11" s="99"/>
    </row>
    <row r="12" spans="1:3" ht="16.5">
      <c r="A12" s="116"/>
      <c r="B12" s="99"/>
      <c r="C12" s="99"/>
    </row>
    <row r="13" spans="1:3" ht="16.5">
      <c r="A13" s="116"/>
      <c r="B13" s="116"/>
      <c r="C13" s="99"/>
    </row>
    <row r="14" spans="1:3" ht="16.5">
      <c r="A14" s="106"/>
      <c r="B14" s="106"/>
      <c r="C14" s="101"/>
    </row>
    <row r="15" spans="1:3" ht="16.5" customHeight="1">
      <c r="A15" s="131"/>
      <c r="B15" s="131"/>
      <c r="C15" s="101"/>
    </row>
    <row r="16" spans="1:3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21"/>
      <c r="B18" s="106"/>
      <c r="C18" s="101"/>
    </row>
    <row r="19" spans="1:17" ht="16.5">
      <c r="A19" s="121"/>
      <c r="B19" s="121"/>
      <c r="C19" s="101"/>
    </row>
    <row r="20" spans="1:17" ht="16.5">
      <c r="A20" s="121"/>
      <c r="B20" s="121"/>
      <c r="C20" s="101"/>
    </row>
    <row r="21" spans="1:17" ht="16.5">
      <c r="A21" s="118"/>
      <c r="B21" s="121"/>
      <c r="C21" s="101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74" t="s">
        <v>273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07"/>
    </row>
    <row r="33" spans="1:17" ht="15" customHeight="1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07"/>
    </row>
  </sheetData>
  <sheetProtection algorithmName="SHA-512" hashValue="sN6qTEb7qdwInrc89YorTUJuDNjmRgjneXFyJESnl4yGOt5yF/ofMfzArM+9/KEwpDAjaWfMjVZ6hTQkRC83wQ==" saltValue="OPyaiyyLqcmhSpP4JDG6Cw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I1" sqref="I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49" t="s">
        <v>233</v>
      </c>
      <c r="B2" s="150">
        <v>45338</v>
      </c>
      <c r="C2" s="150">
        <v>45345</v>
      </c>
      <c r="D2" s="150">
        <v>45352</v>
      </c>
      <c r="E2" s="150">
        <v>45359</v>
      </c>
      <c r="F2" s="150">
        <v>45366</v>
      </c>
      <c r="G2" s="150">
        <v>45373</v>
      </c>
      <c r="H2" s="150">
        <v>45379</v>
      </c>
      <c r="I2" s="150">
        <v>45387</v>
      </c>
      <c r="J2" s="99"/>
      <c r="K2" s="101"/>
      <c r="L2" s="101"/>
      <c r="M2" s="101"/>
    </row>
    <row r="3" spans="1:13">
      <c r="A3" s="149" t="s">
        <v>234</v>
      </c>
      <c r="B3" s="151">
        <f t="shared" ref="B3:I3" si="0">B4</f>
        <v>2804.0140317422242</v>
      </c>
      <c r="C3" s="151">
        <f t="shared" si="0"/>
        <v>2818.0986093610441</v>
      </c>
      <c r="D3" s="151">
        <f t="shared" si="0"/>
        <v>2842.1269159614767</v>
      </c>
      <c r="E3" s="151">
        <f t="shared" si="0"/>
        <v>2889.6753426082664</v>
      </c>
      <c r="F3" s="151">
        <f t="shared" si="0"/>
        <v>2600.1201124317486</v>
      </c>
      <c r="G3" s="151">
        <f t="shared" si="0"/>
        <v>2726.590314934399</v>
      </c>
      <c r="H3" s="151">
        <f t="shared" si="0"/>
        <v>2644.8482103597744</v>
      </c>
      <c r="I3" s="151">
        <f t="shared" si="0"/>
        <v>2589.6638814860466</v>
      </c>
      <c r="J3" s="99"/>
      <c r="K3" s="101"/>
      <c r="L3" s="101"/>
      <c r="M3" s="101"/>
    </row>
    <row r="4" spans="1:13">
      <c r="A4" s="99"/>
      <c r="B4" s="152">
        <f>'NAV Trend'!C10/1000000000</f>
        <v>2804.0140317422242</v>
      </c>
      <c r="C4" s="152">
        <f>'NAV Trend'!D10/1000000000</f>
        <v>2818.0986093610441</v>
      </c>
      <c r="D4" s="152">
        <f>'NAV Trend'!E10/1000000000</f>
        <v>2842.1269159614767</v>
      </c>
      <c r="E4" s="152">
        <f>'NAV Trend'!F10/1000000000</f>
        <v>2889.6753426082664</v>
      </c>
      <c r="F4" s="152">
        <f>'NAV Trend'!G10/1000000000</f>
        <v>2600.1201124317486</v>
      </c>
      <c r="G4" s="152">
        <f>'NAV Trend'!H10/1000000000</f>
        <v>2726.590314934399</v>
      </c>
      <c r="H4" s="153">
        <f>'NAV Trend'!I10/1000000000</f>
        <v>2644.8482103597744</v>
      </c>
      <c r="I4" s="153">
        <f>'NAV Trend'!J10/1000000000</f>
        <v>2589.6638814860466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hoB/l2LcC9ThV0LV+0VDYh67gbNzvfm06TfipaUqybKRaO9ZcJiRH0PDzs9UZfwFIj5RS2SiR0fwGr07kzllHw==" saltValue="a+eJwticZl79nOfMvMBY5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sqref="A1:J5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49" t="s">
        <v>233</v>
      </c>
      <c r="B2" s="150">
        <v>45338</v>
      </c>
      <c r="C2" s="150">
        <v>45345</v>
      </c>
      <c r="D2" s="150">
        <v>45352</v>
      </c>
      <c r="E2" s="150">
        <v>45359</v>
      </c>
      <c r="F2" s="150">
        <v>45366</v>
      </c>
      <c r="G2" s="150">
        <v>45373</v>
      </c>
      <c r="H2" s="150">
        <v>45379</v>
      </c>
      <c r="I2" s="150">
        <v>45387</v>
      </c>
      <c r="J2" s="99"/>
      <c r="K2" s="101"/>
      <c r="L2" s="101"/>
    </row>
    <row r="3" spans="1:12">
      <c r="A3" s="149" t="s">
        <v>265</v>
      </c>
      <c r="B3" s="151">
        <f t="shared" ref="B3:I3" si="0">B4</f>
        <v>14.091854833619999</v>
      </c>
      <c r="C3" s="151">
        <f t="shared" si="0"/>
        <v>13.721097407254545</v>
      </c>
      <c r="D3" s="151">
        <f t="shared" si="0"/>
        <v>13.410122858662769</v>
      </c>
      <c r="E3" s="151">
        <f t="shared" si="0"/>
        <v>13.60527981782986</v>
      </c>
      <c r="F3" s="151">
        <f t="shared" si="0"/>
        <v>13.749994436969999</v>
      </c>
      <c r="G3" s="151">
        <f t="shared" si="0"/>
        <v>13.611683369310001</v>
      </c>
      <c r="H3" s="151">
        <f t="shared" si="0"/>
        <v>13.637941626835818</v>
      </c>
      <c r="I3" s="151">
        <f t="shared" si="0"/>
        <v>13.392488443196084</v>
      </c>
      <c r="J3" s="99"/>
      <c r="K3" s="101"/>
      <c r="L3" s="101"/>
    </row>
    <row r="4" spans="1:12">
      <c r="A4" s="99"/>
      <c r="B4" s="152">
        <f>'NAV Trend'!C16/1000000000</f>
        <v>14.091854833619999</v>
      </c>
      <c r="C4" s="152">
        <f>'NAV Trend'!D16/1000000000</f>
        <v>13.721097407254545</v>
      </c>
      <c r="D4" s="152">
        <f>'NAV Trend'!E16/1000000000</f>
        <v>13.410122858662769</v>
      </c>
      <c r="E4" s="152">
        <f>'NAV Trend'!F16/1000000000</f>
        <v>13.60527981782986</v>
      </c>
      <c r="F4" s="152">
        <f>'NAV Trend'!G16/1000000000</f>
        <v>13.749994436969999</v>
      </c>
      <c r="G4" s="152">
        <f>'NAV Trend'!H16/1000000000</f>
        <v>13.611683369310001</v>
      </c>
      <c r="H4" s="152">
        <f>'NAV Trend'!I16/1000000000</f>
        <v>13.637941626835818</v>
      </c>
      <c r="I4" s="153">
        <f>'NAV Trend'!J16/1000000000</f>
        <v>13.392488443196084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</row>
  </sheetData>
  <sheetProtection algorithmName="SHA-512" hashValue="6FPa0hiwTvAz8i60rrFzBvp7llwSIBJdMg2Z1ToNQ8A+/S8w9/xRzFxT/JWO9FlyRmpW7koqicxLdkgApWOb7Q==" saltValue="BeicTQuTeliiePVMno8Ch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45331</v>
      </c>
      <c r="C1" s="45">
        <v>45338</v>
      </c>
      <c r="D1" s="45">
        <v>45345</v>
      </c>
      <c r="E1" s="45">
        <v>45352</v>
      </c>
      <c r="F1" s="45">
        <v>45359</v>
      </c>
      <c r="G1" s="45">
        <v>45366</v>
      </c>
      <c r="H1" s="45">
        <v>45373</v>
      </c>
      <c r="I1" s="45">
        <v>45379</v>
      </c>
      <c r="J1" s="45">
        <v>45387</v>
      </c>
    </row>
    <row r="2" spans="1:11" ht="16.5">
      <c r="A2" s="46" t="s">
        <v>15</v>
      </c>
      <c r="B2" s="47">
        <v>29773154676.329697</v>
      </c>
      <c r="C2" s="47">
        <v>29579029239.597099</v>
      </c>
      <c r="D2" s="47">
        <v>28192321561.754601</v>
      </c>
      <c r="E2" s="47">
        <v>27345380292.449997</v>
      </c>
      <c r="F2" s="47">
        <v>27049856478.8204</v>
      </c>
      <c r="G2" s="47">
        <v>28276421739.200005</v>
      </c>
      <c r="H2" s="47">
        <v>28214914152.029099</v>
      </c>
      <c r="I2" s="47">
        <v>28499552255.214199</v>
      </c>
      <c r="J2" s="47">
        <v>27852455758.705902</v>
      </c>
    </row>
    <row r="3" spans="1:11" ht="16.5">
      <c r="A3" s="46" t="s">
        <v>47</v>
      </c>
      <c r="B3" s="48">
        <v>965954238325.48999</v>
      </c>
      <c r="C3" s="48">
        <v>966685157443.69678</v>
      </c>
      <c r="D3" s="48">
        <v>949382861578.85535</v>
      </c>
      <c r="E3" s="48">
        <v>959419740927.82495</v>
      </c>
      <c r="F3" s="48">
        <v>920625552385.95117</v>
      </c>
      <c r="G3" s="48">
        <v>923190562024.35754</v>
      </c>
      <c r="H3" s="48">
        <v>920023842595.84558</v>
      </c>
      <c r="I3" s="48">
        <v>919496006574.40955</v>
      </c>
      <c r="J3" s="48">
        <v>932135468254.62366</v>
      </c>
    </row>
    <row r="4" spans="1:11" ht="16.5">
      <c r="A4" s="46" t="s">
        <v>223</v>
      </c>
      <c r="B4" s="47">
        <v>284109657368.59705</v>
      </c>
      <c r="C4" s="47">
        <v>283536298257.91882</v>
      </c>
      <c r="D4" s="47">
        <v>281780566180.14624</v>
      </c>
      <c r="E4" s="47">
        <v>282274672291.84991</v>
      </c>
      <c r="F4" s="47">
        <v>279125520198.89612</v>
      </c>
      <c r="G4" s="47">
        <v>278795170732.32147</v>
      </c>
      <c r="H4" s="47">
        <v>270220925639.65829</v>
      </c>
      <c r="I4" s="47">
        <v>271658696513.58481</v>
      </c>
      <c r="J4" s="47">
        <v>269472046413.53357</v>
      </c>
    </row>
    <row r="5" spans="1:11" ht="16.5">
      <c r="A5" s="46" t="s">
        <v>128</v>
      </c>
      <c r="B5" s="48">
        <v>1237172786827.9678</v>
      </c>
      <c r="C5" s="48">
        <v>1318494922122.7168</v>
      </c>
      <c r="D5" s="48">
        <v>1354299215906.8804</v>
      </c>
      <c r="E5" s="48">
        <v>1370513862524.3679</v>
      </c>
      <c r="F5" s="48">
        <v>1459704501021.9133</v>
      </c>
      <c r="G5" s="48">
        <v>1165595130957.3054</v>
      </c>
      <c r="H5" s="48">
        <v>1304383952109.4192</v>
      </c>
      <c r="I5" s="48">
        <v>1220986424851.5159</v>
      </c>
      <c r="J5" s="48">
        <v>1156417308460.8564</v>
      </c>
    </row>
    <row r="6" spans="1:11" ht="16.5">
      <c r="A6" s="46" t="s">
        <v>224</v>
      </c>
      <c r="B6" s="47">
        <v>99671501901.347351</v>
      </c>
      <c r="C6" s="47">
        <v>99704526748.85936</v>
      </c>
      <c r="D6" s="47">
        <v>99722351454.056747</v>
      </c>
      <c r="E6" s="47">
        <v>99747815398.121429</v>
      </c>
      <c r="F6" s="47">
        <v>99778864135.110001</v>
      </c>
      <c r="G6" s="47">
        <v>99792663694.00943</v>
      </c>
      <c r="H6" s="47">
        <v>99828191215.146545</v>
      </c>
      <c r="I6" s="47">
        <v>99892436477.227188</v>
      </c>
      <c r="J6" s="47">
        <v>99837132151.759857</v>
      </c>
    </row>
    <row r="7" spans="1:11" ht="16.5">
      <c r="A7" s="46" t="s">
        <v>154</v>
      </c>
      <c r="B7" s="49">
        <v>50580214127.421928</v>
      </c>
      <c r="C7" s="49">
        <v>50622521144.020866</v>
      </c>
      <c r="D7" s="49">
        <v>49943289569.649658</v>
      </c>
      <c r="E7" s="49">
        <v>48445217858.992096</v>
      </c>
      <c r="F7" s="49">
        <v>48553395375.67646</v>
      </c>
      <c r="G7" s="49">
        <v>50020197377.86998</v>
      </c>
      <c r="H7" s="49">
        <v>49695302922.37442</v>
      </c>
      <c r="I7" s="49">
        <v>49905453494.100525</v>
      </c>
      <c r="J7" s="49">
        <v>49320093297.825478</v>
      </c>
    </row>
    <row r="8" spans="1:11" ht="16.5">
      <c r="A8" s="46" t="s">
        <v>178</v>
      </c>
      <c r="B8" s="47">
        <v>5371622450.7000008</v>
      </c>
      <c r="C8" s="47">
        <v>5382185314.8400002</v>
      </c>
      <c r="D8" s="47">
        <v>5257385484.9699993</v>
      </c>
      <c r="E8" s="47">
        <v>5112400375.6199999</v>
      </c>
      <c r="F8" s="47">
        <v>5090348734.1000004</v>
      </c>
      <c r="G8" s="47">
        <v>5200581697.7199993</v>
      </c>
      <c r="H8" s="47">
        <v>5194175729.4800005</v>
      </c>
      <c r="I8" s="47">
        <v>5216241473.6000004</v>
      </c>
      <c r="J8" s="47">
        <v>5149295610.3599997</v>
      </c>
    </row>
    <row r="9" spans="1:11" ht="16.5">
      <c r="A9" s="46" t="s">
        <v>225</v>
      </c>
      <c r="B9" s="47">
        <v>49899185767.63131</v>
      </c>
      <c r="C9" s="47">
        <v>50009391470.574211</v>
      </c>
      <c r="D9" s="47">
        <v>49520617624.730827</v>
      </c>
      <c r="E9" s="47">
        <v>49267826292.249893</v>
      </c>
      <c r="F9" s="47">
        <v>49747304277.79908</v>
      </c>
      <c r="G9" s="47">
        <v>49249384208.9645</v>
      </c>
      <c r="H9" s="47">
        <v>49029010570.445801</v>
      </c>
      <c r="I9" s="47">
        <v>49193398720.121994</v>
      </c>
      <c r="J9" s="47">
        <v>49480081538.382065</v>
      </c>
    </row>
    <row r="10" spans="1:11" ht="15.75">
      <c r="A10" s="50" t="s">
        <v>226</v>
      </c>
      <c r="B10" s="51">
        <f t="shared" ref="B10:J10" si="0">SUM(B2:B9)</f>
        <v>2722532361445.4854</v>
      </c>
      <c r="C10" s="51">
        <f t="shared" si="0"/>
        <v>2804014031742.2241</v>
      </c>
      <c r="D10" s="51">
        <f t="shared" si="0"/>
        <v>2818098609361.0439</v>
      </c>
      <c r="E10" s="51">
        <f t="shared" si="0"/>
        <v>2842126915961.4766</v>
      </c>
      <c r="F10" s="51">
        <f t="shared" si="0"/>
        <v>2889675342608.2666</v>
      </c>
      <c r="G10" s="51">
        <f t="shared" si="0"/>
        <v>2600120112431.7485</v>
      </c>
      <c r="H10" s="51">
        <f t="shared" si="0"/>
        <v>2726590314934.3989</v>
      </c>
      <c r="I10" s="51">
        <f t="shared" si="0"/>
        <v>2644848210359.7744</v>
      </c>
      <c r="J10" s="51">
        <f t="shared" si="0"/>
        <v>2589663881486.0469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2763273196593.8545</v>
      </c>
      <c r="D12" s="57">
        <f t="shared" ref="D12:J12" si="1">(C10+D10)/2</f>
        <v>2811056320551.6338</v>
      </c>
      <c r="E12" s="57">
        <f t="shared" si="1"/>
        <v>2830112762661.2603</v>
      </c>
      <c r="F12" s="57">
        <f t="shared" si="1"/>
        <v>2865901129284.8716</v>
      </c>
      <c r="G12" s="57">
        <f>(F10+G10)/2</f>
        <v>2744897727520.0078</v>
      </c>
      <c r="H12" s="57">
        <f t="shared" si="1"/>
        <v>2663355213683.0737</v>
      </c>
      <c r="I12" s="57">
        <f t="shared" si="1"/>
        <v>2685719262647.0869</v>
      </c>
      <c r="J12" s="57">
        <f t="shared" si="1"/>
        <v>2617256045922.9106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45331</v>
      </c>
      <c r="C15" s="45">
        <v>45338</v>
      </c>
      <c r="D15" s="45">
        <v>45345</v>
      </c>
      <c r="E15" s="45">
        <v>45352</v>
      </c>
      <c r="F15" s="45">
        <v>45359</v>
      </c>
      <c r="G15" s="45">
        <v>45366</v>
      </c>
      <c r="H15" s="45">
        <v>45373</v>
      </c>
      <c r="I15" s="45">
        <v>45379</v>
      </c>
      <c r="J15" s="45">
        <v>45387</v>
      </c>
      <c r="K15" s="101"/>
    </row>
    <row r="16" spans="1:11" ht="16.5">
      <c r="A16" s="130" t="s">
        <v>264</v>
      </c>
      <c r="B16" s="133">
        <v>13287203537.78923</v>
      </c>
      <c r="C16" s="133">
        <v>14091854833.619999</v>
      </c>
      <c r="D16" s="133">
        <v>13721097407.254545</v>
      </c>
      <c r="E16" s="133">
        <v>13410122858.662769</v>
      </c>
      <c r="F16" s="133">
        <v>13605279817.829861</v>
      </c>
      <c r="G16" s="133">
        <v>13749994436.969999</v>
      </c>
      <c r="H16" s="133">
        <v>13611683369.310001</v>
      </c>
      <c r="I16" s="133">
        <v>13637941626.835819</v>
      </c>
      <c r="J16" s="133">
        <v>13392488443.196085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32"/>
      <c r="D18" s="132"/>
      <c r="E18" s="132"/>
      <c r="F18" s="132"/>
      <c r="G18" s="132"/>
      <c r="H18" s="132"/>
      <c r="I18" s="132"/>
      <c r="J18" s="132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07Zpr4GVJwYuxUUx8Tmn58Z7PlJNtypOFyY7HY+nhrEP4b0HJP0EJBmvpoZbTVRlA1poIjia8WDPBRmAqDfGbg==" saltValue="XYICG3EVzLZDJ2lc7l4nW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2024-04-16T12:08:31Z</dcterms:modified>
</cp:coreProperties>
</file>