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89A9FE8B-6686-4E66-804F-6F4608AFB7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5" l="1"/>
  <c r="G4" i="5"/>
  <c r="F4" i="5"/>
  <c r="E4" i="5"/>
  <c r="D4" i="5"/>
  <c r="C4" i="5"/>
  <c r="B4" i="5"/>
  <c r="N115" i="1"/>
  <c r="M115" i="1"/>
  <c r="N100" i="1"/>
  <c r="M100" i="1"/>
  <c r="K100" i="1"/>
  <c r="N112" i="1"/>
  <c r="M112" i="1"/>
  <c r="K112" i="1"/>
  <c r="N99" i="1" l="1"/>
  <c r="M99" i="1"/>
  <c r="K99" i="1"/>
  <c r="N121" i="1"/>
  <c r="M121" i="1"/>
  <c r="N116" i="1" l="1"/>
  <c r="M116" i="1"/>
  <c r="K116" i="1"/>
  <c r="N105" i="1"/>
  <c r="M105" i="1"/>
  <c r="K105" i="1"/>
  <c r="N97" i="1"/>
  <c r="M97" i="1"/>
  <c r="N107" i="1"/>
  <c r="M107" i="1"/>
  <c r="K107" i="1"/>
  <c r="N106" i="1"/>
  <c r="M106" i="1"/>
  <c r="K106" i="1"/>
  <c r="N111" i="1"/>
  <c r="M111" i="1"/>
  <c r="N120" i="1"/>
  <c r="M120" i="1"/>
  <c r="N108" i="1"/>
  <c r="M108" i="1"/>
  <c r="N98" i="1"/>
  <c r="M98" i="1"/>
  <c r="K98" i="1"/>
  <c r="N122" i="1"/>
  <c r="M122" i="1"/>
  <c r="K122" i="1"/>
  <c r="N118" i="1"/>
  <c r="M118" i="1"/>
  <c r="N104" i="1"/>
  <c r="M104" i="1"/>
  <c r="K104" i="1"/>
  <c r="N117" i="1" l="1"/>
  <c r="M117" i="1"/>
  <c r="D131" i="1"/>
  <c r="G122" i="1"/>
  <c r="F122" i="1"/>
  <c r="G121" i="1"/>
  <c r="F121" i="1"/>
  <c r="G118" i="1"/>
  <c r="F118" i="1"/>
  <c r="G117" i="1"/>
  <c r="F117" i="1"/>
  <c r="G116" i="1"/>
  <c r="F116" i="1"/>
  <c r="G115" i="1"/>
  <c r="F115" i="1"/>
  <c r="G113" i="1"/>
  <c r="F113" i="1"/>
  <c r="G112" i="1"/>
  <c r="F112" i="1"/>
  <c r="D122" i="1"/>
  <c r="D116" i="1"/>
  <c r="D112" i="1"/>
  <c r="G107" i="1"/>
  <c r="F107" i="1"/>
  <c r="G106" i="1"/>
  <c r="F106" i="1"/>
  <c r="G105" i="1"/>
  <c r="F105" i="1"/>
  <c r="G104" i="1"/>
  <c r="F104" i="1"/>
  <c r="G100" i="1"/>
  <c r="F100" i="1"/>
  <c r="G99" i="1"/>
  <c r="F99" i="1"/>
  <c r="G98" i="1"/>
  <c r="F98" i="1"/>
  <c r="G97" i="1"/>
  <c r="F97" i="1"/>
  <c r="D107" i="1"/>
  <c r="D106" i="1"/>
  <c r="D105" i="1"/>
  <c r="D104" i="1"/>
  <c r="D100" i="1"/>
  <c r="D99" i="1"/>
  <c r="D98" i="1"/>
  <c r="I4" i="6"/>
  <c r="H4" i="6"/>
  <c r="G4" i="6"/>
  <c r="F4" i="6"/>
  <c r="E4" i="6"/>
  <c r="D4" i="6"/>
  <c r="C4" i="6"/>
  <c r="B4" i="6"/>
  <c r="I3" i="6"/>
  <c r="H3" i="6"/>
  <c r="G3" i="6"/>
  <c r="F3" i="6"/>
  <c r="E3" i="6"/>
  <c r="D3" i="6"/>
  <c r="C3" i="6"/>
  <c r="B3" i="6"/>
  <c r="R100" i="1" l="1"/>
  <c r="S100" i="1"/>
  <c r="T100" i="1"/>
  <c r="U100" i="1"/>
  <c r="V100" i="1"/>
  <c r="R101" i="1"/>
  <c r="S101" i="1"/>
  <c r="T101" i="1"/>
  <c r="U101" i="1"/>
  <c r="V101" i="1"/>
  <c r="R196" i="1" l="1"/>
  <c r="R197" i="1"/>
  <c r="V121" i="1" l="1"/>
  <c r="U121" i="1"/>
  <c r="T121" i="1"/>
  <c r="R121" i="1"/>
  <c r="R91" i="1"/>
  <c r="S91" i="1"/>
  <c r="T91" i="1"/>
  <c r="U91" i="1"/>
  <c r="V91" i="1"/>
  <c r="R54" i="1"/>
  <c r="V54" i="1"/>
  <c r="U54" i="1"/>
  <c r="T54" i="1"/>
  <c r="S54" i="1"/>
  <c r="R176" i="1"/>
  <c r="S121" i="1" l="1"/>
  <c r="R137" i="1" l="1"/>
  <c r="R116" i="1" l="1"/>
  <c r="S116" i="1"/>
  <c r="T116" i="1"/>
  <c r="U116" i="1"/>
  <c r="V116" i="1"/>
  <c r="R77" i="1"/>
  <c r="S77" i="1"/>
  <c r="T77" i="1"/>
  <c r="U77" i="1"/>
  <c r="V77" i="1"/>
  <c r="V190" i="1" l="1"/>
  <c r="T153" i="1"/>
  <c r="S153" i="1"/>
  <c r="R119" i="1" l="1"/>
  <c r="V149" i="1" l="1"/>
  <c r="T141" i="1" l="1"/>
  <c r="R135" i="1"/>
  <c r="S135" i="1"/>
  <c r="T135" i="1"/>
  <c r="U135" i="1"/>
  <c r="V135" i="1"/>
  <c r="R155" i="1"/>
  <c r="S155" i="1"/>
  <c r="T155" i="1"/>
  <c r="U155" i="1"/>
  <c r="V155" i="1"/>
  <c r="R115" i="1" l="1"/>
  <c r="S115" i="1"/>
  <c r="S177" i="1" l="1"/>
  <c r="V115" i="1"/>
  <c r="U115" i="1"/>
  <c r="T115" i="1"/>
  <c r="R66" i="1" l="1"/>
  <c r="V74" i="1" l="1"/>
  <c r="U74" i="1"/>
  <c r="T74" i="1"/>
  <c r="S74" i="1"/>
  <c r="R74" i="1"/>
  <c r="V80" i="1" l="1"/>
  <c r="U80" i="1"/>
  <c r="T80" i="1"/>
  <c r="S80" i="1"/>
  <c r="R80" i="1"/>
  <c r="I10" i="4" l="1"/>
  <c r="H3" i="5" s="1"/>
  <c r="H10" i="4"/>
  <c r="G3" i="5" s="1"/>
  <c r="G10" i="4"/>
  <c r="F3" i="5" s="1"/>
  <c r="F10" i="4"/>
  <c r="E3" i="5" s="1"/>
  <c r="E10" i="4"/>
  <c r="D3" i="5" s="1"/>
  <c r="D10" i="4"/>
  <c r="C3" i="5" s="1"/>
  <c r="C10" i="4"/>
  <c r="B3" i="5" s="1"/>
  <c r="B10" i="4"/>
  <c r="V178" i="1" l="1"/>
  <c r="U178" i="1"/>
  <c r="T178" i="1"/>
  <c r="S178" i="1"/>
  <c r="R178" i="1"/>
  <c r="T32" i="1" l="1"/>
  <c r="S21" i="1" l="1"/>
  <c r="T21" i="1"/>
  <c r="V99" i="1" l="1"/>
  <c r="R99" i="1"/>
  <c r="S99" i="1"/>
  <c r="T99" i="1"/>
  <c r="U99" i="1"/>
  <c r="R12" i="1" l="1"/>
  <c r="R48" i="1" l="1"/>
  <c r="V48" i="1"/>
  <c r="U48" i="1"/>
  <c r="T48" i="1"/>
  <c r="S48" i="1"/>
  <c r="V127" i="1" l="1"/>
  <c r="U127" i="1"/>
  <c r="T127" i="1"/>
  <c r="S127" i="1"/>
  <c r="R127" i="1"/>
  <c r="R71" i="1" l="1"/>
  <c r="V183" i="1" l="1"/>
  <c r="U183" i="1"/>
  <c r="T183" i="1"/>
  <c r="S183" i="1"/>
  <c r="R183" i="1"/>
  <c r="S171" i="1" l="1"/>
  <c r="D166" i="1" l="1"/>
  <c r="B18" i="2" s="1"/>
  <c r="B9" i="2" s="1"/>
  <c r="D123" i="1"/>
  <c r="E121" i="1" l="1"/>
  <c r="B15" i="2"/>
  <c r="B6" i="2" s="1"/>
  <c r="E112" i="1"/>
  <c r="E116" i="1"/>
  <c r="E100" i="1"/>
  <c r="E115" i="1"/>
  <c r="R90" i="1"/>
  <c r="S90" i="1"/>
  <c r="T90" i="1"/>
  <c r="U90" i="1"/>
  <c r="V90" i="1"/>
  <c r="D206" i="1"/>
  <c r="D185" i="1"/>
  <c r="B19" i="2" s="1"/>
  <c r="B10" i="2" s="1"/>
  <c r="D56" i="1"/>
  <c r="B13" i="2" s="1"/>
  <c r="B4" i="2" s="1"/>
  <c r="E127" i="1" l="1"/>
  <c r="B16" i="2"/>
  <c r="B7" i="2" s="1"/>
  <c r="E175" i="1"/>
  <c r="E176" i="1"/>
  <c r="E177" i="1"/>
  <c r="E178" i="1"/>
  <c r="E179" i="1"/>
  <c r="E180" i="1"/>
  <c r="E181" i="1"/>
  <c r="E182" i="1"/>
  <c r="E183" i="1"/>
  <c r="E184" i="1"/>
  <c r="R164" i="1"/>
  <c r="R82" i="1" l="1"/>
  <c r="S82" i="1"/>
  <c r="T82" i="1"/>
  <c r="V82" i="1"/>
  <c r="U82" i="1"/>
  <c r="D22" i="1" l="1"/>
  <c r="B12" i="2" s="1"/>
  <c r="B3" i="2" s="1"/>
  <c r="R113" i="1" l="1"/>
  <c r="R19" i="1" l="1"/>
  <c r="R195" i="1" l="1"/>
  <c r="S195" i="1"/>
  <c r="T195" i="1"/>
  <c r="U195" i="1"/>
  <c r="V195" i="1"/>
  <c r="S196" i="1"/>
  <c r="T196" i="1"/>
  <c r="U196" i="1"/>
  <c r="V196" i="1"/>
  <c r="S197" i="1"/>
  <c r="T197" i="1"/>
  <c r="U197" i="1"/>
  <c r="V197" i="1"/>
  <c r="R198" i="1"/>
  <c r="S198" i="1"/>
  <c r="T198" i="1"/>
  <c r="U198" i="1"/>
  <c r="V198" i="1"/>
  <c r="R199" i="1"/>
  <c r="S199" i="1"/>
  <c r="T199" i="1"/>
  <c r="U199" i="1"/>
  <c r="V199" i="1"/>
  <c r="R200" i="1"/>
  <c r="S200" i="1"/>
  <c r="T200" i="1"/>
  <c r="U200" i="1"/>
  <c r="V200" i="1"/>
  <c r="R201" i="1"/>
  <c r="S201" i="1"/>
  <c r="T201" i="1"/>
  <c r="U201" i="1"/>
  <c r="V201" i="1"/>
  <c r="R202" i="1"/>
  <c r="S202" i="1"/>
  <c r="T202" i="1"/>
  <c r="U202" i="1"/>
  <c r="V202" i="1"/>
  <c r="R203" i="1"/>
  <c r="S203" i="1"/>
  <c r="T203" i="1"/>
  <c r="U203" i="1"/>
  <c r="V203" i="1"/>
  <c r="R204" i="1"/>
  <c r="S204" i="1"/>
  <c r="T204" i="1"/>
  <c r="U204" i="1"/>
  <c r="V204" i="1"/>
  <c r="R205" i="1"/>
  <c r="S205" i="1"/>
  <c r="T205" i="1"/>
  <c r="U205" i="1"/>
  <c r="V205" i="1"/>
  <c r="S206" i="1"/>
  <c r="U206" i="1"/>
  <c r="V206" i="1"/>
  <c r="V194" i="1"/>
  <c r="U194" i="1"/>
  <c r="T194" i="1"/>
  <c r="S194" i="1"/>
  <c r="R194" i="1"/>
  <c r="U190" i="1"/>
  <c r="T190" i="1"/>
  <c r="S190" i="1"/>
  <c r="R190" i="1"/>
  <c r="V189" i="1"/>
  <c r="U189" i="1"/>
  <c r="T189" i="1"/>
  <c r="S189" i="1"/>
  <c r="R189" i="1"/>
  <c r="R175" i="1"/>
  <c r="S175" i="1"/>
  <c r="T175" i="1"/>
  <c r="U175" i="1"/>
  <c r="V175" i="1"/>
  <c r="S176" i="1"/>
  <c r="T176" i="1"/>
  <c r="U176" i="1"/>
  <c r="V176" i="1"/>
  <c r="R177" i="1"/>
  <c r="T177" i="1"/>
  <c r="U177" i="1"/>
  <c r="V177" i="1"/>
  <c r="R179" i="1"/>
  <c r="S179" i="1"/>
  <c r="T179" i="1"/>
  <c r="U179" i="1"/>
  <c r="V179" i="1"/>
  <c r="R180" i="1"/>
  <c r="S180" i="1"/>
  <c r="T180" i="1"/>
  <c r="U180" i="1"/>
  <c r="V180" i="1"/>
  <c r="R181" i="1"/>
  <c r="S181" i="1"/>
  <c r="T181" i="1"/>
  <c r="U181" i="1"/>
  <c r="V181" i="1"/>
  <c r="R182" i="1"/>
  <c r="S182" i="1"/>
  <c r="T182" i="1"/>
  <c r="U182" i="1"/>
  <c r="V182" i="1"/>
  <c r="R184" i="1"/>
  <c r="S184" i="1"/>
  <c r="T184" i="1"/>
  <c r="U184" i="1"/>
  <c r="V184" i="1"/>
  <c r="S185" i="1"/>
  <c r="U185" i="1"/>
  <c r="V185" i="1"/>
  <c r="V174" i="1"/>
  <c r="U174" i="1"/>
  <c r="T174" i="1"/>
  <c r="S174" i="1"/>
  <c r="R174" i="1"/>
  <c r="V171" i="1"/>
  <c r="U171" i="1"/>
  <c r="T171" i="1"/>
  <c r="R171" i="1"/>
  <c r="V170" i="1"/>
  <c r="U170" i="1"/>
  <c r="T170" i="1"/>
  <c r="S170" i="1"/>
  <c r="R170" i="1"/>
  <c r="S164" i="1"/>
  <c r="T164" i="1"/>
  <c r="U164" i="1"/>
  <c r="V164" i="1"/>
  <c r="R165" i="1"/>
  <c r="S165" i="1"/>
  <c r="T165" i="1"/>
  <c r="U165" i="1"/>
  <c r="V165" i="1"/>
  <c r="S166" i="1"/>
  <c r="U166" i="1"/>
  <c r="V166" i="1"/>
  <c r="V163" i="1"/>
  <c r="U163" i="1"/>
  <c r="T163" i="1"/>
  <c r="S163" i="1"/>
  <c r="R163" i="1"/>
  <c r="R136" i="1"/>
  <c r="S136" i="1"/>
  <c r="T136" i="1"/>
  <c r="U136" i="1"/>
  <c r="V136" i="1"/>
  <c r="S137" i="1"/>
  <c r="T137" i="1"/>
  <c r="U137" i="1"/>
  <c r="V137" i="1"/>
  <c r="R138" i="1"/>
  <c r="S138" i="1"/>
  <c r="T138" i="1"/>
  <c r="U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R150" i="1"/>
  <c r="S150" i="1"/>
  <c r="T150" i="1"/>
  <c r="U150" i="1"/>
  <c r="V150" i="1"/>
  <c r="R151" i="1"/>
  <c r="S151" i="1"/>
  <c r="T151" i="1"/>
  <c r="U151" i="1"/>
  <c r="V151" i="1"/>
  <c r="R152" i="1"/>
  <c r="S152" i="1"/>
  <c r="T152" i="1"/>
  <c r="U152" i="1"/>
  <c r="V152" i="1"/>
  <c r="R153" i="1"/>
  <c r="U153" i="1"/>
  <c r="V153" i="1"/>
  <c r="R154" i="1"/>
  <c r="S154" i="1"/>
  <c r="T154" i="1"/>
  <c r="U154" i="1"/>
  <c r="V154" i="1"/>
  <c r="R156" i="1"/>
  <c r="S156" i="1"/>
  <c r="T156" i="1"/>
  <c r="U156" i="1"/>
  <c r="V156" i="1"/>
  <c r="R157" i="1"/>
  <c r="S157" i="1"/>
  <c r="T157" i="1"/>
  <c r="U157" i="1"/>
  <c r="V157" i="1"/>
  <c r="R158" i="1"/>
  <c r="S158" i="1"/>
  <c r="T158" i="1"/>
  <c r="U158" i="1"/>
  <c r="V158" i="1"/>
  <c r="R159" i="1"/>
  <c r="S159" i="1"/>
  <c r="T159" i="1"/>
  <c r="U159" i="1"/>
  <c r="V159" i="1"/>
  <c r="S160" i="1"/>
  <c r="U160" i="1"/>
  <c r="V160" i="1"/>
  <c r="V134" i="1"/>
  <c r="U134" i="1"/>
  <c r="T134" i="1"/>
  <c r="S134" i="1"/>
  <c r="R134" i="1"/>
  <c r="R128" i="1"/>
  <c r="S128" i="1"/>
  <c r="T128" i="1"/>
  <c r="U128" i="1"/>
  <c r="V128" i="1"/>
  <c r="R129" i="1"/>
  <c r="S129" i="1"/>
  <c r="T129" i="1"/>
  <c r="U129" i="1"/>
  <c r="V129" i="1"/>
  <c r="R130" i="1"/>
  <c r="S130" i="1"/>
  <c r="T130" i="1"/>
  <c r="U130" i="1"/>
  <c r="V130" i="1"/>
  <c r="S131" i="1"/>
  <c r="U131" i="1"/>
  <c r="V131" i="1"/>
  <c r="V126" i="1"/>
  <c r="U126" i="1"/>
  <c r="T126" i="1"/>
  <c r="S126" i="1"/>
  <c r="R126" i="1"/>
  <c r="R112" i="1"/>
  <c r="S112" i="1"/>
  <c r="T112" i="1"/>
  <c r="U112" i="1"/>
  <c r="V112" i="1"/>
  <c r="S113" i="1"/>
  <c r="T113" i="1"/>
  <c r="U113" i="1"/>
  <c r="V113" i="1"/>
  <c r="R114" i="1"/>
  <c r="S114" i="1"/>
  <c r="T114" i="1"/>
  <c r="U114" i="1"/>
  <c r="V114" i="1"/>
  <c r="R117" i="1"/>
  <c r="S117" i="1"/>
  <c r="T117" i="1"/>
  <c r="U117" i="1"/>
  <c r="V117" i="1"/>
  <c r="R118" i="1"/>
  <c r="S118" i="1"/>
  <c r="T118" i="1"/>
  <c r="U118" i="1"/>
  <c r="V118" i="1"/>
  <c r="S119" i="1"/>
  <c r="T119" i="1"/>
  <c r="U119" i="1"/>
  <c r="V119" i="1"/>
  <c r="R120" i="1"/>
  <c r="S120" i="1"/>
  <c r="T120" i="1"/>
  <c r="U120" i="1"/>
  <c r="V120" i="1"/>
  <c r="R122" i="1"/>
  <c r="S122" i="1"/>
  <c r="T122" i="1"/>
  <c r="U122" i="1"/>
  <c r="V122" i="1"/>
  <c r="S123" i="1"/>
  <c r="U123" i="1"/>
  <c r="V123" i="1"/>
  <c r="V111" i="1"/>
  <c r="U111" i="1"/>
  <c r="T111" i="1"/>
  <c r="S111" i="1"/>
  <c r="R111" i="1"/>
  <c r="R98" i="1"/>
  <c r="S98" i="1"/>
  <c r="T98" i="1"/>
  <c r="U98" i="1"/>
  <c r="V98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R106" i="1"/>
  <c r="S106" i="1"/>
  <c r="T106" i="1"/>
  <c r="U106" i="1"/>
  <c r="V106" i="1"/>
  <c r="R107" i="1"/>
  <c r="S107" i="1"/>
  <c r="T107" i="1"/>
  <c r="U107" i="1"/>
  <c r="V107" i="1"/>
  <c r="R108" i="1"/>
  <c r="S108" i="1"/>
  <c r="T108" i="1"/>
  <c r="U108" i="1"/>
  <c r="V108" i="1"/>
  <c r="V97" i="1"/>
  <c r="U97" i="1"/>
  <c r="T97" i="1"/>
  <c r="S97" i="1"/>
  <c r="R97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V62" i="1"/>
  <c r="R63" i="1"/>
  <c r="S63" i="1"/>
  <c r="T63" i="1"/>
  <c r="U63" i="1"/>
  <c r="R64" i="1"/>
  <c r="S64" i="1"/>
  <c r="T64" i="1"/>
  <c r="U64" i="1"/>
  <c r="R65" i="1"/>
  <c r="S65" i="1"/>
  <c r="T65" i="1"/>
  <c r="U65" i="1"/>
  <c r="V65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R70" i="1"/>
  <c r="S70" i="1"/>
  <c r="T70" i="1"/>
  <c r="U70" i="1"/>
  <c r="V70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5" i="1"/>
  <c r="S75" i="1"/>
  <c r="T75" i="1"/>
  <c r="U75" i="1"/>
  <c r="V75" i="1"/>
  <c r="R76" i="1"/>
  <c r="S76" i="1"/>
  <c r="T76" i="1"/>
  <c r="U76" i="1"/>
  <c r="V76" i="1"/>
  <c r="R78" i="1"/>
  <c r="S78" i="1"/>
  <c r="T78" i="1"/>
  <c r="U78" i="1"/>
  <c r="V78" i="1"/>
  <c r="R79" i="1"/>
  <c r="S79" i="1"/>
  <c r="T79" i="1"/>
  <c r="U79" i="1"/>
  <c r="V79" i="1"/>
  <c r="R81" i="1"/>
  <c r="S81" i="1"/>
  <c r="T81" i="1"/>
  <c r="U81" i="1"/>
  <c r="V81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8" i="1"/>
  <c r="S88" i="1"/>
  <c r="T88" i="1"/>
  <c r="U88" i="1"/>
  <c r="V88" i="1"/>
  <c r="R89" i="1"/>
  <c r="S89" i="1"/>
  <c r="T89" i="1"/>
  <c r="U89" i="1"/>
  <c r="V89" i="1"/>
  <c r="R92" i="1"/>
  <c r="S92" i="1"/>
  <c r="T92" i="1"/>
  <c r="U92" i="1"/>
  <c r="V92" i="1"/>
  <c r="S93" i="1"/>
  <c r="U93" i="1"/>
  <c r="V93" i="1"/>
  <c r="V59" i="1"/>
  <c r="U59" i="1"/>
  <c r="T59" i="1"/>
  <c r="S59" i="1"/>
  <c r="R59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5" i="1"/>
  <c r="S55" i="1"/>
  <c r="T55" i="1"/>
  <c r="U55" i="1"/>
  <c r="V55" i="1"/>
  <c r="S56" i="1"/>
  <c r="U56" i="1"/>
  <c r="V56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U21" i="1"/>
  <c r="V21" i="1"/>
  <c r="S22" i="1"/>
  <c r="U22" i="1"/>
  <c r="V22" i="1"/>
  <c r="V6" i="1"/>
  <c r="U6" i="1"/>
  <c r="T6" i="1"/>
  <c r="V64" i="1" l="1"/>
  <c r="V138" i="1"/>
  <c r="O185" i="1" l="1"/>
  <c r="O206" i="1"/>
  <c r="K206" i="1"/>
  <c r="H206" i="1"/>
  <c r="K191" i="1"/>
  <c r="H191" i="1"/>
  <c r="D191" i="1"/>
  <c r="H185" i="1"/>
  <c r="K185" i="1"/>
  <c r="H166" i="1"/>
  <c r="O166" i="1"/>
  <c r="K166" i="1"/>
  <c r="O160" i="1"/>
  <c r="K160" i="1"/>
  <c r="C17" i="2" s="1"/>
  <c r="C8" i="2" s="1"/>
  <c r="H160" i="1"/>
  <c r="D160" i="1"/>
  <c r="B17" i="2" s="1"/>
  <c r="B8" i="2" s="1"/>
  <c r="O131" i="1"/>
  <c r="K131" i="1"/>
  <c r="H131" i="1"/>
  <c r="T131" i="1" s="1"/>
  <c r="H123" i="1"/>
  <c r="O123" i="1"/>
  <c r="K123" i="1"/>
  <c r="C15" i="2" s="1"/>
  <c r="C6" i="2" s="1"/>
  <c r="O93" i="1"/>
  <c r="K93" i="1"/>
  <c r="H93" i="1"/>
  <c r="D93" i="1"/>
  <c r="O56" i="1"/>
  <c r="K56" i="1"/>
  <c r="H56" i="1"/>
  <c r="O22" i="1"/>
  <c r="H22" i="1"/>
  <c r="L127" i="1" l="1"/>
  <c r="C16" i="2"/>
  <c r="C7" i="2" s="1"/>
  <c r="B6" i="3"/>
  <c r="C18" i="2"/>
  <c r="C9" i="2" s="1"/>
  <c r="B2" i="3"/>
  <c r="B4" i="3"/>
  <c r="C19" i="2"/>
  <c r="C10" i="2" s="1"/>
  <c r="B7" i="3"/>
  <c r="C14" i="2"/>
  <c r="C5" i="2" s="1"/>
  <c r="B8" i="3"/>
  <c r="C13" i="2"/>
  <c r="C4" i="2" s="1"/>
  <c r="E91" i="1"/>
  <c r="B14" i="2"/>
  <c r="B5" i="2" s="1"/>
  <c r="L155" i="1"/>
  <c r="B5" i="3"/>
  <c r="L121" i="1"/>
  <c r="B9" i="3"/>
  <c r="L77" i="1"/>
  <c r="L91" i="1"/>
  <c r="E54" i="1"/>
  <c r="L54" i="1"/>
  <c r="L175" i="1"/>
  <c r="L176" i="1"/>
  <c r="L177" i="1"/>
  <c r="L178" i="1"/>
  <c r="L179" i="1"/>
  <c r="L180" i="1"/>
  <c r="L181" i="1"/>
  <c r="L182" i="1"/>
  <c r="L183" i="1"/>
  <c r="L184" i="1"/>
  <c r="L115" i="1"/>
  <c r="L116" i="1"/>
  <c r="E74" i="1"/>
  <c r="E77" i="1"/>
  <c r="E154" i="1"/>
  <c r="E155" i="1"/>
  <c r="L84" i="1"/>
  <c r="L92" i="1"/>
  <c r="L74" i="1"/>
  <c r="L135" i="1"/>
  <c r="E135" i="1"/>
  <c r="L100" i="1"/>
  <c r="L113" i="1"/>
  <c r="L174" i="1"/>
  <c r="E80" i="1"/>
  <c r="L80" i="1"/>
  <c r="L52" i="1"/>
  <c r="L35" i="1"/>
  <c r="L204" i="1"/>
  <c r="L205" i="1"/>
  <c r="E48" i="1"/>
  <c r="L47" i="1"/>
  <c r="L49" i="1"/>
  <c r="L48" i="1"/>
  <c r="L50" i="1"/>
  <c r="L97" i="1"/>
  <c r="L111" i="1"/>
  <c r="L150" i="1"/>
  <c r="L156" i="1"/>
  <c r="L85" i="1"/>
  <c r="L62" i="1"/>
  <c r="L154" i="1"/>
  <c r="L99" i="1"/>
  <c r="L25" i="1"/>
  <c r="L38" i="1"/>
  <c r="T185" i="1"/>
  <c r="L89" i="1"/>
  <c r="L90" i="1"/>
  <c r="E82" i="1"/>
  <c r="E90" i="1"/>
  <c r="T206" i="1"/>
  <c r="L82" i="1"/>
  <c r="T56" i="1"/>
  <c r="T166" i="1"/>
  <c r="R166" i="1"/>
  <c r="T93" i="1"/>
  <c r="T160" i="1"/>
  <c r="T22" i="1"/>
  <c r="R131" i="1"/>
  <c r="R206" i="1"/>
  <c r="T123" i="1"/>
  <c r="O186" i="1"/>
  <c r="O207" i="1" s="1"/>
  <c r="R160" i="1"/>
  <c r="L149" i="1"/>
  <c r="R123" i="1"/>
  <c r="R93" i="1"/>
  <c r="L61" i="1"/>
  <c r="L63" i="1"/>
  <c r="L65" i="1"/>
  <c r="L67" i="1"/>
  <c r="L69" i="1"/>
  <c r="L71" i="1"/>
  <c r="L73" i="1"/>
  <c r="L76" i="1"/>
  <c r="L79" i="1"/>
  <c r="L83" i="1"/>
  <c r="L87" i="1"/>
  <c r="L60" i="1"/>
  <c r="L64" i="1"/>
  <c r="L66" i="1"/>
  <c r="L68" i="1"/>
  <c r="L70" i="1"/>
  <c r="L72" i="1"/>
  <c r="L75" i="1"/>
  <c r="L78" i="1"/>
  <c r="L81" i="1"/>
  <c r="L86" i="1"/>
  <c r="L88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5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R185" i="1"/>
  <c r="H186" i="1"/>
  <c r="H207" i="1" s="1"/>
  <c r="J10" i="4"/>
  <c r="I12" i="4"/>
  <c r="H12" i="4"/>
  <c r="G12" i="4"/>
  <c r="F12" i="4"/>
  <c r="E12" i="4"/>
  <c r="C12" i="4"/>
  <c r="E202" i="1"/>
  <c r="L203" i="1"/>
  <c r="L202" i="1"/>
  <c r="L200" i="1"/>
  <c r="L199" i="1"/>
  <c r="L198" i="1"/>
  <c r="L196" i="1"/>
  <c r="L195" i="1"/>
  <c r="L194" i="1"/>
  <c r="V191" i="1"/>
  <c r="U191" i="1"/>
  <c r="L189" i="1"/>
  <c r="E189" i="1"/>
  <c r="L171" i="1"/>
  <c r="L163" i="1"/>
  <c r="E165" i="1"/>
  <c r="E159" i="1"/>
  <c r="E156" i="1"/>
  <c r="L148" i="1"/>
  <c r="L146" i="1"/>
  <c r="L143" i="1"/>
  <c r="L140" i="1"/>
  <c r="L138" i="1"/>
  <c r="L134" i="1"/>
  <c r="L129" i="1"/>
  <c r="E130" i="1"/>
  <c r="L130" i="1"/>
  <c r="E89" i="1"/>
  <c r="E88" i="1"/>
  <c r="E86" i="1"/>
  <c r="E84" i="1"/>
  <c r="E81" i="1"/>
  <c r="E78" i="1"/>
  <c r="E75" i="1"/>
  <c r="E72" i="1"/>
  <c r="E70" i="1"/>
  <c r="E68" i="1"/>
  <c r="E66" i="1"/>
  <c r="E64" i="1"/>
  <c r="E62" i="1"/>
  <c r="E60" i="1"/>
  <c r="L51" i="1"/>
  <c r="R56" i="1"/>
  <c r="L32" i="1"/>
  <c r="K22" i="1"/>
  <c r="E14" i="1"/>
  <c r="S6" i="1"/>
  <c r="R6" i="1"/>
  <c r="C12" i="2" l="1"/>
  <c r="C3" i="2" s="1"/>
  <c r="B3" i="3"/>
  <c r="J12" i="4"/>
  <c r="I4" i="5"/>
  <c r="I3" i="5" s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E8" i="1"/>
  <c r="E6" i="1"/>
  <c r="E10" i="1"/>
  <c r="E9" i="1"/>
  <c r="E19" i="1"/>
  <c r="R22" i="1"/>
  <c r="L6" i="1"/>
  <c r="L40" i="1"/>
  <c r="L126" i="1"/>
  <c r="L136" i="1"/>
  <c r="L139" i="1"/>
  <c r="L142" i="1"/>
  <c r="L144" i="1"/>
  <c r="L147" i="1"/>
  <c r="L151" i="1"/>
  <c r="E18" i="1"/>
  <c r="L59" i="1"/>
  <c r="E63" i="1"/>
  <c r="E126" i="1"/>
  <c r="E134" i="1"/>
  <c r="E136" i="1"/>
  <c r="E137" i="1"/>
  <c r="E142" i="1"/>
  <c r="E143" i="1"/>
  <c r="E144" i="1"/>
  <c r="E145" i="1"/>
  <c r="E150" i="1"/>
  <c r="E153" i="1"/>
  <c r="E158" i="1"/>
  <c r="E11" i="1"/>
  <c r="E13" i="1"/>
  <c r="E16" i="1"/>
  <c r="E20" i="1"/>
  <c r="L29" i="1"/>
  <c r="L37" i="1"/>
  <c r="L43" i="1"/>
  <c r="K186" i="1"/>
  <c r="L128" i="1"/>
  <c r="E138" i="1"/>
  <c r="E139" i="1"/>
  <c r="E140" i="1"/>
  <c r="E141" i="1"/>
  <c r="E146" i="1"/>
  <c r="E147" i="1"/>
  <c r="E148" i="1"/>
  <c r="E149" i="1"/>
  <c r="E151" i="1"/>
  <c r="E152" i="1"/>
  <c r="E157" i="1"/>
  <c r="L170" i="1"/>
  <c r="L104" i="1"/>
  <c r="L103" i="1"/>
  <c r="L33" i="1"/>
  <c r="L44" i="1"/>
  <c r="L53" i="1"/>
  <c r="E129" i="1"/>
  <c r="L153" i="1"/>
  <c r="L158" i="1"/>
  <c r="L165" i="1"/>
  <c r="E197" i="1"/>
  <c r="E201" i="1"/>
  <c r="E205" i="1"/>
  <c r="D12" i="4"/>
  <c r="E98" i="1"/>
  <c r="L36" i="1"/>
  <c r="L39" i="1"/>
  <c r="L30" i="1"/>
  <c r="L41" i="1"/>
  <c r="L137" i="1"/>
  <c r="L141" i="1"/>
  <c r="L145" i="1"/>
  <c r="E164" i="1"/>
  <c r="E174" i="1"/>
  <c r="E190" i="1"/>
  <c r="L197" i="1"/>
  <c r="L201" i="1"/>
  <c r="L28" i="1"/>
  <c r="E7" i="1"/>
  <c r="E17" i="1"/>
  <c r="E21" i="1"/>
  <c r="L27" i="1"/>
  <c r="L46" i="1"/>
  <c r="E59" i="1"/>
  <c r="E67" i="1"/>
  <c r="E71" i="1"/>
  <c r="E76" i="1"/>
  <c r="E83" i="1"/>
  <c r="E87" i="1"/>
  <c r="E92" i="1"/>
  <c r="E128" i="1"/>
  <c r="L152" i="1"/>
  <c r="L157" i="1"/>
  <c r="L164" i="1"/>
  <c r="L190" i="1"/>
  <c r="R191" i="1"/>
  <c r="E196" i="1"/>
  <c r="E200" i="1"/>
  <c r="E204" i="1"/>
  <c r="E163" i="1"/>
  <c r="E171" i="1"/>
  <c r="E195" i="1"/>
  <c r="E199" i="1"/>
  <c r="E203" i="1"/>
  <c r="L45" i="1"/>
  <c r="L55" i="1"/>
  <c r="L26" i="1"/>
  <c r="L34" i="1"/>
  <c r="E170" i="1"/>
  <c r="E12" i="1"/>
  <c r="E15" i="1"/>
  <c r="L31" i="1"/>
  <c r="L42" i="1"/>
  <c r="E61" i="1"/>
  <c r="E65" i="1"/>
  <c r="E69" i="1"/>
  <c r="E73" i="1"/>
  <c r="E79" i="1"/>
  <c r="E85" i="1"/>
  <c r="L159" i="1"/>
  <c r="E194" i="1"/>
  <c r="E198" i="1"/>
  <c r="L114" i="1" l="1"/>
  <c r="L98" i="1"/>
  <c r="L101" i="1"/>
  <c r="L107" i="1"/>
  <c r="L118" i="1"/>
  <c r="L102" i="1"/>
  <c r="K207" i="1"/>
  <c r="L22" i="1"/>
  <c r="L160" i="1"/>
  <c r="L56" i="1"/>
  <c r="L131" i="1"/>
  <c r="L93" i="1"/>
  <c r="L123" i="1"/>
  <c r="L185" i="1"/>
  <c r="L166" i="1"/>
  <c r="L106" i="1"/>
  <c r="L105" i="1"/>
  <c r="L122" i="1"/>
  <c r="L117" i="1"/>
  <c r="L119" i="1"/>
  <c r="L108" i="1"/>
  <c r="L120" i="1"/>
  <c r="L112" i="1"/>
  <c r="E120" i="1"/>
  <c r="E117" i="1"/>
  <c r="E108" i="1"/>
  <c r="E105" i="1"/>
  <c r="E102" i="1"/>
  <c r="E107" i="1"/>
  <c r="E103" i="1"/>
  <c r="E113" i="1"/>
  <c r="E104" i="1"/>
  <c r="D186" i="1"/>
  <c r="E122" i="1"/>
  <c r="E97" i="1"/>
  <c r="E106" i="1"/>
  <c r="E101" i="1"/>
  <c r="E119" i="1"/>
  <c r="E118" i="1"/>
  <c r="E114" i="1"/>
  <c r="E111" i="1"/>
  <c r="E123" i="1" l="1"/>
  <c r="R186" i="1"/>
  <c r="E56" i="1"/>
  <c r="E160" i="1"/>
  <c r="D207" i="1"/>
  <c r="E93" i="1"/>
  <c r="E22" i="1"/>
  <c r="E185" i="1"/>
  <c r="E131" i="1"/>
  <c r="E166" i="1"/>
</calcChain>
</file>

<file path=xl/sharedStrings.xml><?xml version="1.0" encoding="utf-8"?>
<sst xmlns="http://schemas.openxmlformats.org/spreadsheetml/2006/main" count="433" uniqueCount="273">
  <si>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</si>
  <si>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</si>
  <si>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</si>
  <si>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</si>
  <si>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</si>
  <si>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</si>
  <si>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</si>
  <si>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</si>
  <si>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</si>
  <si>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</si>
  <si>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</si>
  <si>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</si>
  <si>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</si>
  <si>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</si>
  <si>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</si>
  <si>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</si>
  <si>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</si>
  <si>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</si>
  <si>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</si>
  <si>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</si>
  <si>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</si>
  <si>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</si>
  <si>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</si>
  <si>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</si>
  <si>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</si>
  <si>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</si>
  <si>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</si>
  <si>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</si>
  <si>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</si>
  <si>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</si>
  <si>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</si>
  <si>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</si>
  <si>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</si>
  <si>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</si>
  <si>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</si>
  <si>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</si>
  <si>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</si>
  <si>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</si>
  <si>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</si>
  <si>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</si>
  <si>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</si>
  <si>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</si>
  <si>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</si>
  <si>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</si>
  <si>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</si>
  <si>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</si>
  <si>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</si>
  <si>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</si>
  <si>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</si>
  <si>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</si>
  <si>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</si>
  <si>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</si>
  <si>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</si>
  <si>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</si>
  <si>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</si>
  <si>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</si>
  <si>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</si>
  <si>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</si>
  <si>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</si>
  <si>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</si>
  <si>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</si>
  <si>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</si>
  <si>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</si>
  <si>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</si>
  <si>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</si>
  <si>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</si>
  <si>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</si>
  <si>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</si>
  <si>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</si>
  <si>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</si>
  <si>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</si>
  <si>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</si>
  <si>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</si>
  <si>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</si>
  <si>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</si>
  <si>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</si>
  <si>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</si>
  <si>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</si>
  <si>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</si>
  <si>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</si>
  <si>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</si>
  <si>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</si>
  <si>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</si>
  <si>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</si>
  <si>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</si>
  <si>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</si>
  <si>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</si>
  <si>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</si>
  <si>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</si>
  <si>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</si>
  <si>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</si>
  <si>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</si>
  <si>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</si>
  <si>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</si>
  <si>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</si>
  <si>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</si>
  <si>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</si>
  <si>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</si>
  <si>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</si>
  <si>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</si>
  <si>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</si>
  <si>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</si>
  <si>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</si>
  <si>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</si>
  <si>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</si>
  <si>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</si>
  <si>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</si>
  <si>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</si>
  <si>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</si>
  <si>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</si>
  <si>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</si>
  <si>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</si>
  <si>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</si>
  <si>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</si>
  <si>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</si>
  <si>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</si>
  <si>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</si>
  <si>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</si>
  <si>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</si>
  <si>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</si>
  <si>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</si>
  <si>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</si>
  <si>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</si>
  <si>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</si>
  <si>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</si>
  <si>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</si>
  <si>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</si>
  <si>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</si>
  <si>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</si>
  <si>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</si>
  <si>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</si>
  <si>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</si>
  <si>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</si>
  <si>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</si>
  <si>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</si>
  <si>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</si>
  <si>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</si>
  <si>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</si>
  <si>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</si>
  <si>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</si>
  <si>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</si>
  <si>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</si>
  <si>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</si>
  <si>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</si>
  <si>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</si>
  <si>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</si>
  <si>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</si>
  <si>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</si>
  <si>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</si>
  <si>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</si>
  <si>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</si>
  <si>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</si>
  <si>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</si>
  <si>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</si>
  <si>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</si>
  <si>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</si>
  <si>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</si>
  <si>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</si>
  <si>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</si>
  <si>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</si>
  <si>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</si>
  <si>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</si>
  <si>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</si>
  <si>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</si>
  <si>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</si>
  <si>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</si>
  <si>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</si>
  <si>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</si>
  <si>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</si>
  <si>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</si>
  <si>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</si>
  <si>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</si>
  <si>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</si>
  <si>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</si>
  <si>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</si>
  <si>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</si>
  <si>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</si>
  <si>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</si>
  <si>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</si>
  <si>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</si>
  <si>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</si>
  <si>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</si>
  <si>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</si>
  <si>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</si>
  <si>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</si>
  <si>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</si>
  <si>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</si>
  <si>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</si>
  <si>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</si>
  <si>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</si>
  <si>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</si>
  <si>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</si>
  <si>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</si>
  <si>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</si>
  <si>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</si>
  <si>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</si>
  <si>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</si>
  <si>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</si>
  <si>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</si>
  <si>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</si>
  <si>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</si>
  <si>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</si>
  <si>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</si>
  <si>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</si>
  <si>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</si>
  <si>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</si>
  <si>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</si>
  <si>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</si>
  <si>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</si>
  <si>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</si>
  <si>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</si>
  <si>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</si>
  <si>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</si>
  <si>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</si>
  <si>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</si>
  <si>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</si>
  <si>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</si>
  <si>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</si>
  <si>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</si>
  <si>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</si>
  <si>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</si>
  <si>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</si>
  <si>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</si>
  <si>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</si>
  <si>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</si>
  <si>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</si>
  <si>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</si>
  <si>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</si>
  <si>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</si>
  <si>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</si>
  <si>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</si>
  <si>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</si>
  <si>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</si>
  <si>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</si>
  <si>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</si>
  <si>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</si>
  <si>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</si>
  <si>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</si>
  <si>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</si>
  <si>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</si>
  <si>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</si>
  <si>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</si>
  <si>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</si>
  <si>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</si>
  <si>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</si>
  <si>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</si>
  <si>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</si>
  <si>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</si>
  <si>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</si>
  <si>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</si>
  <si>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</si>
  <si>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</si>
  <si>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</si>
  <si>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</si>
  <si>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</si>
  <si>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</si>
  <si>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</si>
  <si>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</si>
  <si>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</si>
  <si>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</si>
  <si>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</si>
  <si>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</si>
  <si>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</si>
  <si>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</si>
  <si>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NAV, Unit Price and Yield as at Week Ended March 22, 2024</t>
  </si>
  <si>
    <t>Week Ended March 22, 2024</t>
  </si>
  <si>
    <t>EXCHANGE TRADED FUNDS (ETFs)</t>
  </si>
  <si>
    <t>ETFs AGGREGATE</t>
  </si>
  <si>
    <t>WEEKLY VALUATION REPORT OF COLLECTIVE INVESTMENT SCHEMES AS AT WEEK ENDED FRIDAY, MARCH 28, 2024</t>
  </si>
  <si>
    <t>NAV, Unit Price and Yield as at Week Ended March 28, 2024</t>
  </si>
  <si>
    <t>Week Ended March 28, 2024</t>
  </si>
  <si>
    <t>The chart above shows that the Dollar Fund category (Eurobonds and Fixed Income) has the highest share of the Aggregate Net Asset Value (NAV) at 46.16%, followed by Money Market Fund with 34.77%, Bond/Fixed Income Fund at 10.27%, Real Estate Investment Trust at 3.78%.  Next is Balanced Fund at 1.89%, Shari'ah Compliant Fund at 1.86%,  Equity Fund at 1.08% and Ethical Fund at 0.20%.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</si>
  <si>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27th March, 2024 = N1,304.342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</si>
</sst>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sz val="20"/>
      <color rgb="FF000000"/>
      <name val="Arial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14" borderId="0" applyNumberFormat="0" applyBorder="0" applyAlignment="0" applyProtection="0"/>
    <xf numFmtId="0" fontId="36" fillId="15" borderId="0" applyNumberFormat="0" applyBorder="0" applyAlignment="0" applyProtection="0"/>
    <xf numFmtId="0" fontId="37" fillId="17" borderId="14" applyNumberFormat="0" applyAlignment="0" applyProtection="0"/>
    <xf numFmtId="0" fontId="38" fillId="18" borderId="15" applyNumberFormat="0" applyAlignment="0" applyProtection="0"/>
    <xf numFmtId="0" fontId="39" fillId="18" borderId="14" applyNumberFormat="0" applyAlignment="0" applyProtection="0"/>
    <xf numFmtId="0" fontId="40" fillId="0" borderId="16" applyNumberFormat="0" applyFill="0" applyAlignment="0" applyProtection="0"/>
    <xf numFmtId="0" fontId="41" fillId="19" borderId="17" applyNumberFormat="0" applyAlignment="0" applyProtection="0"/>
    <xf numFmtId="0" fontId="42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172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0" fontId="30" fillId="0" borderId="0" xfId="0" applyFont="1" applyAlignment="1">
      <alignment horizontal="right"/>
    </xf>
    <xf numFmtId="164" fontId="31" fillId="3" borderId="0" xfId="1" applyFont="1" applyFill="1" applyBorder="1" applyAlignment="1">
      <alignment horizontal="right" vertical="top" wrapText="1"/>
    </xf>
    <xf numFmtId="4" fontId="31" fillId="3" borderId="0" xfId="0" applyNumberFormat="1" applyFont="1" applyFill="1"/>
    <xf numFmtId="4" fontId="0" fillId="0" borderId="0" xfId="0" applyNumberFormat="1"/>
    <xf numFmtId="0" fontId="47" fillId="0" borderId="0" xfId="0" applyFont="1" applyAlignment="1">
      <alignment horizontal="right"/>
    </xf>
    <xf numFmtId="166" fontId="0" fillId="0" borderId="0" xfId="0" applyNumberFormat="1"/>
    <xf numFmtId="4" fontId="48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9" fillId="3" borderId="5" xfId="0" applyFont="1" applyFill="1" applyBorder="1" applyAlignment="1">
      <alignment horizontal="center" wrapText="1"/>
    </xf>
    <xf numFmtId="0" fontId="23" fillId="3" borderId="5" xfId="0" applyFont="1" applyFill="1" applyBorder="1"/>
    <xf numFmtId="0" fontId="19" fillId="3" borderId="5" xfId="0" applyFont="1" applyFill="1" applyBorder="1" applyAlignment="1">
      <alignment horizontal="right"/>
    </xf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165" fontId="6" fillId="5" borderId="5" xfId="2" applyNumberFormat="1" applyFont="1" applyFill="1" applyBorder="1" applyAlignment="1">
      <alignment horizontal="center"/>
    </xf>
    <xf numFmtId="4" fontId="31" fillId="3" borderId="0" xfId="0" applyNumberFormat="1" applyFont="1" applyFill="1" applyAlignment="1">
      <alignment horizontal="right"/>
    </xf>
    <xf numFmtId="0" fontId="6" fillId="5" borderId="5" xfId="2" applyNumberFormat="1" applyFont="1" applyFill="1" applyBorder="1" applyAlignment="1">
      <alignment horizontal="center"/>
    </xf>
    <xf numFmtId="0" fontId="47" fillId="0" borderId="5" xfId="0" applyFont="1" applyBorder="1" applyAlignment="1">
      <alignment horizontal="right"/>
    </xf>
    <xf numFmtId="164" fontId="12" fillId="3" borderId="0" xfId="1" applyFont="1" applyFill="1" applyBorder="1" applyAlignment="1">
      <alignment horizontal="right" vertical="top" wrapText="1"/>
    </xf>
    <xf numFmtId="164" fontId="21" fillId="0" borderId="0" xfId="1" applyFont="1"/>
    <xf numFmtId="164" fontId="12" fillId="0" borderId="0" xfId="1" applyFont="1"/>
    <xf numFmtId="0" fontId="50" fillId="0" borderId="0" xfId="0" applyFont="1"/>
    <xf numFmtId="49" fontId="6" fillId="0" borderId="5" xfId="0" applyNumberFormat="1" applyFont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3" fillId="13" borderId="0" xfId="0" applyFont="1" applyFill="1" applyAlignment="1">
      <alignment horizontal="center" wrapText="1"/>
    </xf>
    <xf numFmtId="0" fontId="51" fillId="0" borderId="5" xfId="0" applyFont="1" applyBorder="1" applyAlignment="1">
      <alignment horizontal="right"/>
    </xf>
    <xf numFmtId="16" fontId="30" fillId="3" borderId="5" xfId="0" applyNumberFormat="1" applyFont="1" applyFill="1" applyBorder="1" applyAlignment="1">
      <alignment wrapText="1"/>
    </xf>
    <xf numFmtId="0" fontId="30" fillId="0" borderId="5" xfId="0" applyFont="1" applyBorder="1" applyAlignment="1">
      <alignment horizontal="right" wrapText="1"/>
    </xf>
    <xf numFmtId="4" fontId="31" fillId="3" borderId="5" xfId="0" applyNumberFormat="1" applyFont="1" applyFill="1" applyBorder="1"/>
    <xf numFmtId="0" fontId="30" fillId="0" borderId="5" xfId="0" applyFont="1" applyBorder="1" applyAlignment="1">
      <alignment horizontal="right"/>
    </xf>
    <xf numFmtId="4" fontId="31" fillId="3" borderId="5" xfId="0" applyNumberFormat="1" applyFont="1" applyFill="1" applyBorder="1" applyAlignment="1">
      <alignment horizontal="right"/>
    </xf>
    <xf numFmtId="164" fontId="31" fillId="3" borderId="5" xfId="1" applyFont="1" applyFill="1" applyBorder="1" applyAlignment="1">
      <alignment horizontal="right" vertical="top" wrapText="1"/>
    </xf>
    <xf numFmtId="0" fontId="52" fillId="0" borderId="5" xfId="0" applyFont="1" applyBorder="1" applyAlignment="1">
      <alignment horizontal="right" wrapText="1"/>
    </xf>
    <xf numFmtId="164" fontId="53" fillId="0" borderId="0" xfId="1" applyFont="1"/>
    <xf numFmtId="4" fontId="53" fillId="3" borderId="5" xfId="0" applyNumberFormat="1" applyFont="1" applyFill="1" applyBorder="1"/>
    <xf numFmtId="0" fontId="52" fillId="0" borderId="5" xfId="0" applyFont="1" applyBorder="1" applyAlignment="1">
      <alignment horizontal="right"/>
    </xf>
    <xf numFmtId="4" fontId="53" fillId="3" borderId="5" xfId="0" applyNumberFormat="1" applyFont="1" applyFill="1" applyBorder="1" applyAlignment="1">
      <alignment horizontal="right"/>
    </xf>
    <xf numFmtId="164" fontId="53" fillId="3" borderId="5" xfId="1" applyFont="1" applyFill="1" applyBorder="1" applyAlignment="1">
      <alignment horizontal="right" vertical="top" wrapText="1"/>
    </xf>
    <xf numFmtId="16" fontId="30" fillId="3" borderId="5" xfId="0" applyNumberFormat="1" applyFont="1" applyFill="1" applyBorder="1"/>
    <xf numFmtId="0" fontId="30" fillId="0" borderId="10" xfId="0" applyFont="1" applyBorder="1" applyAlignment="1">
      <alignment horizontal="right"/>
    </xf>
    <xf numFmtId="0" fontId="41" fillId="0" borderId="0" xfId="0" applyFont="1"/>
    <xf numFmtId="16" fontId="54" fillId="3" borderId="0" xfId="0" applyNumberFormat="1" applyFont="1" applyFill="1"/>
    <xf numFmtId="164" fontId="55" fillId="0" borderId="0" xfId="1" applyFont="1"/>
    <xf numFmtId="43" fontId="55" fillId="0" borderId="0" xfId="0" applyNumberFormat="1" applyFont="1"/>
    <xf numFmtId="4" fontId="55" fillId="0" borderId="0" xfId="0" applyNumberFormat="1" applyFont="1"/>
  </cellXfs>
  <cellStyles count="59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Comma 6" xfId="57" xr:uid="{C3684CE0-A1E3-46A2-BB48-FBDC7D9C1F4E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Percent 6" xfId="58" xr:uid="{80D5C716-5C3E-47A5-972E-C7B1C79EA5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March 22,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28.214914152029099</c:v>
                </c:pt>
                <c:pt idx="1">
                  <c:v>920.02384259584562</c:v>
                </c:pt>
                <c:pt idx="2">
                  <c:v>270.22092563965828</c:v>
                </c:pt>
                <c:pt idx="3">
                  <c:v>1304.3839521094192</c:v>
                </c:pt>
                <c:pt idx="4">
                  <c:v>99.828191215146546</c:v>
                </c:pt>
                <c:pt idx="5" formatCode="_-* #,##0.00_-;\-* #,##0.00_-;_-* &quot;-&quot;??_-;_-@_-">
                  <c:v>49.695302922374417</c:v>
                </c:pt>
                <c:pt idx="6">
                  <c:v>5.1941757294800004</c:v>
                </c:pt>
                <c:pt idx="7">
                  <c:v>49.029010570445799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March 28,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28.499552255214198</c:v>
                </c:pt>
                <c:pt idx="1">
                  <c:v>919.49600657440953</c:v>
                </c:pt>
                <c:pt idx="2">
                  <c:v>271.6586965135848</c:v>
                </c:pt>
                <c:pt idx="3">
                  <c:v>1220.9864248515159</c:v>
                </c:pt>
                <c:pt idx="4">
                  <c:v>99.892436477227193</c:v>
                </c:pt>
                <c:pt idx="5" formatCode="_-* #,##0.00_-;\-* #,##0.00_-;_-* &quot;-&quot;??_-;_-@_-">
                  <c:v>49.905453494100527</c:v>
                </c:pt>
                <c:pt idx="6">
                  <c:v>5.2162414736000002</c:v>
                </c:pt>
                <c:pt idx="7">
                  <c:v>49.193398720121991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28TH MARCH,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28-Mar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5216241473.6000004</c:v>
                </c:pt>
                <c:pt idx="1">
                  <c:v>28499552255.214199</c:v>
                </c:pt>
                <c:pt idx="2">
                  <c:v>49193398720.121994</c:v>
                </c:pt>
                <c:pt idx="3" formatCode="_-* #,##0.00_-;\-* #,##0.00_-;_-* &quot;-&quot;??_-;_-@_-">
                  <c:v>49905453494.100525</c:v>
                </c:pt>
                <c:pt idx="4">
                  <c:v>99892436477.227188</c:v>
                </c:pt>
                <c:pt idx="5">
                  <c:v>271658696513.58481</c:v>
                </c:pt>
                <c:pt idx="6">
                  <c:v>919496006574.40955</c:v>
                </c:pt>
                <c:pt idx="7">
                  <c:v>1220986424851.5159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45331</c:v>
                </c:pt>
                <c:pt idx="1">
                  <c:v>45338</c:v>
                </c:pt>
                <c:pt idx="2">
                  <c:v>45345</c:v>
                </c:pt>
                <c:pt idx="3">
                  <c:v>45352</c:v>
                </c:pt>
                <c:pt idx="4">
                  <c:v>45359</c:v>
                </c:pt>
                <c:pt idx="5">
                  <c:v>45366</c:v>
                </c:pt>
                <c:pt idx="6">
                  <c:v>45373</c:v>
                </c:pt>
                <c:pt idx="7">
                  <c:v>45379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2722.5323614454855</c:v>
                </c:pt>
                <c:pt idx="1">
                  <c:v>2804.0140317422242</c:v>
                </c:pt>
                <c:pt idx="2">
                  <c:v>2818.0986093610441</c:v>
                </c:pt>
                <c:pt idx="3">
                  <c:v>2842.1269159614767</c:v>
                </c:pt>
                <c:pt idx="4">
                  <c:v>2889.6753426082664</c:v>
                </c:pt>
                <c:pt idx="5">
                  <c:v>2600.1201124317486</c:v>
                </c:pt>
                <c:pt idx="6">
                  <c:v>2726.590314934399</c:v>
                </c:pt>
                <c:pt idx="7">
                  <c:v>2644.8482103597744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45331</c:v>
                </c:pt>
                <c:pt idx="1">
                  <c:v>45338</c:v>
                </c:pt>
                <c:pt idx="2">
                  <c:v>45345</c:v>
                </c:pt>
                <c:pt idx="3">
                  <c:v>45352</c:v>
                </c:pt>
                <c:pt idx="4">
                  <c:v>45359</c:v>
                </c:pt>
                <c:pt idx="5">
                  <c:v>45366</c:v>
                </c:pt>
                <c:pt idx="6">
                  <c:v>45373</c:v>
                </c:pt>
                <c:pt idx="7">
                  <c:v>45379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13.28720353778923</c:v>
                </c:pt>
                <c:pt idx="1">
                  <c:v>14.091854833619999</c:v>
                </c:pt>
                <c:pt idx="2">
                  <c:v>13.721097407254545</c:v>
                </c:pt>
                <c:pt idx="3">
                  <c:v>13.410122858662769</c:v>
                </c:pt>
                <c:pt idx="4">
                  <c:v>13.60527981782986</c:v>
                </c:pt>
                <c:pt idx="5">
                  <c:v>13.749994436969999</c:v>
                </c:pt>
                <c:pt idx="6">
                  <c:v>13.611683369310001</c:v>
                </c:pt>
                <c:pt idx="7">
                  <c:v>13.637941626835818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310515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211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42" t="s">
        <v>268</v>
      </c>
      <c r="B1" s="143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5"/>
    </row>
    <row r="2" spans="1:25" ht="15" customHeight="1">
      <c r="A2" s="1"/>
      <c r="B2" s="1"/>
      <c r="C2" s="1"/>
      <c r="D2" s="148" t="s">
        <v>264</v>
      </c>
      <c r="E2" s="149"/>
      <c r="F2" s="149"/>
      <c r="G2" s="149"/>
      <c r="H2" s="149"/>
      <c r="I2" s="149"/>
      <c r="J2" s="150"/>
      <c r="K2" s="148" t="s">
        <v>269</v>
      </c>
      <c r="L2" s="149"/>
      <c r="M2" s="149"/>
      <c r="N2" s="149"/>
      <c r="O2" s="149"/>
      <c r="P2" s="149"/>
      <c r="Q2" s="150"/>
      <c r="R2" s="148" t="s">
        <v>0</v>
      </c>
      <c r="S2" s="149"/>
      <c r="T2" s="150"/>
      <c r="U2" s="146" t="s">
        <v>1</v>
      </c>
      <c r="V2" s="146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</row>
    <row r="5" spans="1:25" ht="15" customHeight="1">
      <c r="A5" s="139" t="s">
        <v>15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</row>
    <row r="6" spans="1:25">
      <c r="A6" s="75">
        <v>1</v>
      </c>
      <c r="B6" s="125" t="s">
        <v>16</v>
      </c>
      <c r="C6" s="126" t="s">
        <v>17</v>
      </c>
      <c r="D6" s="2">
        <v>1281514031.5</v>
      </c>
      <c r="E6" s="3">
        <f t="shared" ref="E6:E21" si="0">(D6/$D$22)</f>
        <v>4.5419738815963714E-2</v>
      </c>
      <c r="F6" s="8">
        <v>362.4726</v>
      </c>
      <c r="G6" s="8">
        <v>362.4726</v>
      </c>
      <c r="H6" s="60">
        <v>1736</v>
      </c>
      <c r="I6" s="5">
        <v>1.0500000000000001E-2</v>
      </c>
      <c r="J6" s="5">
        <v>0.16969999999999999</v>
      </c>
      <c r="K6" s="2">
        <v>1318189721.3900001</v>
      </c>
      <c r="L6" s="3">
        <f>(K6/$K$22)</f>
        <v>4.6252997576438339E-2</v>
      </c>
      <c r="M6" s="8">
        <v>364.16629999999998</v>
      </c>
      <c r="N6" s="8">
        <v>364.16629999999998</v>
      </c>
      <c r="O6" s="60">
        <v>1736</v>
      </c>
      <c r="P6" s="5">
        <v>4.7000000000000002E-3</v>
      </c>
      <c r="Q6" s="5">
        <v>0.17519999999999999</v>
      </c>
      <c r="R6" s="80">
        <f>((K6-D6)/D6)</f>
        <v>2.8619031074573219E-2</v>
      </c>
      <c r="S6" s="80">
        <f>((N6-G6)/G6)</f>
        <v>4.6726290483749076E-3</v>
      </c>
      <c r="T6" s="80">
        <f>((O6-H6)/H6)</f>
        <v>0</v>
      </c>
      <c r="U6" s="81">
        <f>P6-I6</f>
        <v>-5.8000000000000005E-3</v>
      </c>
      <c r="V6" s="83">
        <f>Q6-J6</f>
        <v>5.5000000000000049E-3</v>
      </c>
    </row>
    <row r="7" spans="1:25">
      <c r="A7" s="75">
        <v>2</v>
      </c>
      <c r="B7" s="125" t="s">
        <v>18</v>
      </c>
      <c r="C7" s="126" t="s">
        <v>19</v>
      </c>
      <c r="D7" s="4">
        <v>625715730.22000003</v>
      </c>
      <c r="E7" s="3">
        <f t="shared" si="0"/>
        <v>2.2176772427819035E-2</v>
      </c>
      <c r="F7" s="4">
        <v>229.03980000000001</v>
      </c>
      <c r="G7" s="4">
        <v>231.8</v>
      </c>
      <c r="H7" s="60">
        <v>388</v>
      </c>
      <c r="I7" s="5">
        <v>2.4659999999999999E-3</v>
      </c>
      <c r="J7" s="5">
        <v>0.18390000000000001</v>
      </c>
      <c r="K7" s="4">
        <v>633184533.49000001</v>
      </c>
      <c r="L7" s="3">
        <f t="shared" ref="L7:L21" si="1">(K7/$K$22)</f>
        <v>2.2217350217288215E-2</v>
      </c>
      <c r="M7" s="4">
        <v>230.49289999999999</v>
      </c>
      <c r="N7" s="4">
        <v>233.2578</v>
      </c>
      <c r="O7" s="60">
        <v>390</v>
      </c>
      <c r="P7" s="5">
        <v>5.8999999999999998E-5</v>
      </c>
      <c r="Q7" s="5">
        <v>0.1915</v>
      </c>
      <c r="R7" s="80">
        <f t="shared" ref="R7:R22" si="2">((K7-D7)/D7)</f>
        <v>1.1936416026130539E-2</v>
      </c>
      <c r="S7" s="80">
        <f t="shared" ref="S7:S22" si="3">((N7-G7)/G7)</f>
        <v>6.2890422778256764E-3</v>
      </c>
      <c r="T7" s="80">
        <f t="shared" ref="T7:T22" si="4">((O7-H7)/H7)</f>
        <v>5.1546391752577319E-3</v>
      </c>
      <c r="U7" s="81">
        <f t="shared" ref="U7:U22" si="5">P7-I7</f>
        <v>-2.4069999999999999E-3</v>
      </c>
      <c r="V7" s="83">
        <f t="shared" ref="V7:V22" si="6">Q7-J7</f>
        <v>7.5999999999999956E-3</v>
      </c>
    </row>
    <row r="8" spans="1:25">
      <c r="A8" s="75">
        <v>3</v>
      </c>
      <c r="B8" s="125" t="s">
        <v>20</v>
      </c>
      <c r="C8" s="126" t="s">
        <v>21</v>
      </c>
      <c r="D8" s="4">
        <v>4059765067.2199998</v>
      </c>
      <c r="E8" s="3">
        <f t="shared" si="0"/>
        <v>0.14388720253923007</v>
      </c>
      <c r="F8" s="4">
        <v>37.765599999999999</v>
      </c>
      <c r="G8" s="4">
        <v>38.904299999999999</v>
      </c>
      <c r="H8" s="62">
        <v>6392</v>
      </c>
      <c r="I8" s="6">
        <v>-0.43869999999999998</v>
      </c>
      <c r="J8" s="6">
        <v>1.0544</v>
      </c>
      <c r="K8" s="4">
        <v>4050590918.6100001</v>
      </c>
      <c r="L8" s="3">
        <f t="shared" si="1"/>
        <v>0.1421282300275056</v>
      </c>
      <c r="M8" s="4">
        <v>37.686300000000003</v>
      </c>
      <c r="N8" s="4">
        <v>38.822600000000001</v>
      </c>
      <c r="O8" s="62">
        <v>6399</v>
      </c>
      <c r="P8" s="6">
        <v>-0.10979999999999999</v>
      </c>
      <c r="Q8" s="6">
        <v>0.96079999999999999</v>
      </c>
      <c r="R8" s="80">
        <f t="shared" si="2"/>
        <v>-2.25977327704872E-3</v>
      </c>
      <c r="S8" s="80">
        <f t="shared" si="3"/>
        <v>-2.1000249329765062E-3</v>
      </c>
      <c r="T8" s="80">
        <f t="shared" si="4"/>
        <v>1.095118898623279E-3</v>
      </c>
      <c r="U8" s="81">
        <f t="shared" si="5"/>
        <v>0.32889999999999997</v>
      </c>
      <c r="V8" s="83">
        <f t="shared" si="6"/>
        <v>-9.3600000000000017E-2</v>
      </c>
      <c r="X8" s="102"/>
      <c r="Y8" s="102"/>
    </row>
    <row r="9" spans="1:25">
      <c r="A9" s="75">
        <v>4</v>
      </c>
      <c r="B9" s="125" t="s">
        <v>22</v>
      </c>
      <c r="C9" s="126" t="s">
        <v>23</v>
      </c>
      <c r="D9" s="4">
        <v>710715617.63</v>
      </c>
      <c r="E9" s="3">
        <f t="shared" si="0"/>
        <v>2.5189359563544456E-2</v>
      </c>
      <c r="F9" s="4">
        <v>239</v>
      </c>
      <c r="G9" s="4">
        <v>239</v>
      </c>
      <c r="H9" s="60">
        <v>1782</v>
      </c>
      <c r="I9" s="5">
        <v>1.1599999999999999E-2</v>
      </c>
      <c r="J9" s="5">
        <v>0.17299999999999999</v>
      </c>
      <c r="K9" s="4">
        <v>711852189.99000001</v>
      </c>
      <c r="L9" s="3">
        <f t="shared" si="1"/>
        <v>2.4977662231860556E-2</v>
      </c>
      <c r="M9" s="4">
        <v>239.83</v>
      </c>
      <c r="N9" s="4">
        <v>239.83</v>
      </c>
      <c r="O9" s="60">
        <v>1792</v>
      </c>
      <c r="P9" s="5">
        <v>3.5000000000000001E-3</v>
      </c>
      <c r="Q9" s="5">
        <v>0.17710000000000001</v>
      </c>
      <c r="R9" s="80">
        <f t="shared" si="2"/>
        <v>1.5991942934785995E-3</v>
      </c>
      <c r="S9" s="80">
        <f t="shared" si="3"/>
        <v>3.4728033472803872E-3</v>
      </c>
      <c r="T9" s="80">
        <f t="shared" si="4"/>
        <v>5.6116722783389446E-3</v>
      </c>
      <c r="U9" s="81">
        <f t="shared" si="5"/>
        <v>-8.0999999999999996E-3</v>
      </c>
      <c r="V9" s="83">
        <f t="shared" si="6"/>
        <v>4.1000000000000203E-3</v>
      </c>
    </row>
    <row r="10" spans="1:25">
      <c r="A10" s="75">
        <v>5</v>
      </c>
      <c r="B10" s="125" t="s">
        <v>24</v>
      </c>
      <c r="C10" s="126" t="s">
        <v>25</v>
      </c>
      <c r="D10" s="7">
        <v>88902251.030000001</v>
      </c>
      <c r="E10" s="3">
        <f t="shared" si="0"/>
        <v>3.1508956770512279E-3</v>
      </c>
      <c r="F10" s="4">
        <v>154.8827</v>
      </c>
      <c r="G10" s="4">
        <v>155.4434</v>
      </c>
      <c r="H10" s="62">
        <v>88</v>
      </c>
      <c r="I10" s="6">
        <v>-3.0490000000000001E-3</v>
      </c>
      <c r="J10" s="6">
        <v>0.32919999999999999</v>
      </c>
      <c r="K10" s="7">
        <v>88502088.790000007</v>
      </c>
      <c r="L10" s="3">
        <f t="shared" si="1"/>
        <v>3.1053852354402485E-3</v>
      </c>
      <c r="M10" s="4">
        <v>155.05770000000001</v>
      </c>
      <c r="N10" s="4">
        <v>155.62180000000001</v>
      </c>
      <c r="O10" s="62">
        <v>88</v>
      </c>
      <c r="P10" s="6">
        <v>8.0699999999999999E-4</v>
      </c>
      <c r="Q10" s="6">
        <v>0.3402</v>
      </c>
      <c r="R10" s="80">
        <f t="shared" si="2"/>
        <v>-4.5011485689486104E-3</v>
      </c>
      <c r="S10" s="80">
        <f t="shared" si="3"/>
        <v>1.1476846234707331E-3</v>
      </c>
      <c r="T10" s="80">
        <f t="shared" si="4"/>
        <v>0</v>
      </c>
      <c r="U10" s="81">
        <f t="shared" si="5"/>
        <v>3.8560000000000001E-3</v>
      </c>
      <c r="V10" s="83">
        <f t="shared" si="6"/>
        <v>1.100000000000001E-2</v>
      </c>
    </row>
    <row r="11" spans="1:25">
      <c r="A11" s="75">
        <v>6</v>
      </c>
      <c r="B11" s="125" t="s">
        <v>26</v>
      </c>
      <c r="C11" s="126" t="s">
        <v>27</v>
      </c>
      <c r="D11" s="4">
        <v>1064380422.49</v>
      </c>
      <c r="E11" s="3">
        <f t="shared" si="0"/>
        <v>3.7724035478359029E-2</v>
      </c>
      <c r="F11" s="4">
        <v>277.33</v>
      </c>
      <c r="G11" s="4">
        <v>281.31</v>
      </c>
      <c r="H11" s="62">
        <v>1621</v>
      </c>
      <c r="I11" s="6">
        <v>7.7000000000000002E-3</v>
      </c>
      <c r="J11" s="6">
        <v>0.1152</v>
      </c>
      <c r="K11" s="4">
        <v>1084728478.03</v>
      </c>
      <c r="L11" s="3">
        <f t="shared" si="1"/>
        <v>3.8061246307178075E-2</v>
      </c>
      <c r="M11" s="4">
        <v>283.58</v>
      </c>
      <c r="N11" s="4">
        <v>287.69</v>
      </c>
      <c r="O11" s="62">
        <v>1621</v>
      </c>
      <c r="P11" s="6">
        <v>2.2599999999999999E-2</v>
      </c>
      <c r="Q11" s="6">
        <v>0.1152</v>
      </c>
      <c r="R11" s="80">
        <f t="shared" si="2"/>
        <v>1.9117277159606094E-2</v>
      </c>
      <c r="S11" s="80">
        <f t="shared" si="3"/>
        <v>2.2679606128470354E-2</v>
      </c>
      <c r="T11" s="80">
        <f t="shared" si="4"/>
        <v>0</v>
      </c>
      <c r="U11" s="81">
        <f t="shared" si="5"/>
        <v>1.4899999999999998E-2</v>
      </c>
      <c r="V11" s="83">
        <f t="shared" si="6"/>
        <v>0</v>
      </c>
    </row>
    <row r="12" spans="1:25">
      <c r="A12" s="75">
        <v>7</v>
      </c>
      <c r="B12" s="125" t="s">
        <v>28</v>
      </c>
      <c r="C12" s="126" t="s">
        <v>29</v>
      </c>
      <c r="D12" s="2">
        <v>334425580.44</v>
      </c>
      <c r="E12" s="3">
        <f t="shared" si="0"/>
        <v>1.1852794541143394E-2</v>
      </c>
      <c r="F12" s="4">
        <v>168.22</v>
      </c>
      <c r="G12" s="4">
        <v>171.49</v>
      </c>
      <c r="H12" s="60">
        <v>2379</v>
      </c>
      <c r="I12" s="5">
        <v>-1.07E-3</v>
      </c>
      <c r="J12" s="5">
        <v>2.5600000000000002E-3</v>
      </c>
      <c r="K12" s="2">
        <v>340772765.19999999</v>
      </c>
      <c r="L12" s="3">
        <f t="shared" si="1"/>
        <v>1.195712698039504E-2</v>
      </c>
      <c r="M12" s="4">
        <v>171.18</v>
      </c>
      <c r="N12" s="4">
        <v>174.35</v>
      </c>
      <c r="O12" s="60">
        <v>2381</v>
      </c>
      <c r="P12" s="5">
        <v>1.7600000000000001E-2</v>
      </c>
      <c r="Q12" s="5">
        <v>2.0199999999999999E-2</v>
      </c>
      <c r="R12" s="80">
        <f t="shared" si="2"/>
        <v>1.8979363814362139E-2</v>
      </c>
      <c r="S12" s="80">
        <f t="shared" si="3"/>
        <v>1.6677357280307802E-2</v>
      </c>
      <c r="T12" s="80">
        <f t="shared" si="4"/>
        <v>8.4068936527952921E-4</v>
      </c>
      <c r="U12" s="81">
        <f t="shared" si="5"/>
        <v>1.8670000000000003E-2</v>
      </c>
      <c r="V12" s="83">
        <f t="shared" si="6"/>
        <v>1.7639999999999999E-2</v>
      </c>
    </row>
    <row r="13" spans="1:25">
      <c r="A13" s="75">
        <v>8</v>
      </c>
      <c r="B13" s="125" t="s">
        <v>30</v>
      </c>
      <c r="C13" s="126" t="s">
        <v>31</v>
      </c>
      <c r="D13" s="7">
        <v>51362845.82</v>
      </c>
      <c r="E13" s="3">
        <f t="shared" si="0"/>
        <v>1.8204147474361959E-3</v>
      </c>
      <c r="F13" s="4">
        <v>185.78</v>
      </c>
      <c r="G13" s="4">
        <v>191.09</v>
      </c>
      <c r="H13" s="60">
        <v>7</v>
      </c>
      <c r="I13" s="5">
        <v>-8.8999999999999999E-3</v>
      </c>
      <c r="J13" s="5">
        <v>2.5700000000000001E-2</v>
      </c>
      <c r="K13" s="7">
        <v>51501353.140000001</v>
      </c>
      <c r="L13" s="3">
        <f t="shared" si="1"/>
        <v>1.8070934125141371E-3</v>
      </c>
      <c r="M13" s="4">
        <v>186.04</v>
      </c>
      <c r="N13" s="4">
        <v>191.34</v>
      </c>
      <c r="O13" s="60">
        <v>7</v>
      </c>
      <c r="P13" s="5">
        <v>1.2999999999999999E-3</v>
      </c>
      <c r="Q13" s="5">
        <v>-7.6E-3</v>
      </c>
      <c r="R13" s="80">
        <f t="shared" si="2"/>
        <v>2.6966441946265256E-3</v>
      </c>
      <c r="S13" s="80">
        <f t="shared" si="3"/>
        <v>1.3082840546339422E-3</v>
      </c>
      <c r="T13" s="80">
        <f t="shared" si="4"/>
        <v>0</v>
      </c>
      <c r="U13" s="81">
        <f t="shared" si="5"/>
        <v>1.0200000000000001E-2</v>
      </c>
      <c r="V13" s="83">
        <f t="shared" si="6"/>
        <v>-3.3300000000000003E-2</v>
      </c>
    </row>
    <row r="14" spans="1:25" ht="14.25" customHeight="1">
      <c r="A14" s="75">
        <v>9</v>
      </c>
      <c r="B14" s="125" t="s">
        <v>238</v>
      </c>
      <c r="C14" s="126" t="s">
        <v>32</v>
      </c>
      <c r="D14" s="2">
        <v>492129147.23909998</v>
      </c>
      <c r="E14" s="3">
        <f t="shared" si="0"/>
        <v>1.7442163551779161E-2</v>
      </c>
      <c r="F14" s="4">
        <v>1.5718000000000001</v>
      </c>
      <c r="G14" s="4">
        <v>1.6221000000000001</v>
      </c>
      <c r="H14" s="60">
        <v>547</v>
      </c>
      <c r="I14" s="5">
        <v>3.9000528820729796E-2</v>
      </c>
      <c r="J14" s="5">
        <v>-7.2520210066678414E-2</v>
      </c>
      <c r="K14" s="2">
        <v>499730048.81419998</v>
      </c>
      <c r="L14" s="3">
        <f t="shared" si="1"/>
        <v>1.7534663153270093E-2</v>
      </c>
      <c r="M14" s="4">
        <v>1.5932999999999999</v>
      </c>
      <c r="N14" s="4">
        <v>1.6444000000000001</v>
      </c>
      <c r="O14" s="60">
        <v>443</v>
      </c>
      <c r="P14" s="5">
        <v>1.3678585061712489E-2</v>
      </c>
      <c r="Q14" s="5">
        <v>-5.9833598867056192E-2</v>
      </c>
      <c r="R14" s="80">
        <f t="shared" si="2"/>
        <v>1.5444932733088296E-2</v>
      </c>
      <c r="S14" s="80">
        <f t="shared" si="3"/>
        <v>1.3747611121385849E-2</v>
      </c>
      <c r="T14" s="80">
        <f t="shared" si="4"/>
        <v>-0.19012797074954296</v>
      </c>
      <c r="U14" s="81">
        <f t="shared" si="5"/>
        <v>-2.5321943759017307E-2</v>
      </c>
      <c r="V14" s="83">
        <f t="shared" si="6"/>
        <v>1.2686611199622222E-2</v>
      </c>
    </row>
    <row r="15" spans="1:25">
      <c r="A15" s="75">
        <v>10</v>
      </c>
      <c r="B15" s="125" t="s">
        <v>33</v>
      </c>
      <c r="C15" s="126" t="s">
        <v>34</v>
      </c>
      <c r="D15" s="2">
        <v>1653134131.1700001</v>
      </c>
      <c r="E15" s="3">
        <f t="shared" si="0"/>
        <v>5.8590790752099935E-2</v>
      </c>
      <c r="F15" s="4">
        <v>3.33</v>
      </c>
      <c r="G15" s="4">
        <v>3.4</v>
      </c>
      <c r="H15" s="60">
        <v>3670</v>
      </c>
      <c r="I15" s="5">
        <v>-1.77E-2</v>
      </c>
      <c r="J15" s="5">
        <v>0.20169999999999999</v>
      </c>
      <c r="K15" s="2">
        <v>1669220242.8499999</v>
      </c>
      <c r="L15" s="3">
        <f t="shared" si="1"/>
        <v>5.8570051483689677E-2</v>
      </c>
      <c r="M15" s="4">
        <v>3.38</v>
      </c>
      <c r="N15" s="4">
        <v>3.45</v>
      </c>
      <c r="O15" s="60">
        <v>3669</v>
      </c>
      <c r="P15" s="5">
        <v>5.3E-3</v>
      </c>
      <c r="Q15" s="5">
        <v>0.21970000000000001</v>
      </c>
      <c r="R15" s="80">
        <f t="shared" si="2"/>
        <v>9.7306754344337072E-3</v>
      </c>
      <c r="S15" s="80">
        <f t="shared" si="3"/>
        <v>1.4705882352941256E-2</v>
      </c>
      <c r="T15" s="80">
        <f t="shared" si="4"/>
        <v>-2.7247956403269756E-4</v>
      </c>
      <c r="U15" s="81">
        <f t="shared" si="5"/>
        <v>2.3E-2</v>
      </c>
      <c r="V15" s="83">
        <f t="shared" si="6"/>
        <v>1.8000000000000016E-2</v>
      </c>
    </row>
    <row r="16" spans="1:25">
      <c r="A16" s="75">
        <v>11</v>
      </c>
      <c r="B16" s="125" t="s">
        <v>35</v>
      </c>
      <c r="C16" s="126" t="s">
        <v>36</v>
      </c>
      <c r="D16" s="4">
        <v>653642517.24000001</v>
      </c>
      <c r="E16" s="3">
        <f t="shared" si="0"/>
        <v>2.3166560554393634E-2</v>
      </c>
      <c r="F16" s="4">
        <v>20.038826</v>
      </c>
      <c r="G16" s="4">
        <v>20.146080000000001</v>
      </c>
      <c r="H16" s="60">
        <v>321</v>
      </c>
      <c r="I16" s="5">
        <v>5.0416020820225338E-3</v>
      </c>
      <c r="J16" s="5">
        <v>9.1458169511968057E-2</v>
      </c>
      <c r="K16" s="4">
        <v>660848645.96000004</v>
      </c>
      <c r="L16" s="3">
        <f t="shared" si="1"/>
        <v>2.3188036080078873E-2</v>
      </c>
      <c r="M16" s="4">
        <v>20.337439</v>
      </c>
      <c r="N16" s="4">
        <v>20.450182000000002</v>
      </c>
      <c r="O16" s="60">
        <v>324</v>
      </c>
      <c r="P16" s="5">
        <v>1.4901721288462788E-2</v>
      </c>
      <c r="Q16" s="5">
        <v>0.10772277495205107</v>
      </c>
      <c r="R16" s="80">
        <f t="shared" si="2"/>
        <v>1.1024571581462977E-2</v>
      </c>
      <c r="S16" s="80">
        <f t="shared" si="3"/>
        <v>1.5094847235789806E-2</v>
      </c>
      <c r="T16" s="80">
        <f t="shared" si="4"/>
        <v>9.3457943925233638E-3</v>
      </c>
      <c r="U16" s="81">
        <f t="shared" si="5"/>
        <v>9.8601192064402543E-3</v>
      </c>
      <c r="V16" s="83">
        <f t="shared" si="6"/>
        <v>1.6264605440083013E-2</v>
      </c>
    </row>
    <row r="17" spans="1:22">
      <c r="A17" s="75">
        <v>12</v>
      </c>
      <c r="B17" s="125" t="s">
        <v>37</v>
      </c>
      <c r="C17" s="126" t="s">
        <v>38</v>
      </c>
      <c r="D17" s="4">
        <v>363021091.86000001</v>
      </c>
      <c r="E17" s="3">
        <f t="shared" si="0"/>
        <v>1.2866283764109665E-2</v>
      </c>
      <c r="F17" s="4">
        <v>2.6098599999999998</v>
      </c>
      <c r="G17" s="4">
        <v>2.6400990000000002</v>
      </c>
      <c r="H17" s="60">
        <v>21</v>
      </c>
      <c r="I17" s="5">
        <v>5.5999999999999999E-3</v>
      </c>
      <c r="J17" s="5">
        <v>0.20930000000000001</v>
      </c>
      <c r="K17" s="4">
        <v>376846678.62</v>
      </c>
      <c r="L17" s="3">
        <f t="shared" si="1"/>
        <v>1.3222898214165914E-2</v>
      </c>
      <c r="M17" s="4">
        <v>2.7092559999999999</v>
      </c>
      <c r="N17" s="4">
        <v>2.7400150000000001</v>
      </c>
      <c r="O17" s="60">
        <v>17</v>
      </c>
      <c r="P17" s="5">
        <v>-3.7999999999999999E-2</v>
      </c>
      <c r="Q17" s="5">
        <v>0.25519999999999998</v>
      </c>
      <c r="R17" s="80">
        <f t="shared" si="2"/>
        <v>3.8084802977045376E-2</v>
      </c>
      <c r="S17" s="80">
        <f t="shared" si="3"/>
        <v>3.7845550488826325E-2</v>
      </c>
      <c r="T17" s="80">
        <f t="shared" si="4"/>
        <v>-0.19047619047619047</v>
      </c>
      <c r="U17" s="81">
        <f t="shared" si="5"/>
        <v>-4.36E-2</v>
      </c>
      <c r="V17" s="83">
        <f t="shared" si="6"/>
        <v>4.5899999999999969E-2</v>
      </c>
    </row>
    <row r="18" spans="1:22">
      <c r="A18" s="75">
        <v>13</v>
      </c>
      <c r="B18" s="125" t="s">
        <v>39</v>
      </c>
      <c r="C18" s="126" t="s">
        <v>40</v>
      </c>
      <c r="D18" s="2">
        <v>1202411948.5799999</v>
      </c>
      <c r="E18" s="3">
        <f t="shared" si="0"/>
        <v>4.261618313283181E-2</v>
      </c>
      <c r="F18" s="4">
        <v>26.8</v>
      </c>
      <c r="G18" s="4">
        <v>27.41</v>
      </c>
      <c r="H18" s="60">
        <v>8832</v>
      </c>
      <c r="I18" s="5">
        <v>7.6E-3</v>
      </c>
      <c r="J18" s="5">
        <v>6.6299999999999998E-2</v>
      </c>
      <c r="K18" s="2">
        <v>1281053338.51</v>
      </c>
      <c r="L18" s="3">
        <f t="shared" si="1"/>
        <v>4.4949946126807028E-2</v>
      </c>
      <c r="M18" s="4">
        <v>27.4</v>
      </c>
      <c r="N18" s="4">
        <v>28.01</v>
      </c>
      <c r="O18" s="60">
        <v>8834</v>
      </c>
      <c r="P18" s="5">
        <v>2.1999999999999999E-2</v>
      </c>
      <c r="Q18" s="5">
        <v>8.9800000000000005E-2</v>
      </c>
      <c r="R18" s="80">
        <f t="shared" si="2"/>
        <v>6.5403034311886515E-2</v>
      </c>
      <c r="S18" s="80">
        <f t="shared" si="3"/>
        <v>2.1889821233126647E-2</v>
      </c>
      <c r="T18" s="80">
        <f t="shared" si="4"/>
        <v>2.2644927536231884E-4</v>
      </c>
      <c r="U18" s="81">
        <f t="shared" si="5"/>
        <v>1.44E-2</v>
      </c>
      <c r="V18" s="83">
        <f t="shared" si="6"/>
        <v>2.3500000000000007E-2</v>
      </c>
    </row>
    <row r="19" spans="1:22" ht="12.75" customHeight="1">
      <c r="A19" s="75">
        <v>14</v>
      </c>
      <c r="B19" s="125" t="s">
        <v>41</v>
      </c>
      <c r="C19" s="126" t="s">
        <v>42</v>
      </c>
      <c r="D19" s="2">
        <v>621726268.34000003</v>
      </c>
      <c r="E19" s="3">
        <f t="shared" si="0"/>
        <v>2.2035376928314632E-2</v>
      </c>
      <c r="F19" s="4">
        <v>5957.25</v>
      </c>
      <c r="G19" s="4">
        <v>6031.17</v>
      </c>
      <c r="H19" s="60">
        <v>23</v>
      </c>
      <c r="I19" s="5">
        <v>1.6E-2</v>
      </c>
      <c r="J19" s="5">
        <v>0.1071</v>
      </c>
      <c r="K19" s="2">
        <v>633799285.67999995</v>
      </c>
      <c r="L19" s="3">
        <f t="shared" si="1"/>
        <v>2.2238920808450309E-2</v>
      </c>
      <c r="M19" s="4">
        <v>6082.02</v>
      </c>
      <c r="N19" s="4">
        <v>6158.16</v>
      </c>
      <c r="O19" s="60">
        <v>22</v>
      </c>
      <c r="P19" s="5">
        <v>2.1100000000000001E-2</v>
      </c>
      <c r="Q19" s="5">
        <v>0.13039999999999999</v>
      </c>
      <c r="R19" s="80">
        <f t="shared" si="2"/>
        <v>1.9418541494530532E-2</v>
      </c>
      <c r="S19" s="80">
        <f t="shared" si="3"/>
        <v>2.1055616074492974E-2</v>
      </c>
      <c r="T19" s="80">
        <f t="shared" si="4"/>
        <v>-4.3478260869565216E-2</v>
      </c>
      <c r="U19" s="81">
        <f t="shared" si="5"/>
        <v>5.1000000000000004E-3</v>
      </c>
      <c r="V19" s="83">
        <f t="shared" si="6"/>
        <v>2.3299999999999987E-2</v>
      </c>
    </row>
    <row r="20" spans="1:22">
      <c r="A20" s="75">
        <v>15</v>
      </c>
      <c r="B20" s="125" t="s">
        <v>43</v>
      </c>
      <c r="C20" s="126" t="s">
        <v>42</v>
      </c>
      <c r="D20" s="4">
        <v>11718422077.969999</v>
      </c>
      <c r="E20" s="3">
        <f t="shared" si="0"/>
        <v>0.41532722782100895</v>
      </c>
      <c r="F20" s="4">
        <v>19514.38</v>
      </c>
      <c r="G20" s="4">
        <v>19750.689999999999</v>
      </c>
      <c r="H20" s="60">
        <v>17384</v>
      </c>
      <c r="I20" s="5">
        <v>2.5999999999999999E-3</v>
      </c>
      <c r="J20" s="5">
        <v>7.5600000000000001E-2</v>
      </c>
      <c r="K20" s="4">
        <v>11801033749.75</v>
      </c>
      <c r="L20" s="3">
        <f t="shared" si="1"/>
        <v>0.41407786494578752</v>
      </c>
      <c r="M20" s="4">
        <v>19639.89</v>
      </c>
      <c r="N20" s="4">
        <v>19882.55</v>
      </c>
      <c r="O20" s="60">
        <v>17363</v>
      </c>
      <c r="P20" s="5">
        <v>6.7000000000000002E-3</v>
      </c>
      <c r="Q20" s="5">
        <v>8.2699999999999996E-2</v>
      </c>
      <c r="R20" s="80">
        <f t="shared" si="2"/>
        <v>7.0497265954693822E-3</v>
      </c>
      <c r="S20" s="80">
        <f t="shared" si="3"/>
        <v>6.6762224509625025E-3</v>
      </c>
      <c r="T20" s="80">
        <f t="shared" si="4"/>
        <v>-1.2080073630924989E-3</v>
      </c>
      <c r="U20" s="81">
        <f t="shared" si="5"/>
        <v>4.1000000000000003E-3</v>
      </c>
      <c r="V20" s="83">
        <f t="shared" si="6"/>
        <v>7.0999999999999952E-3</v>
      </c>
    </row>
    <row r="21" spans="1:22">
      <c r="A21" s="75">
        <v>16</v>
      </c>
      <c r="B21" s="126" t="s">
        <v>44</v>
      </c>
      <c r="C21" s="126" t="s">
        <v>45</v>
      </c>
      <c r="D21" s="4">
        <v>3293645423.2800002</v>
      </c>
      <c r="E21" s="3">
        <f t="shared" si="0"/>
        <v>0.11673419970491511</v>
      </c>
      <c r="F21" s="4">
        <v>1.5991</v>
      </c>
      <c r="G21" s="8">
        <v>1.6163000000000001</v>
      </c>
      <c r="H21" s="60">
        <v>3723</v>
      </c>
      <c r="I21" s="5">
        <v>2.0999999999999999E-3</v>
      </c>
      <c r="J21" s="5">
        <v>0.1767</v>
      </c>
      <c r="K21" s="4">
        <v>3297698216.3899999</v>
      </c>
      <c r="L21" s="3">
        <f t="shared" si="1"/>
        <v>0.11571052719913037</v>
      </c>
      <c r="M21" s="4">
        <v>1.6002000000000001</v>
      </c>
      <c r="N21" s="8">
        <v>1.6173</v>
      </c>
      <c r="O21" s="60">
        <v>3738</v>
      </c>
      <c r="P21" s="5">
        <v>2.3099999999999999E-2</v>
      </c>
      <c r="Q21" s="5">
        <v>0.17749999999999999</v>
      </c>
      <c r="R21" s="80">
        <f t="shared" si="2"/>
        <v>1.2304885891340587E-3</v>
      </c>
      <c r="S21" s="80">
        <f t="shared" si="3"/>
        <v>6.1869702406724611E-4</v>
      </c>
      <c r="T21" s="80">
        <f t="shared" si="4"/>
        <v>4.0290088638195E-3</v>
      </c>
      <c r="U21" s="81">
        <f t="shared" si="5"/>
        <v>2.0999999999999998E-2</v>
      </c>
      <c r="V21" s="83">
        <f t="shared" si="6"/>
        <v>7.9999999999999516E-4</v>
      </c>
    </row>
    <row r="22" spans="1:22">
      <c r="A22" s="75"/>
      <c r="B22" s="19"/>
      <c r="C22" s="71" t="s">
        <v>46</v>
      </c>
      <c r="D22" s="58">
        <f>SUM(D6:D21)</f>
        <v>28214914152.029099</v>
      </c>
      <c r="E22" s="100">
        <f>(D22/$D$186)</f>
        <v>1.0348057791259316E-2</v>
      </c>
      <c r="F22" s="30"/>
      <c r="G22" s="31"/>
      <c r="H22" s="65">
        <f>SUM(H6:H21)</f>
        <v>48914</v>
      </c>
      <c r="I22" s="28"/>
      <c r="J22" s="60">
        <v>0</v>
      </c>
      <c r="K22" s="58">
        <f>SUM(K6:K21)</f>
        <v>28499552255.214199</v>
      </c>
      <c r="L22" s="100">
        <f>(K22/$K$186)</f>
        <v>1.0775496356873143E-2</v>
      </c>
      <c r="M22" s="30"/>
      <c r="N22" s="31"/>
      <c r="O22" s="65">
        <f>SUM(O6:O21)</f>
        <v>48824</v>
      </c>
      <c r="P22" s="28"/>
      <c r="Q22" s="65"/>
      <c r="R22" s="80">
        <f t="shared" si="2"/>
        <v>1.0088214397938566E-2</v>
      </c>
      <c r="S22" s="80" t="e">
        <f t="shared" si="3"/>
        <v>#DIV/0!</v>
      </c>
      <c r="T22" s="80">
        <f t="shared" si="4"/>
        <v>-1.8399640184814164E-3</v>
      </c>
      <c r="U22" s="81">
        <f t="shared" si="5"/>
        <v>0</v>
      </c>
      <c r="V22" s="83">
        <f t="shared" si="6"/>
        <v>0</v>
      </c>
    </row>
    <row r="23" spans="1:22" ht="9" customHeight="1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</row>
    <row r="24" spans="1:22" ht="15" customHeight="1">
      <c r="A24" s="139" t="s">
        <v>47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</row>
    <row r="25" spans="1:22">
      <c r="A25" s="75">
        <v>17</v>
      </c>
      <c r="B25" s="125" t="s">
        <v>48</v>
      </c>
      <c r="C25" s="126" t="s">
        <v>17</v>
      </c>
      <c r="D25" s="9">
        <v>867110615.28999996</v>
      </c>
      <c r="E25" s="3">
        <f>(D25/$K$56)</f>
        <v>9.4302814703940718E-4</v>
      </c>
      <c r="F25" s="8">
        <v>100</v>
      </c>
      <c r="G25" s="8">
        <v>100</v>
      </c>
      <c r="H25" s="60">
        <v>761</v>
      </c>
      <c r="I25" s="5">
        <v>0.13739999999999999</v>
      </c>
      <c r="J25" s="5">
        <v>0.13739999999999999</v>
      </c>
      <c r="K25" s="9">
        <v>876354402.94000006</v>
      </c>
      <c r="L25" s="3">
        <f t="shared" ref="L25:L55" si="7">(K25/$K$56)</f>
        <v>9.530812495911386E-4</v>
      </c>
      <c r="M25" s="8">
        <v>100</v>
      </c>
      <c r="N25" s="8">
        <v>100</v>
      </c>
      <c r="O25" s="60">
        <v>761</v>
      </c>
      <c r="P25" s="5">
        <v>0.1431</v>
      </c>
      <c r="Q25" s="5">
        <v>0.1431</v>
      </c>
      <c r="R25" s="80">
        <f>((K25-D25)/D25)</f>
        <v>1.0660448029353863E-2</v>
      </c>
      <c r="S25" s="80">
        <f>((N25-G25)/G25)</f>
        <v>0</v>
      </c>
      <c r="T25" s="80">
        <f>((O25-H25)/H25)</f>
        <v>0</v>
      </c>
      <c r="U25" s="81">
        <f>P25-I25</f>
        <v>5.7000000000000106E-3</v>
      </c>
      <c r="V25" s="83">
        <f>Q25-J25</f>
        <v>5.7000000000000106E-3</v>
      </c>
    </row>
    <row r="26" spans="1:22">
      <c r="A26" s="75">
        <v>18</v>
      </c>
      <c r="B26" s="125" t="s">
        <v>49</v>
      </c>
      <c r="C26" s="126" t="s">
        <v>50</v>
      </c>
      <c r="D26" s="9">
        <v>5112187412.4499998</v>
      </c>
      <c r="E26" s="3">
        <f t="shared" ref="E26:E55" si="8">(D26/$K$56)</f>
        <v>5.5597711962833843E-3</v>
      </c>
      <c r="F26" s="8">
        <v>100</v>
      </c>
      <c r="G26" s="8">
        <v>100</v>
      </c>
      <c r="H26" s="60">
        <v>1357</v>
      </c>
      <c r="I26" s="5">
        <v>0.15179999999999999</v>
      </c>
      <c r="J26" s="5">
        <v>0.15179999999999999</v>
      </c>
      <c r="K26" s="9">
        <v>5234313990.7700005</v>
      </c>
      <c r="L26" s="3">
        <f t="shared" si="7"/>
        <v>5.6925902378526724E-3</v>
      </c>
      <c r="M26" s="8">
        <v>100</v>
      </c>
      <c r="N26" s="8">
        <v>100</v>
      </c>
      <c r="O26" s="60">
        <v>1368</v>
      </c>
      <c r="P26" s="5">
        <v>0.1578</v>
      </c>
      <c r="Q26" s="5">
        <v>0.1578</v>
      </c>
      <c r="R26" s="80">
        <f t="shared" ref="R26:R56" si="9">((K26-D26)/D26)</f>
        <v>2.3889299915448886E-2</v>
      </c>
      <c r="S26" s="80">
        <f t="shared" ref="S26:S56" si="10">((N26-G26)/G26)</f>
        <v>0</v>
      </c>
      <c r="T26" s="80">
        <f t="shared" ref="T26:T56" si="11">((O26-H26)/H26)</f>
        <v>8.1061164333087691E-3</v>
      </c>
      <c r="U26" s="81">
        <f t="shared" ref="U26:U56" si="12">P26-I26</f>
        <v>6.0000000000000053E-3</v>
      </c>
      <c r="V26" s="83">
        <f t="shared" ref="V26:V56" si="13">Q26-J26</f>
        <v>6.0000000000000053E-3</v>
      </c>
    </row>
    <row r="27" spans="1:22">
      <c r="A27" s="75">
        <v>19</v>
      </c>
      <c r="B27" s="125" t="s">
        <v>51</v>
      </c>
      <c r="C27" s="126" t="s">
        <v>19</v>
      </c>
      <c r="D27" s="9">
        <v>322285291.98000002</v>
      </c>
      <c r="E27" s="3">
        <f t="shared" si="8"/>
        <v>3.5050211167384697E-4</v>
      </c>
      <c r="F27" s="8">
        <v>100</v>
      </c>
      <c r="G27" s="8">
        <v>100</v>
      </c>
      <c r="H27" s="60">
        <v>1392</v>
      </c>
      <c r="I27" s="5">
        <v>0.1313</v>
      </c>
      <c r="J27" s="5">
        <v>0.1313</v>
      </c>
      <c r="K27" s="9">
        <v>332889029.97000003</v>
      </c>
      <c r="L27" s="3">
        <f t="shared" si="7"/>
        <v>3.6203423135047758E-4</v>
      </c>
      <c r="M27" s="8">
        <v>100</v>
      </c>
      <c r="N27" s="8">
        <v>100</v>
      </c>
      <c r="O27" s="60">
        <v>1398</v>
      </c>
      <c r="P27" s="5">
        <v>0.13689999999999999</v>
      </c>
      <c r="Q27" s="5">
        <v>0.13689999999999999</v>
      </c>
      <c r="R27" s="80">
        <f t="shared" si="9"/>
        <v>3.2901712407831643E-2</v>
      </c>
      <c r="S27" s="80">
        <f t="shared" si="10"/>
        <v>0</v>
      </c>
      <c r="T27" s="80">
        <f t="shared" si="11"/>
        <v>4.3103448275862068E-3</v>
      </c>
      <c r="U27" s="81">
        <f t="shared" si="12"/>
        <v>5.5999999999999939E-3</v>
      </c>
      <c r="V27" s="83">
        <f t="shared" si="13"/>
        <v>5.5999999999999939E-3</v>
      </c>
    </row>
    <row r="28" spans="1:22">
      <c r="A28" s="75">
        <v>20</v>
      </c>
      <c r="B28" s="125" t="s">
        <v>52</v>
      </c>
      <c r="C28" s="126" t="s">
        <v>21</v>
      </c>
      <c r="D28" s="9">
        <v>83931458777.179993</v>
      </c>
      <c r="E28" s="3">
        <f t="shared" si="8"/>
        <v>9.1279851328411293E-2</v>
      </c>
      <c r="F28" s="8">
        <v>1</v>
      </c>
      <c r="G28" s="8">
        <v>1</v>
      </c>
      <c r="H28" s="60">
        <v>56656</v>
      </c>
      <c r="I28" s="5">
        <v>0.14169999999999999</v>
      </c>
      <c r="J28" s="5">
        <v>0.14169999999999999</v>
      </c>
      <c r="K28" s="9">
        <v>84102313240.229996</v>
      </c>
      <c r="L28" s="3">
        <f t="shared" si="7"/>
        <v>9.1465664493262891E-2</v>
      </c>
      <c r="M28" s="8">
        <v>1</v>
      </c>
      <c r="N28" s="8">
        <v>1</v>
      </c>
      <c r="O28" s="60">
        <v>56832</v>
      </c>
      <c r="P28" s="5">
        <v>0.14280000000000001</v>
      </c>
      <c r="Q28" s="5">
        <v>0.14280000000000001</v>
      </c>
      <c r="R28" s="80">
        <f t="shared" si="9"/>
        <v>2.0356427201341154E-3</v>
      </c>
      <c r="S28" s="80">
        <f t="shared" si="10"/>
        <v>0</v>
      </c>
      <c r="T28" s="80">
        <f t="shared" si="11"/>
        <v>3.1064670996893535E-3</v>
      </c>
      <c r="U28" s="81">
        <f t="shared" si="12"/>
        <v>1.1000000000000176E-3</v>
      </c>
      <c r="V28" s="83">
        <f t="shared" si="13"/>
        <v>1.1000000000000176E-3</v>
      </c>
    </row>
    <row r="29" spans="1:22">
      <c r="A29" s="75">
        <v>21</v>
      </c>
      <c r="B29" s="125" t="s">
        <v>53</v>
      </c>
      <c r="C29" s="126" t="s">
        <v>23</v>
      </c>
      <c r="D29" s="9">
        <v>49154822389.550003</v>
      </c>
      <c r="E29" s="3">
        <f t="shared" si="8"/>
        <v>5.3458440317404668E-2</v>
      </c>
      <c r="F29" s="8">
        <v>1</v>
      </c>
      <c r="G29" s="8">
        <v>1</v>
      </c>
      <c r="H29" s="60">
        <v>26943</v>
      </c>
      <c r="I29" s="5">
        <v>0.1338</v>
      </c>
      <c r="J29" s="5">
        <v>0.1338</v>
      </c>
      <c r="K29" s="9">
        <v>48932224857.699997</v>
      </c>
      <c r="L29" s="3">
        <f t="shared" si="7"/>
        <v>5.3216353858889967E-2</v>
      </c>
      <c r="M29" s="8">
        <v>1</v>
      </c>
      <c r="N29" s="8">
        <v>1</v>
      </c>
      <c r="O29" s="60">
        <v>26994</v>
      </c>
      <c r="P29" s="5">
        <v>0.1482</v>
      </c>
      <c r="Q29" s="5">
        <v>0.1482</v>
      </c>
      <c r="R29" s="80">
        <f t="shared" si="9"/>
        <v>-4.5284983452066928E-3</v>
      </c>
      <c r="S29" s="80">
        <f t="shared" si="10"/>
        <v>0</v>
      </c>
      <c r="T29" s="80">
        <f t="shared" si="11"/>
        <v>1.8928849794009575E-3</v>
      </c>
      <c r="U29" s="81">
        <f t="shared" si="12"/>
        <v>1.4399999999999996E-2</v>
      </c>
      <c r="V29" s="83">
        <f t="shared" si="13"/>
        <v>1.4399999999999996E-2</v>
      </c>
    </row>
    <row r="30" spans="1:22" ht="15" customHeight="1">
      <c r="A30" s="75">
        <v>22</v>
      </c>
      <c r="B30" s="125" t="s">
        <v>54</v>
      </c>
      <c r="C30" s="126" t="s">
        <v>40</v>
      </c>
      <c r="D30" s="9">
        <v>8888467960</v>
      </c>
      <c r="E30" s="3">
        <f t="shared" si="8"/>
        <v>9.6666738043964598E-3</v>
      </c>
      <c r="F30" s="8">
        <v>100</v>
      </c>
      <c r="G30" s="8">
        <v>100</v>
      </c>
      <c r="H30" s="60">
        <v>2886</v>
      </c>
      <c r="I30" s="5">
        <v>0.156</v>
      </c>
      <c r="J30" s="5">
        <v>0.156</v>
      </c>
      <c r="K30" s="9">
        <v>8717517256.0799999</v>
      </c>
      <c r="L30" s="3">
        <f t="shared" si="7"/>
        <v>9.4807559725649995E-3</v>
      </c>
      <c r="M30" s="8">
        <v>100</v>
      </c>
      <c r="N30" s="8">
        <v>100</v>
      </c>
      <c r="O30" s="60">
        <v>2891</v>
      </c>
      <c r="P30" s="5">
        <v>0.16200000000000001</v>
      </c>
      <c r="Q30" s="5">
        <v>0.16200000000000001</v>
      </c>
      <c r="R30" s="80">
        <f t="shared" si="9"/>
        <v>-1.9232864953703459E-2</v>
      </c>
      <c r="S30" s="80">
        <f t="shared" si="10"/>
        <v>0</v>
      </c>
      <c r="T30" s="80">
        <f t="shared" si="11"/>
        <v>1.7325017325017325E-3</v>
      </c>
      <c r="U30" s="81">
        <f t="shared" si="12"/>
        <v>6.0000000000000053E-3</v>
      </c>
      <c r="V30" s="83">
        <f t="shared" si="13"/>
        <v>6.0000000000000053E-3</v>
      </c>
    </row>
    <row r="31" spans="1:22">
      <c r="A31" s="75">
        <v>23</v>
      </c>
      <c r="B31" s="125" t="s">
        <v>55</v>
      </c>
      <c r="C31" s="126" t="s">
        <v>56</v>
      </c>
      <c r="D31" s="9">
        <v>14989271213.35</v>
      </c>
      <c r="E31" s="3">
        <f t="shared" si="8"/>
        <v>1.6301616435717498E-2</v>
      </c>
      <c r="F31" s="8">
        <v>100</v>
      </c>
      <c r="G31" s="8">
        <v>100</v>
      </c>
      <c r="H31" s="60">
        <v>2058</v>
      </c>
      <c r="I31" s="5">
        <v>0.16734537669948299</v>
      </c>
      <c r="J31" s="5">
        <v>0.16734537669948299</v>
      </c>
      <c r="K31" s="9">
        <v>14515095078.169998</v>
      </c>
      <c r="L31" s="3">
        <f t="shared" si="7"/>
        <v>1.5785925087642427E-2</v>
      </c>
      <c r="M31" s="8">
        <v>100</v>
      </c>
      <c r="N31" s="8">
        <v>100</v>
      </c>
      <c r="O31" s="60">
        <v>2094</v>
      </c>
      <c r="P31" s="5">
        <v>0.16898411060344201</v>
      </c>
      <c r="Q31" s="5">
        <v>0.16898411060344201</v>
      </c>
      <c r="R31" s="80">
        <f t="shared" si="9"/>
        <v>-3.1634368904986082E-2</v>
      </c>
      <c r="S31" s="80">
        <f t="shared" si="10"/>
        <v>0</v>
      </c>
      <c r="T31" s="80">
        <f t="shared" si="11"/>
        <v>1.7492711370262391E-2</v>
      </c>
      <c r="U31" s="81">
        <f t="shared" si="12"/>
        <v>1.6387339039590221E-3</v>
      </c>
      <c r="V31" s="83">
        <f t="shared" si="13"/>
        <v>1.6387339039590221E-3</v>
      </c>
    </row>
    <row r="32" spans="1:22">
      <c r="A32" s="75">
        <v>24</v>
      </c>
      <c r="B32" s="125" t="s">
        <v>57</v>
      </c>
      <c r="C32" s="126" t="s">
        <v>58</v>
      </c>
      <c r="D32" s="9">
        <v>5667959668.0699997</v>
      </c>
      <c r="E32" s="3">
        <f t="shared" si="8"/>
        <v>6.1642025930988362E-3</v>
      </c>
      <c r="F32" s="8">
        <v>100</v>
      </c>
      <c r="G32" s="8">
        <v>100</v>
      </c>
      <c r="H32" s="60">
        <v>5839</v>
      </c>
      <c r="I32" s="5">
        <v>0.1469</v>
      </c>
      <c r="J32" s="5">
        <v>0.1469</v>
      </c>
      <c r="K32" s="9">
        <v>5632728397.96</v>
      </c>
      <c r="L32" s="3">
        <f t="shared" si="7"/>
        <v>6.1258867441358221E-3</v>
      </c>
      <c r="M32" s="8">
        <v>100</v>
      </c>
      <c r="N32" s="8">
        <v>100</v>
      </c>
      <c r="O32" s="60">
        <v>5866</v>
      </c>
      <c r="P32" s="5">
        <v>0.15290000000000001</v>
      </c>
      <c r="Q32" s="5">
        <v>0.15290000000000001</v>
      </c>
      <c r="R32" s="80">
        <f t="shared" si="9"/>
        <v>-6.2158646449924863E-3</v>
      </c>
      <c r="S32" s="80">
        <f t="shared" si="10"/>
        <v>0</v>
      </c>
      <c r="T32" s="80">
        <f t="shared" si="11"/>
        <v>4.6240794656619288E-3</v>
      </c>
      <c r="U32" s="81">
        <f t="shared" si="12"/>
        <v>6.0000000000000053E-3</v>
      </c>
      <c r="V32" s="83">
        <f t="shared" si="13"/>
        <v>6.0000000000000053E-3</v>
      </c>
    </row>
    <row r="33" spans="1:22">
      <c r="A33" s="75">
        <v>25</v>
      </c>
      <c r="B33" s="125" t="s">
        <v>59</v>
      </c>
      <c r="C33" s="126" t="s">
        <v>60</v>
      </c>
      <c r="D33" s="9">
        <v>44514190.369999997</v>
      </c>
      <c r="E33" s="3">
        <f t="shared" si="8"/>
        <v>4.8411510274892877E-5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7"/>
        <v>4.8411510274892877E-5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0">
        <f t="shared" si="9"/>
        <v>0</v>
      </c>
      <c r="S33" s="80">
        <f t="shared" si="10"/>
        <v>0</v>
      </c>
      <c r="T33" s="80" t="e">
        <f t="shared" si="11"/>
        <v>#DIV/0!</v>
      </c>
      <c r="U33" s="81">
        <f t="shared" si="12"/>
        <v>0</v>
      </c>
      <c r="V33" s="83">
        <f t="shared" si="13"/>
        <v>0</v>
      </c>
    </row>
    <row r="34" spans="1:22">
      <c r="A34" s="75">
        <v>26</v>
      </c>
      <c r="B34" s="125" t="s">
        <v>61</v>
      </c>
      <c r="C34" s="126" t="s">
        <v>62</v>
      </c>
      <c r="D34" s="9">
        <v>5332113544.0200005</v>
      </c>
      <c r="E34" s="3">
        <f t="shared" si="8"/>
        <v>5.7989523672700178E-3</v>
      </c>
      <c r="F34" s="8">
        <v>1</v>
      </c>
      <c r="G34" s="8">
        <v>1</v>
      </c>
      <c r="H34" s="60">
        <v>2161</v>
      </c>
      <c r="I34" s="5">
        <v>0.12989999999999999</v>
      </c>
      <c r="J34" s="5">
        <v>0.12989999999999999</v>
      </c>
      <c r="K34" s="9">
        <v>5218394491.4799995</v>
      </c>
      <c r="L34" s="3">
        <f t="shared" si="7"/>
        <v>5.6752769497294218E-3</v>
      </c>
      <c r="M34" s="8">
        <v>1</v>
      </c>
      <c r="N34" s="8">
        <v>1</v>
      </c>
      <c r="O34" s="60">
        <v>2172</v>
      </c>
      <c r="P34" s="5">
        <v>0.14080000000000001</v>
      </c>
      <c r="Q34" s="5">
        <v>0.14080000000000001</v>
      </c>
      <c r="R34" s="80">
        <f t="shared" si="9"/>
        <v>-2.1327200105769984E-2</v>
      </c>
      <c r="S34" s="80">
        <f t="shared" si="10"/>
        <v>0</v>
      </c>
      <c r="T34" s="80">
        <f t="shared" si="11"/>
        <v>5.0902360018509948E-3</v>
      </c>
      <c r="U34" s="81">
        <f t="shared" si="12"/>
        <v>1.0900000000000021E-2</v>
      </c>
      <c r="V34" s="83">
        <f t="shared" si="13"/>
        <v>1.0900000000000021E-2</v>
      </c>
    </row>
    <row r="35" spans="1:22">
      <c r="A35" s="75">
        <v>27</v>
      </c>
      <c r="B35" s="125" t="s">
        <v>63</v>
      </c>
      <c r="C35" s="126" t="s">
        <v>64</v>
      </c>
      <c r="D35" s="9">
        <v>12891030195.940001</v>
      </c>
      <c r="E35" s="3">
        <f t="shared" si="8"/>
        <v>1.4019669583955723E-2</v>
      </c>
      <c r="F35" s="11">
        <v>100</v>
      </c>
      <c r="G35" s="11">
        <v>100</v>
      </c>
      <c r="H35" s="60">
        <v>2619</v>
      </c>
      <c r="I35" s="5">
        <v>0.13220000000000001</v>
      </c>
      <c r="J35" s="5">
        <v>0.13220000000000001</v>
      </c>
      <c r="K35" s="9">
        <v>12678502906.73</v>
      </c>
      <c r="L35" s="3">
        <f t="shared" si="7"/>
        <v>1.3788535041020867E-2</v>
      </c>
      <c r="M35" s="11">
        <v>100</v>
      </c>
      <c r="N35" s="11">
        <v>100</v>
      </c>
      <c r="O35" s="60">
        <v>2619</v>
      </c>
      <c r="P35" s="5">
        <v>0.1502</v>
      </c>
      <c r="Q35" s="5">
        <v>0.1502</v>
      </c>
      <c r="R35" s="80">
        <f t="shared" si="9"/>
        <v>-1.6486447241193799E-2</v>
      </c>
      <c r="S35" s="80">
        <f t="shared" si="10"/>
        <v>0</v>
      </c>
      <c r="T35" s="80">
        <f t="shared" si="11"/>
        <v>0</v>
      </c>
      <c r="U35" s="81">
        <f t="shared" si="12"/>
        <v>1.7999999999999988E-2</v>
      </c>
      <c r="V35" s="83">
        <f t="shared" si="13"/>
        <v>1.7999999999999988E-2</v>
      </c>
    </row>
    <row r="36" spans="1:22">
      <c r="A36" s="75">
        <v>28</v>
      </c>
      <c r="B36" s="125" t="s">
        <v>65</v>
      </c>
      <c r="C36" s="126" t="s">
        <v>64</v>
      </c>
      <c r="D36" s="9">
        <v>911620715.80999994</v>
      </c>
      <c r="E36" s="3">
        <f t="shared" si="8"/>
        <v>9.9143520938851167E-4</v>
      </c>
      <c r="F36" s="11">
        <v>1000000</v>
      </c>
      <c r="G36" s="11">
        <v>1000000</v>
      </c>
      <c r="H36" s="60">
        <v>5</v>
      </c>
      <c r="I36" s="5">
        <v>0.13339999999999999</v>
      </c>
      <c r="J36" s="5">
        <v>0.13339999999999999</v>
      </c>
      <c r="K36" s="9">
        <v>913575832.90999997</v>
      </c>
      <c r="L36" s="3">
        <f t="shared" si="7"/>
        <v>9.9356150149420967E-4</v>
      </c>
      <c r="M36" s="11">
        <v>1000000</v>
      </c>
      <c r="N36" s="11">
        <v>1000000</v>
      </c>
      <c r="O36" s="60">
        <v>5</v>
      </c>
      <c r="P36" s="5">
        <v>0.13339999999999999</v>
      </c>
      <c r="Q36" s="5">
        <v>0.13339999999999999</v>
      </c>
      <c r="R36" s="80">
        <f t="shared" si="9"/>
        <v>2.1446606753147868E-3</v>
      </c>
      <c r="S36" s="80">
        <f t="shared" si="10"/>
        <v>0</v>
      </c>
      <c r="T36" s="80">
        <f t="shared" si="11"/>
        <v>0</v>
      </c>
      <c r="U36" s="81">
        <f t="shared" si="12"/>
        <v>0</v>
      </c>
      <c r="V36" s="83">
        <f t="shared" si="13"/>
        <v>0</v>
      </c>
    </row>
    <row r="37" spans="1:22">
      <c r="A37" s="75">
        <v>29</v>
      </c>
      <c r="B37" s="125" t="s">
        <v>66</v>
      </c>
      <c r="C37" s="126" t="s">
        <v>67</v>
      </c>
      <c r="D37" s="9">
        <v>3036388043.54</v>
      </c>
      <c r="E37" s="3">
        <f t="shared" si="8"/>
        <v>3.3022308110418992E-3</v>
      </c>
      <c r="F37" s="8">
        <v>1</v>
      </c>
      <c r="G37" s="8">
        <v>1</v>
      </c>
      <c r="H37" s="60">
        <v>468</v>
      </c>
      <c r="I37" s="5">
        <v>0.1671</v>
      </c>
      <c r="J37" s="5">
        <v>0.1671</v>
      </c>
      <c r="K37" s="9">
        <v>3404544237.5599999</v>
      </c>
      <c r="L37" s="3">
        <f t="shared" si="7"/>
        <v>3.7026199278925196E-3</v>
      </c>
      <c r="M37" s="8">
        <v>1</v>
      </c>
      <c r="N37" s="8">
        <v>1</v>
      </c>
      <c r="O37" s="60">
        <v>475</v>
      </c>
      <c r="P37" s="5">
        <v>0.17380000000000001</v>
      </c>
      <c r="Q37" s="5">
        <v>0.17380000000000001</v>
      </c>
      <c r="R37" s="80">
        <f t="shared" si="9"/>
        <v>0.1212480713073754</v>
      </c>
      <c r="S37" s="80">
        <f t="shared" si="10"/>
        <v>0</v>
      </c>
      <c r="T37" s="80">
        <f t="shared" si="11"/>
        <v>1.4957264957264958E-2</v>
      </c>
      <c r="U37" s="81">
        <f t="shared" si="12"/>
        <v>6.7000000000000115E-3</v>
      </c>
      <c r="V37" s="83">
        <f t="shared" si="13"/>
        <v>6.7000000000000115E-3</v>
      </c>
    </row>
    <row r="38" spans="1:22">
      <c r="A38" s="75">
        <v>30</v>
      </c>
      <c r="B38" s="125" t="s">
        <v>68</v>
      </c>
      <c r="C38" s="126" t="s">
        <v>27</v>
      </c>
      <c r="D38" s="9">
        <v>206815063406.03</v>
      </c>
      <c r="E38" s="3">
        <f t="shared" si="8"/>
        <v>0.22492219860369089</v>
      </c>
      <c r="F38" s="8">
        <v>100</v>
      </c>
      <c r="G38" s="8">
        <v>100</v>
      </c>
      <c r="H38" s="60">
        <v>15429</v>
      </c>
      <c r="I38" s="5">
        <v>0.16070000000000001</v>
      </c>
      <c r="J38" s="5">
        <v>0.16070000000000001</v>
      </c>
      <c r="K38" s="9">
        <v>207484235238.29999</v>
      </c>
      <c r="L38" s="3">
        <f t="shared" si="7"/>
        <v>0.22564995797130682</v>
      </c>
      <c r="M38" s="8">
        <v>100</v>
      </c>
      <c r="N38" s="8">
        <v>100</v>
      </c>
      <c r="O38" s="60">
        <v>15459</v>
      </c>
      <c r="P38" s="5">
        <v>0.1691</v>
      </c>
      <c r="Q38" s="5">
        <v>0.1691</v>
      </c>
      <c r="R38" s="80">
        <f t="shared" si="9"/>
        <v>3.235604898644333E-3</v>
      </c>
      <c r="S38" s="80">
        <f t="shared" si="10"/>
        <v>0</v>
      </c>
      <c r="T38" s="80">
        <f t="shared" si="11"/>
        <v>1.9443904335990666E-3</v>
      </c>
      <c r="U38" s="81">
        <f t="shared" si="12"/>
        <v>8.3999999999999908E-3</v>
      </c>
      <c r="V38" s="83">
        <f t="shared" si="13"/>
        <v>8.3999999999999908E-3</v>
      </c>
    </row>
    <row r="39" spans="1:22">
      <c r="A39" s="75">
        <v>31</v>
      </c>
      <c r="B39" s="125" t="s">
        <v>69</v>
      </c>
      <c r="C39" s="126" t="s">
        <v>70</v>
      </c>
      <c r="D39" s="9">
        <v>287972619.5</v>
      </c>
      <c r="E39" s="3">
        <f t="shared" si="8"/>
        <v>3.1318528567931961E-4</v>
      </c>
      <c r="F39" s="8">
        <v>1</v>
      </c>
      <c r="G39" s="8">
        <v>1</v>
      </c>
      <c r="H39" s="61">
        <v>466</v>
      </c>
      <c r="I39" s="12">
        <v>0.13669999999999999</v>
      </c>
      <c r="J39" s="12">
        <v>0.13669999999999999</v>
      </c>
      <c r="K39" s="9">
        <v>289156947.16000003</v>
      </c>
      <c r="L39" s="3">
        <f t="shared" si="7"/>
        <v>3.1447330395403974E-4</v>
      </c>
      <c r="M39" s="8">
        <v>1</v>
      </c>
      <c r="N39" s="8">
        <v>1</v>
      </c>
      <c r="O39" s="61">
        <v>471</v>
      </c>
      <c r="P39" s="12">
        <v>0.12970000000000001</v>
      </c>
      <c r="Q39" s="12">
        <v>0.12970000000000001</v>
      </c>
      <c r="R39" s="80">
        <f t="shared" si="9"/>
        <v>4.1126398129667542E-3</v>
      </c>
      <c r="S39" s="80">
        <f t="shared" si="10"/>
        <v>0</v>
      </c>
      <c r="T39" s="80">
        <f t="shared" si="11"/>
        <v>1.0729613733905579E-2</v>
      </c>
      <c r="U39" s="81">
        <f t="shared" si="12"/>
        <v>-6.9999999999999785E-3</v>
      </c>
      <c r="V39" s="83">
        <f t="shared" si="13"/>
        <v>-6.9999999999999785E-3</v>
      </c>
    </row>
    <row r="40" spans="1:22">
      <c r="A40" s="75">
        <v>32</v>
      </c>
      <c r="B40" s="125" t="s">
        <v>71</v>
      </c>
      <c r="C40" s="126" t="s">
        <v>72</v>
      </c>
      <c r="D40" s="9">
        <v>637048486.83000004</v>
      </c>
      <c r="E40" s="3">
        <f t="shared" si="8"/>
        <v>6.9282354928688569E-4</v>
      </c>
      <c r="F40" s="8">
        <v>10</v>
      </c>
      <c r="G40" s="8">
        <v>10</v>
      </c>
      <c r="H40" s="60">
        <v>356</v>
      </c>
      <c r="I40" s="5">
        <v>9.8199999999999996E-2</v>
      </c>
      <c r="J40" s="5">
        <v>9.8199999999999996E-2</v>
      </c>
      <c r="K40" s="9">
        <v>709198800.35000002</v>
      </c>
      <c r="L40" s="3">
        <f t="shared" si="7"/>
        <v>7.7129078895309881E-4</v>
      </c>
      <c r="M40" s="8">
        <v>10</v>
      </c>
      <c r="N40" s="8">
        <v>10</v>
      </c>
      <c r="O40" s="60">
        <v>359</v>
      </c>
      <c r="P40" s="5">
        <v>0.10150000000000001</v>
      </c>
      <c r="Q40" s="5">
        <v>0.10150000000000001</v>
      </c>
      <c r="R40" s="80">
        <f t="shared" si="9"/>
        <v>0.11325717745445912</v>
      </c>
      <c r="S40" s="80">
        <f t="shared" si="10"/>
        <v>0</v>
      </c>
      <c r="T40" s="80">
        <f t="shared" si="11"/>
        <v>8.4269662921348312E-3</v>
      </c>
      <c r="U40" s="81">
        <f t="shared" si="12"/>
        <v>3.3000000000000113E-3</v>
      </c>
      <c r="V40" s="83">
        <f t="shared" si="13"/>
        <v>3.3000000000000113E-3</v>
      </c>
    </row>
    <row r="41" spans="1:22">
      <c r="A41" s="75">
        <v>33</v>
      </c>
      <c r="B41" s="125" t="s">
        <v>73</v>
      </c>
      <c r="C41" s="126" t="s">
        <v>74</v>
      </c>
      <c r="D41" s="9">
        <v>3267667369.6709924</v>
      </c>
      <c r="E41" s="3">
        <f t="shared" si="8"/>
        <v>3.5537591749253113E-3</v>
      </c>
      <c r="F41" s="8">
        <v>100</v>
      </c>
      <c r="G41" s="8">
        <v>100</v>
      </c>
      <c r="H41" s="60">
        <v>1417</v>
      </c>
      <c r="I41" s="5">
        <v>0.1313</v>
      </c>
      <c r="J41" s="5">
        <v>0.1313</v>
      </c>
      <c r="K41" s="9">
        <v>3325340639.0445485</v>
      </c>
      <c r="L41" s="3">
        <f t="shared" si="7"/>
        <v>3.6164818718823306E-3</v>
      </c>
      <c r="M41" s="8">
        <v>100</v>
      </c>
      <c r="N41" s="8">
        <v>100</v>
      </c>
      <c r="O41" s="60">
        <v>1417</v>
      </c>
      <c r="P41" s="5">
        <v>0.13600000000000001</v>
      </c>
      <c r="Q41" s="5">
        <v>0.13600000000000001</v>
      </c>
      <c r="R41" s="80">
        <f t="shared" si="9"/>
        <v>1.7649675701037777E-2</v>
      </c>
      <c r="S41" s="80">
        <f t="shared" si="10"/>
        <v>0</v>
      </c>
      <c r="T41" s="80">
        <f t="shared" si="11"/>
        <v>0</v>
      </c>
      <c r="U41" s="81">
        <f t="shared" si="12"/>
        <v>4.7000000000000097E-3</v>
      </c>
      <c r="V41" s="83">
        <f t="shared" si="13"/>
        <v>4.7000000000000097E-3</v>
      </c>
    </row>
    <row r="42" spans="1:22" ht="15.75" customHeight="1">
      <c r="A42" s="75">
        <v>34</v>
      </c>
      <c r="B42" s="125" t="s">
        <v>239</v>
      </c>
      <c r="C42" s="126" t="s">
        <v>32</v>
      </c>
      <c r="D42" s="9">
        <v>20742539480.634499</v>
      </c>
      <c r="E42" s="3">
        <f t="shared" si="8"/>
        <v>2.2558596592399581E-2</v>
      </c>
      <c r="F42" s="8">
        <v>1</v>
      </c>
      <c r="G42" s="8">
        <v>1</v>
      </c>
      <c r="H42" s="60">
        <v>11691</v>
      </c>
      <c r="I42" s="5">
        <v>0.13746293744182497</v>
      </c>
      <c r="J42" s="5">
        <v>0.13746293744182497</v>
      </c>
      <c r="K42" s="9">
        <v>21025724165.195099</v>
      </c>
      <c r="L42" s="3">
        <f t="shared" si="7"/>
        <v>2.2866574748406598E-2</v>
      </c>
      <c r="M42" s="8">
        <v>1</v>
      </c>
      <c r="N42" s="8">
        <v>1</v>
      </c>
      <c r="O42" s="60">
        <v>11522</v>
      </c>
      <c r="P42" s="5">
        <v>0.13804652454559457</v>
      </c>
      <c r="Q42" s="5">
        <v>0.13804652454559457</v>
      </c>
      <c r="R42" s="80">
        <f t="shared" si="9"/>
        <v>1.3652363290665791E-2</v>
      </c>
      <c r="S42" s="80">
        <f t="shared" si="10"/>
        <v>0</v>
      </c>
      <c r="T42" s="80">
        <f t="shared" si="11"/>
        <v>-1.4455564109143787E-2</v>
      </c>
      <c r="U42" s="81">
        <f t="shared" si="12"/>
        <v>5.8358710376960055E-4</v>
      </c>
      <c r="V42" s="83">
        <f t="shared" si="13"/>
        <v>5.8358710376960055E-4</v>
      </c>
    </row>
    <row r="43" spans="1:22">
      <c r="A43" s="75">
        <v>35</v>
      </c>
      <c r="B43" s="125" t="s">
        <v>75</v>
      </c>
      <c r="C43" s="126" t="s">
        <v>34</v>
      </c>
      <c r="D43" s="9">
        <v>3404490271.3600001</v>
      </c>
      <c r="E43" s="3">
        <f t="shared" si="8"/>
        <v>3.7025612368273993E-3</v>
      </c>
      <c r="F43" s="8">
        <v>1</v>
      </c>
      <c r="G43" s="8">
        <v>1</v>
      </c>
      <c r="H43" s="60">
        <v>849</v>
      </c>
      <c r="I43" s="5">
        <v>9.2799999999999994E-2</v>
      </c>
      <c r="J43" s="5">
        <v>9.2799999999999994E-2</v>
      </c>
      <c r="K43" s="9">
        <v>3389405701.79</v>
      </c>
      <c r="L43" s="3">
        <f t="shared" si="7"/>
        <v>3.686155978444388E-3</v>
      </c>
      <c r="M43" s="8">
        <v>1</v>
      </c>
      <c r="N43" s="8">
        <v>1</v>
      </c>
      <c r="O43" s="60">
        <v>867</v>
      </c>
      <c r="P43" s="5">
        <v>0.1384</v>
      </c>
      <c r="Q43" s="5">
        <v>9.7199999999999995E-2</v>
      </c>
      <c r="R43" s="80">
        <f t="shared" si="9"/>
        <v>-4.4307865106556175E-3</v>
      </c>
      <c r="S43" s="80">
        <f t="shared" si="10"/>
        <v>0</v>
      </c>
      <c r="T43" s="80">
        <f t="shared" si="11"/>
        <v>2.1201413427561839E-2</v>
      </c>
      <c r="U43" s="81">
        <f t="shared" si="12"/>
        <v>4.5600000000000002E-2</v>
      </c>
      <c r="V43" s="83">
        <f t="shared" si="13"/>
        <v>4.4000000000000011E-3</v>
      </c>
    </row>
    <row r="44" spans="1:22">
      <c r="A44" s="75">
        <v>36</v>
      </c>
      <c r="B44" s="125" t="s">
        <v>76</v>
      </c>
      <c r="C44" s="126" t="s">
        <v>36</v>
      </c>
      <c r="D44" s="13">
        <v>4027196780.9299998</v>
      </c>
      <c r="E44" s="3">
        <f t="shared" si="8"/>
        <v>4.3797871357085681E-3</v>
      </c>
      <c r="F44" s="8">
        <v>10</v>
      </c>
      <c r="G44" s="8">
        <v>10</v>
      </c>
      <c r="H44" s="60">
        <v>1990</v>
      </c>
      <c r="I44" s="5">
        <v>0.1769</v>
      </c>
      <c r="J44" s="5">
        <v>0.1769</v>
      </c>
      <c r="K44" s="13">
        <v>4269020313.0300002</v>
      </c>
      <c r="L44" s="3">
        <f t="shared" si="7"/>
        <v>4.6427828750820492E-3</v>
      </c>
      <c r="M44" s="8">
        <v>10</v>
      </c>
      <c r="N44" s="8">
        <v>10</v>
      </c>
      <c r="O44" s="60">
        <v>1921</v>
      </c>
      <c r="P44" s="5">
        <v>0.1787</v>
      </c>
      <c r="Q44" s="5">
        <v>0.1787</v>
      </c>
      <c r="R44" s="80">
        <f t="shared" si="9"/>
        <v>6.0047607617563725E-2</v>
      </c>
      <c r="S44" s="80">
        <f t="shared" si="10"/>
        <v>0</v>
      </c>
      <c r="T44" s="80">
        <f t="shared" si="11"/>
        <v>-3.4673366834170855E-2</v>
      </c>
      <c r="U44" s="81">
        <f t="shared" si="12"/>
        <v>1.799999999999996E-3</v>
      </c>
      <c r="V44" s="83">
        <f t="shared" si="13"/>
        <v>1.799999999999996E-3</v>
      </c>
    </row>
    <row r="45" spans="1:22">
      <c r="A45" s="75">
        <v>37</v>
      </c>
      <c r="B45" s="125" t="s">
        <v>77</v>
      </c>
      <c r="C45" s="126" t="s">
        <v>78</v>
      </c>
      <c r="D45" s="9">
        <v>4132477901.25</v>
      </c>
      <c r="E45" s="3">
        <f t="shared" si="8"/>
        <v>4.4942858606266088E-3</v>
      </c>
      <c r="F45" s="8">
        <v>100</v>
      </c>
      <c r="G45" s="8">
        <v>100</v>
      </c>
      <c r="H45" s="60">
        <v>2099</v>
      </c>
      <c r="I45" s="5">
        <v>0.13739999999999999</v>
      </c>
      <c r="J45" s="5">
        <v>0.13739999999999999</v>
      </c>
      <c r="K45" s="9">
        <v>4116501856.3400002</v>
      </c>
      <c r="L45" s="3">
        <f t="shared" si="7"/>
        <v>4.4769110761840765E-3</v>
      </c>
      <c r="M45" s="8">
        <v>100</v>
      </c>
      <c r="N45" s="8">
        <v>100</v>
      </c>
      <c r="O45" s="60">
        <v>2106</v>
      </c>
      <c r="P45" s="5">
        <v>0.16900000000000001</v>
      </c>
      <c r="Q45" s="5">
        <v>0.16900000000000001</v>
      </c>
      <c r="R45" s="80">
        <f t="shared" si="9"/>
        <v>-3.8659722548467549E-3</v>
      </c>
      <c r="S45" s="80">
        <f t="shared" si="10"/>
        <v>0</v>
      </c>
      <c r="T45" s="80">
        <f t="shared" si="11"/>
        <v>3.3349213911386373E-3</v>
      </c>
      <c r="U45" s="81">
        <f t="shared" si="12"/>
        <v>3.1600000000000017E-2</v>
      </c>
      <c r="V45" s="83">
        <f t="shared" si="13"/>
        <v>3.1600000000000017E-2</v>
      </c>
    </row>
    <row r="46" spans="1:22">
      <c r="A46" s="75">
        <v>38</v>
      </c>
      <c r="B46" s="125" t="s">
        <v>79</v>
      </c>
      <c r="C46" s="126" t="s">
        <v>80</v>
      </c>
      <c r="D46" s="9">
        <v>151095652.41999999</v>
      </c>
      <c r="E46" s="3">
        <f t="shared" si="8"/>
        <v>1.6432442483671917E-4</v>
      </c>
      <c r="F46" s="8">
        <v>1</v>
      </c>
      <c r="G46" s="8">
        <v>1</v>
      </c>
      <c r="H46" s="60">
        <v>61</v>
      </c>
      <c r="I46" s="5">
        <v>5.3800000000000001E-2</v>
      </c>
      <c r="J46" s="5">
        <v>5.3800000000000001E-2</v>
      </c>
      <c r="K46" s="9">
        <v>152903265.22</v>
      </c>
      <c r="L46" s="3">
        <f t="shared" si="7"/>
        <v>1.6629029830117747E-4</v>
      </c>
      <c r="M46" s="8">
        <v>1</v>
      </c>
      <c r="N46" s="8">
        <v>1</v>
      </c>
      <c r="O46" s="60">
        <v>70</v>
      </c>
      <c r="P46" s="5">
        <v>0.1137</v>
      </c>
      <c r="Q46" s="5">
        <v>0.1137</v>
      </c>
      <c r="R46" s="80">
        <f t="shared" si="9"/>
        <v>1.1963367383830461E-2</v>
      </c>
      <c r="S46" s="80">
        <f t="shared" si="10"/>
        <v>0</v>
      </c>
      <c r="T46" s="80">
        <f t="shared" si="11"/>
        <v>0.14754098360655737</v>
      </c>
      <c r="U46" s="81">
        <f t="shared" si="12"/>
        <v>5.9899999999999995E-2</v>
      </c>
      <c r="V46" s="83">
        <f t="shared" si="13"/>
        <v>5.9899999999999995E-2</v>
      </c>
    </row>
    <row r="47" spans="1:22">
      <c r="A47" s="75">
        <v>39</v>
      </c>
      <c r="B47" s="125" t="s">
        <v>81</v>
      </c>
      <c r="C47" s="126" t="s">
        <v>38</v>
      </c>
      <c r="D47" s="13">
        <v>667285300.36000001</v>
      </c>
      <c r="E47" s="3">
        <f t="shared" si="8"/>
        <v>7.2570766549163957E-4</v>
      </c>
      <c r="F47" s="8">
        <v>10</v>
      </c>
      <c r="G47" s="8">
        <v>10</v>
      </c>
      <c r="H47" s="60">
        <v>655</v>
      </c>
      <c r="I47" s="5">
        <v>0</v>
      </c>
      <c r="J47" s="5">
        <v>0</v>
      </c>
      <c r="K47" s="13">
        <v>677826448.78999996</v>
      </c>
      <c r="L47" s="3">
        <f t="shared" si="7"/>
        <v>7.3717171574811768E-4</v>
      </c>
      <c r="M47" s="8">
        <v>10</v>
      </c>
      <c r="N47" s="8">
        <v>10</v>
      </c>
      <c r="O47" s="60">
        <v>665</v>
      </c>
      <c r="P47" s="5">
        <v>0</v>
      </c>
      <c r="Q47" s="5">
        <v>0</v>
      </c>
      <c r="R47" s="80">
        <f t="shared" si="9"/>
        <v>1.5797063751161616E-2</v>
      </c>
      <c r="S47" s="80">
        <f t="shared" si="10"/>
        <v>0</v>
      </c>
      <c r="T47" s="80">
        <f t="shared" si="11"/>
        <v>1.5267175572519083E-2</v>
      </c>
      <c r="U47" s="81">
        <f t="shared" si="12"/>
        <v>0</v>
      </c>
      <c r="V47" s="83">
        <f t="shared" si="13"/>
        <v>0</v>
      </c>
    </row>
    <row r="48" spans="1:22">
      <c r="A48" s="75">
        <v>40</v>
      </c>
      <c r="B48" s="125" t="s">
        <v>247</v>
      </c>
      <c r="C48" s="126" t="s">
        <v>248</v>
      </c>
      <c r="D48" s="13">
        <v>572553683.79999995</v>
      </c>
      <c r="E48" s="3">
        <f t="shared" si="8"/>
        <v>6.226820776884652E-4</v>
      </c>
      <c r="F48" s="8">
        <v>1</v>
      </c>
      <c r="G48" s="8">
        <v>1</v>
      </c>
      <c r="H48" s="60">
        <v>38</v>
      </c>
      <c r="I48" s="5">
        <v>0.1464</v>
      </c>
      <c r="J48" s="5">
        <v>0.1464</v>
      </c>
      <c r="K48" s="13">
        <v>573264795.49000001</v>
      </c>
      <c r="L48" s="3">
        <f t="shared" si="7"/>
        <v>6.2345544884496345E-4</v>
      </c>
      <c r="M48" s="8">
        <v>1</v>
      </c>
      <c r="N48" s="8">
        <v>1</v>
      </c>
      <c r="O48" s="60">
        <v>38</v>
      </c>
      <c r="P48" s="5">
        <v>0.1749</v>
      </c>
      <c r="Q48" s="5">
        <v>0.1749</v>
      </c>
      <c r="R48" s="80">
        <f t="shared" si="9"/>
        <v>1.2420000257101782E-3</v>
      </c>
      <c r="S48" s="80">
        <f t="shared" si="10"/>
        <v>0</v>
      </c>
      <c r="T48" s="80">
        <f t="shared" si="11"/>
        <v>0</v>
      </c>
      <c r="U48" s="81">
        <f t="shared" si="12"/>
        <v>2.8499999999999998E-2</v>
      </c>
      <c r="V48" s="83">
        <f t="shared" si="13"/>
        <v>2.8499999999999998E-2</v>
      </c>
    </row>
    <row r="49" spans="1:22">
      <c r="A49" s="75">
        <v>41</v>
      </c>
      <c r="B49" s="125" t="s">
        <v>82</v>
      </c>
      <c r="C49" s="126" t="s">
        <v>42</v>
      </c>
      <c r="D49" s="9">
        <v>413663626503.95001</v>
      </c>
      <c r="E49" s="3">
        <f t="shared" si="8"/>
        <v>0.44988082987446293</v>
      </c>
      <c r="F49" s="8">
        <v>100</v>
      </c>
      <c r="G49" s="8">
        <v>100</v>
      </c>
      <c r="H49" s="60">
        <v>116735</v>
      </c>
      <c r="I49" s="5">
        <v>0.14599999999999999</v>
      </c>
      <c r="J49" s="5">
        <v>0.14599999999999999</v>
      </c>
      <c r="K49" s="9">
        <v>409880149472.54999</v>
      </c>
      <c r="L49" s="3">
        <f t="shared" si="7"/>
        <v>0.44576610071376177</v>
      </c>
      <c r="M49" s="8">
        <v>100</v>
      </c>
      <c r="N49" s="8">
        <v>100</v>
      </c>
      <c r="O49" s="60">
        <v>117138</v>
      </c>
      <c r="P49" s="5">
        <v>0.155</v>
      </c>
      <c r="Q49" s="5">
        <v>0.155</v>
      </c>
      <c r="R49" s="80">
        <f t="shared" si="9"/>
        <v>-9.1462647160346754E-3</v>
      </c>
      <c r="S49" s="80">
        <f t="shared" si="10"/>
        <v>0</v>
      </c>
      <c r="T49" s="80">
        <f t="shared" si="11"/>
        <v>3.4522636741337216E-3</v>
      </c>
      <c r="U49" s="81">
        <f t="shared" si="12"/>
        <v>9.000000000000008E-3</v>
      </c>
      <c r="V49" s="83">
        <f t="shared" si="13"/>
        <v>9.000000000000008E-3</v>
      </c>
    </row>
    <row r="50" spans="1:22">
      <c r="A50" s="75">
        <v>42</v>
      </c>
      <c r="B50" s="125" t="s">
        <v>83</v>
      </c>
      <c r="C50" s="126" t="s">
        <v>84</v>
      </c>
      <c r="D50" s="9">
        <v>3157134747.04</v>
      </c>
      <c r="E50" s="3">
        <f t="shared" si="8"/>
        <v>3.4335491665721672E-3</v>
      </c>
      <c r="F50" s="8">
        <v>1</v>
      </c>
      <c r="G50" s="8">
        <v>1</v>
      </c>
      <c r="H50" s="60">
        <v>323</v>
      </c>
      <c r="I50" s="5">
        <v>0.15353857160000001</v>
      </c>
      <c r="J50" s="5">
        <v>0.15353857160000001</v>
      </c>
      <c r="K50" s="9">
        <v>3088257776.1100001</v>
      </c>
      <c r="L50" s="3">
        <f t="shared" si="7"/>
        <v>3.3586418581798214E-3</v>
      </c>
      <c r="M50" s="8">
        <v>1</v>
      </c>
      <c r="N50" s="8">
        <v>1</v>
      </c>
      <c r="O50" s="60">
        <v>325</v>
      </c>
      <c r="P50" s="5">
        <v>0.15367229289999998</v>
      </c>
      <c r="Q50" s="5">
        <v>0.15367229289999998</v>
      </c>
      <c r="R50" s="80">
        <f t="shared" si="9"/>
        <v>-2.1816291178124739E-2</v>
      </c>
      <c r="S50" s="80">
        <f t="shared" si="10"/>
        <v>0</v>
      </c>
      <c r="T50" s="80">
        <f t="shared" si="11"/>
        <v>6.1919504643962852E-3</v>
      </c>
      <c r="U50" s="81">
        <f t="shared" si="12"/>
        <v>1.3372129999997262E-4</v>
      </c>
      <c r="V50" s="83">
        <f t="shared" si="13"/>
        <v>1.3372129999997262E-4</v>
      </c>
    </row>
    <row r="51" spans="1:22">
      <c r="A51" s="75">
        <v>43</v>
      </c>
      <c r="B51" s="125" t="s">
        <v>85</v>
      </c>
      <c r="C51" s="126" t="s">
        <v>45</v>
      </c>
      <c r="D51" s="9">
        <v>36972477932.470001</v>
      </c>
      <c r="E51" s="3">
        <f t="shared" si="8"/>
        <v>4.0209503541196762E-2</v>
      </c>
      <c r="F51" s="8">
        <v>1</v>
      </c>
      <c r="G51" s="8">
        <v>1</v>
      </c>
      <c r="H51" s="60">
        <v>20506</v>
      </c>
      <c r="I51" s="5">
        <v>0.1318</v>
      </c>
      <c r="J51" s="5">
        <v>0.1318</v>
      </c>
      <c r="K51" s="9">
        <v>39134330372.940002</v>
      </c>
      <c r="L51" s="3">
        <f t="shared" si="7"/>
        <v>4.2560631142635731E-2</v>
      </c>
      <c r="M51" s="8">
        <v>1</v>
      </c>
      <c r="N51" s="8">
        <v>1</v>
      </c>
      <c r="O51" s="60">
        <v>20621</v>
      </c>
      <c r="P51" s="5">
        <v>0.1176</v>
      </c>
      <c r="Q51" s="5">
        <v>0.1176</v>
      </c>
      <c r="R51" s="80">
        <f t="shared" si="9"/>
        <v>5.8471938083744644E-2</v>
      </c>
      <c r="S51" s="80">
        <f t="shared" si="10"/>
        <v>0</v>
      </c>
      <c r="T51" s="80">
        <f t="shared" si="11"/>
        <v>5.6081146981371306E-3</v>
      </c>
      <c r="U51" s="81">
        <f t="shared" si="12"/>
        <v>-1.4200000000000004E-2</v>
      </c>
      <c r="V51" s="83">
        <f t="shared" si="13"/>
        <v>-1.4200000000000004E-2</v>
      </c>
    </row>
    <row r="52" spans="1:22">
      <c r="A52" s="75">
        <v>44</v>
      </c>
      <c r="B52" s="125" t="s">
        <v>86</v>
      </c>
      <c r="C52" s="126" t="s">
        <v>87</v>
      </c>
      <c r="D52" s="9">
        <v>1380659334.7799997</v>
      </c>
      <c r="E52" s="3">
        <f t="shared" si="8"/>
        <v>1.5015392398751771E-3</v>
      </c>
      <c r="F52" s="8">
        <v>1</v>
      </c>
      <c r="G52" s="8">
        <v>1</v>
      </c>
      <c r="H52" s="60">
        <v>78</v>
      </c>
      <c r="I52" s="5">
        <v>0.1303</v>
      </c>
      <c r="J52" s="5">
        <v>0.1303</v>
      </c>
      <c r="K52" s="9">
        <v>1383199071.3</v>
      </c>
      <c r="L52" s="3">
        <f t="shared" si="7"/>
        <v>1.5043013361777614E-3</v>
      </c>
      <c r="M52" s="8">
        <v>1</v>
      </c>
      <c r="N52" s="8">
        <v>1</v>
      </c>
      <c r="O52" s="60">
        <v>79</v>
      </c>
      <c r="P52" s="5">
        <v>0.13439999999999999</v>
      </c>
      <c r="Q52" s="5">
        <v>0.13439999999999999</v>
      </c>
      <c r="R52" s="80">
        <f t="shared" si="9"/>
        <v>1.8395099037264771E-3</v>
      </c>
      <c r="S52" s="80">
        <f t="shared" si="10"/>
        <v>0</v>
      </c>
      <c r="T52" s="80">
        <f t="shared" si="11"/>
        <v>1.282051282051282E-2</v>
      </c>
      <c r="U52" s="81">
        <f t="shared" si="12"/>
        <v>4.0999999999999925E-3</v>
      </c>
      <c r="V52" s="83">
        <f t="shared" si="13"/>
        <v>4.0999999999999925E-3</v>
      </c>
    </row>
    <row r="53" spans="1:22">
      <c r="A53" s="75">
        <v>45</v>
      </c>
      <c r="B53" s="125" t="s">
        <v>88</v>
      </c>
      <c r="C53" s="126" t="s">
        <v>89</v>
      </c>
      <c r="D53" s="9">
        <v>910396829.16999996</v>
      </c>
      <c r="E53" s="3">
        <f t="shared" si="8"/>
        <v>9.9010416865396873E-4</v>
      </c>
      <c r="F53" s="8">
        <v>1</v>
      </c>
      <c r="G53" s="8">
        <v>1</v>
      </c>
      <c r="H53" s="60">
        <v>213</v>
      </c>
      <c r="I53" s="5">
        <v>0.1128</v>
      </c>
      <c r="J53" s="5">
        <v>0.1128</v>
      </c>
      <c r="K53" s="9">
        <v>915687989.36000001</v>
      </c>
      <c r="L53" s="3">
        <f t="shared" si="7"/>
        <v>9.9585858210673875E-4</v>
      </c>
      <c r="M53" s="8">
        <v>1</v>
      </c>
      <c r="N53" s="8">
        <v>1</v>
      </c>
      <c r="O53" s="60">
        <v>213</v>
      </c>
      <c r="P53" s="5">
        <v>0.12909999999999999</v>
      </c>
      <c r="Q53" s="5">
        <v>0.12909999999999999</v>
      </c>
      <c r="R53" s="80">
        <f t="shared" si="9"/>
        <v>5.8119273051774108E-3</v>
      </c>
      <c r="S53" s="80">
        <f t="shared" si="10"/>
        <v>0</v>
      </c>
      <c r="T53" s="80">
        <f t="shared" si="11"/>
        <v>0</v>
      </c>
      <c r="U53" s="81">
        <f t="shared" si="12"/>
        <v>1.6299999999999995E-2</v>
      </c>
      <c r="V53" s="83">
        <f t="shared" si="13"/>
        <v>1.6299999999999995E-2</v>
      </c>
    </row>
    <row r="54" spans="1:22">
      <c r="A54" s="75">
        <v>46</v>
      </c>
      <c r="B54" s="125" t="s">
        <v>260</v>
      </c>
      <c r="C54" s="126" t="s">
        <v>261</v>
      </c>
      <c r="D54" s="9">
        <v>494408057.82999998</v>
      </c>
      <c r="E54" s="3">
        <f t="shared" si="8"/>
        <v>5.3769462215711144E-4</v>
      </c>
      <c r="F54" s="8">
        <v>0</v>
      </c>
      <c r="G54" s="8">
        <v>0</v>
      </c>
      <c r="H54" s="60">
        <v>363</v>
      </c>
      <c r="I54" s="5">
        <v>0.16569999999999999</v>
      </c>
      <c r="J54" s="5">
        <v>0.16569999999999999</v>
      </c>
      <c r="K54" s="9">
        <v>505907754.76999998</v>
      </c>
      <c r="L54" s="3">
        <f t="shared" si="7"/>
        <v>5.502011440536471E-4</v>
      </c>
      <c r="M54" s="8">
        <v>1</v>
      </c>
      <c r="N54" s="8">
        <v>1</v>
      </c>
      <c r="O54" s="60">
        <v>363</v>
      </c>
      <c r="P54" s="5">
        <v>0.16689999999999999</v>
      </c>
      <c r="Q54" s="5">
        <v>0.16689999999999999</v>
      </c>
      <c r="R54" s="80">
        <f t="shared" si="9"/>
        <v>2.3259525725517437E-2</v>
      </c>
      <c r="S54" s="80" t="e">
        <f t="shared" si="10"/>
        <v>#DIV/0!</v>
      </c>
      <c r="T54" s="80">
        <f t="shared" si="11"/>
        <v>0</v>
      </c>
      <c r="U54" s="81">
        <f t="shared" si="12"/>
        <v>1.2000000000000066E-3</v>
      </c>
      <c r="V54" s="83">
        <f t="shared" si="13"/>
        <v>1.2000000000000066E-3</v>
      </c>
    </row>
    <row r="55" spans="1:22">
      <c r="A55" s="75">
        <v>47</v>
      </c>
      <c r="B55" s="125" t="s">
        <v>90</v>
      </c>
      <c r="C55" s="126" t="s">
        <v>91</v>
      </c>
      <c r="D55" s="9">
        <v>27590518220.27</v>
      </c>
      <c r="E55" s="3">
        <f t="shared" si="8"/>
        <v>3.0006131644941796E-2</v>
      </c>
      <c r="F55" s="8">
        <v>1</v>
      </c>
      <c r="G55" s="8">
        <v>1</v>
      </c>
      <c r="H55" s="60">
        <v>3312</v>
      </c>
      <c r="I55" s="5">
        <v>0.1444</v>
      </c>
      <c r="J55" s="5">
        <v>0.1444</v>
      </c>
      <c r="K55" s="9">
        <v>27972928053.799999</v>
      </c>
      <c r="L55" s="3">
        <f t="shared" si="7"/>
        <v>3.0422022340274635E-2</v>
      </c>
      <c r="M55" s="8">
        <v>1</v>
      </c>
      <c r="N55" s="8">
        <v>1</v>
      </c>
      <c r="O55" s="60">
        <v>3322</v>
      </c>
      <c r="P55" s="5">
        <v>0.1472</v>
      </c>
      <c r="Q55" s="5">
        <v>0.1472</v>
      </c>
      <c r="R55" s="80">
        <f t="shared" si="9"/>
        <v>1.3860190318899219E-2</v>
      </c>
      <c r="S55" s="80">
        <f t="shared" si="10"/>
        <v>0</v>
      </c>
      <c r="T55" s="80">
        <f t="shared" si="11"/>
        <v>3.0193236714975845E-3</v>
      </c>
      <c r="U55" s="81">
        <f t="shared" si="12"/>
        <v>2.7999999999999969E-3</v>
      </c>
      <c r="V55" s="83">
        <f t="shared" si="13"/>
        <v>2.7999999999999969E-3</v>
      </c>
    </row>
    <row r="56" spans="1:22">
      <c r="A56" s="75"/>
      <c r="B56" s="19"/>
      <c r="C56" s="71" t="s">
        <v>46</v>
      </c>
      <c r="D56" s="59">
        <f>SUM(D25:D55)</f>
        <v>920023842595.84558</v>
      </c>
      <c r="E56" s="100">
        <f>(D56/$D$186)</f>
        <v>0.33742650575577254</v>
      </c>
      <c r="F56" s="30"/>
      <c r="G56" s="11"/>
      <c r="H56" s="65">
        <f>SUM(H25:H55)</f>
        <v>279726</v>
      </c>
      <c r="I56" s="32"/>
      <c r="J56" s="32"/>
      <c r="K56" s="59">
        <f>SUM(K25:K55)</f>
        <v>919496006574.40955</v>
      </c>
      <c r="L56" s="100">
        <f>(K56/$K$186)</f>
        <v>0.34765549227845177</v>
      </c>
      <c r="M56" s="30"/>
      <c r="N56" s="11"/>
      <c r="O56" s="65">
        <f>SUM(O25:O55)</f>
        <v>280431</v>
      </c>
      <c r="P56" s="32"/>
      <c r="Q56" s="32"/>
      <c r="R56" s="80">
        <f t="shared" si="9"/>
        <v>-5.7371993746025839E-4</v>
      </c>
      <c r="S56" s="80" t="e">
        <f t="shared" si="10"/>
        <v>#DIV/0!</v>
      </c>
      <c r="T56" s="80">
        <f t="shared" si="11"/>
        <v>2.5203234593852556E-3</v>
      </c>
      <c r="U56" s="81">
        <f t="shared" si="12"/>
        <v>0</v>
      </c>
      <c r="V56" s="83">
        <f t="shared" si="13"/>
        <v>0</v>
      </c>
    </row>
    <row r="57" spans="1:22" ht="9" customHeight="1">
      <c r="A57" s="141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</row>
    <row r="58" spans="1:22" ht="15" customHeight="1">
      <c r="A58" s="139" t="s">
        <v>92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</row>
    <row r="59" spans="1:22">
      <c r="A59" s="75">
        <v>48</v>
      </c>
      <c r="B59" s="125" t="s">
        <v>93</v>
      </c>
      <c r="C59" s="126" t="s">
        <v>19</v>
      </c>
      <c r="D59" s="2">
        <v>427158028.89999998</v>
      </c>
      <c r="E59" s="3">
        <f>(D59/$D$93)</f>
        <v>1.5807733168289805E-3</v>
      </c>
      <c r="F59" s="14">
        <v>1.1638999999999999</v>
      </c>
      <c r="G59" s="14">
        <v>1.1638999999999999</v>
      </c>
      <c r="H59" s="60">
        <v>400</v>
      </c>
      <c r="I59" s="5">
        <v>-1.6560999999999999E-2</v>
      </c>
      <c r="J59" s="5">
        <v>-9.0800000000000006E-2</v>
      </c>
      <c r="K59" s="2">
        <v>433893661.26999998</v>
      </c>
      <c r="L59" s="3">
        <f t="shared" ref="L59:L79" si="14">(K59/$K$93)</f>
        <v>1.5972014400367348E-3</v>
      </c>
      <c r="M59" s="14">
        <v>1.1821999999999999</v>
      </c>
      <c r="N59" s="14">
        <v>1.1821999999999999</v>
      </c>
      <c r="O59" s="60">
        <v>400</v>
      </c>
      <c r="P59" s="5">
        <v>3.3799999999999998E-4</v>
      </c>
      <c r="Q59" s="5">
        <v>-7.6499999999999999E-2</v>
      </c>
      <c r="R59" s="80">
        <f>((K59-D59)/D59)</f>
        <v>1.5768478910124509E-2</v>
      </c>
      <c r="S59" s="80">
        <f>((N59-G59)/G59)</f>
        <v>1.572300025775409E-2</v>
      </c>
      <c r="T59" s="80">
        <f>((O59-H59)/H59)</f>
        <v>0</v>
      </c>
      <c r="U59" s="81">
        <f>P59-I59</f>
        <v>1.6899000000000001E-2</v>
      </c>
      <c r="V59" s="83">
        <f>Q59-J59</f>
        <v>1.4300000000000007E-2</v>
      </c>
    </row>
    <row r="60" spans="1:22">
      <c r="A60" s="75">
        <v>49</v>
      </c>
      <c r="B60" s="125" t="s">
        <v>94</v>
      </c>
      <c r="C60" s="126" t="s">
        <v>21</v>
      </c>
      <c r="D60" s="2">
        <v>1387916950.77</v>
      </c>
      <c r="E60" s="3">
        <f>(D60/$D$93)</f>
        <v>5.1362304658107713E-3</v>
      </c>
      <c r="F60" s="14">
        <v>1.1043000000000001</v>
      </c>
      <c r="G60" s="14">
        <v>1.1043000000000001</v>
      </c>
      <c r="H60" s="60">
        <v>592</v>
      </c>
      <c r="I60" s="5">
        <v>-1.89E-2</v>
      </c>
      <c r="J60" s="5">
        <v>-0.21510000000000001</v>
      </c>
      <c r="K60" s="2">
        <v>1377290701.02</v>
      </c>
      <c r="L60" s="3">
        <f t="shared" si="14"/>
        <v>5.0699304630990377E-3</v>
      </c>
      <c r="M60" s="14">
        <v>1.1077999999999999</v>
      </c>
      <c r="N60" s="14">
        <v>1.1077999999999999</v>
      </c>
      <c r="O60" s="60">
        <v>601</v>
      </c>
      <c r="P60" s="5">
        <v>0.16569999999999999</v>
      </c>
      <c r="Q60" s="5">
        <v>-0.1857</v>
      </c>
      <c r="R60" s="80">
        <f t="shared" ref="R60:R93" si="15">((K60-D60)/D60)</f>
        <v>-7.6562576342227694E-3</v>
      </c>
      <c r="S60" s="80">
        <f t="shared" ref="S60:S93" si="16">((N60-G60)/G60)</f>
        <v>3.1694285973013097E-3</v>
      </c>
      <c r="T60" s="80">
        <f t="shared" ref="T60:T93" si="17">((O60-H60)/H60)</f>
        <v>1.5202702702702704E-2</v>
      </c>
      <c r="U60" s="81">
        <f t="shared" ref="U60:U93" si="18">P60-I60</f>
        <v>0.18459999999999999</v>
      </c>
      <c r="V60" s="83">
        <f t="shared" ref="V60:V93" si="19">Q60-J60</f>
        <v>2.9400000000000009E-2</v>
      </c>
    </row>
    <row r="61" spans="1:22">
      <c r="A61" s="75">
        <v>50</v>
      </c>
      <c r="B61" s="125" t="s">
        <v>95</v>
      </c>
      <c r="C61" s="126" t="s">
        <v>21</v>
      </c>
      <c r="D61" s="2">
        <v>903785882.35000002</v>
      </c>
      <c r="E61" s="3">
        <f>(D61/$D$93)</f>
        <v>3.3446184088467136E-3</v>
      </c>
      <c r="F61" s="14">
        <v>1.0228999999999999</v>
      </c>
      <c r="G61" s="14">
        <v>1.0228999999999999</v>
      </c>
      <c r="H61" s="60">
        <v>146</v>
      </c>
      <c r="I61" s="5">
        <v>8.1900000000000001E-2</v>
      </c>
      <c r="J61" s="5">
        <v>-0.1973</v>
      </c>
      <c r="K61" s="2">
        <v>906067602.38</v>
      </c>
      <c r="L61" s="3">
        <f t="shared" si="14"/>
        <v>3.335316019727314E-3</v>
      </c>
      <c r="M61" s="14">
        <v>1.0251999999999999</v>
      </c>
      <c r="N61" s="14">
        <v>1.0251999999999999</v>
      </c>
      <c r="O61" s="60">
        <v>151</v>
      </c>
      <c r="P61" s="5">
        <v>0.1176</v>
      </c>
      <c r="Q61" s="5">
        <v>-0.1729</v>
      </c>
      <c r="R61" s="80">
        <f t="shared" si="15"/>
        <v>2.5246245538457666E-3</v>
      </c>
      <c r="S61" s="80">
        <f t="shared" si="16"/>
        <v>2.248509140678433E-3</v>
      </c>
      <c r="T61" s="80">
        <f t="shared" si="17"/>
        <v>3.4246575342465752E-2</v>
      </c>
      <c r="U61" s="81">
        <f t="shared" si="18"/>
        <v>3.5699999999999996E-2</v>
      </c>
      <c r="V61" s="83">
        <f t="shared" si="19"/>
        <v>2.4400000000000005E-2</v>
      </c>
    </row>
    <row r="62" spans="1:22">
      <c r="A62" s="75">
        <v>51</v>
      </c>
      <c r="B62" s="125" t="s">
        <v>96</v>
      </c>
      <c r="C62" s="126" t="s">
        <v>97</v>
      </c>
      <c r="D62" s="2">
        <v>258079856.99000001</v>
      </c>
      <c r="E62" s="3">
        <f>(D62/$D$93)</f>
        <v>9.5506984286683819E-4</v>
      </c>
      <c r="F62" s="7">
        <v>1096.3599999999999</v>
      </c>
      <c r="G62" s="7">
        <v>1096.3599999999999</v>
      </c>
      <c r="H62" s="60">
        <v>112</v>
      </c>
      <c r="I62" s="5">
        <v>-2.6426999999999999E-2</v>
      </c>
      <c r="J62" s="5">
        <v>-1.9800000000000002E-2</v>
      </c>
      <c r="K62" s="2">
        <v>264097012.62</v>
      </c>
      <c r="L62" s="3">
        <f t="shared" si="14"/>
        <v>9.7216476413002789E-4</v>
      </c>
      <c r="M62" s="7">
        <v>1122.96</v>
      </c>
      <c r="N62" s="7">
        <v>1122.96</v>
      </c>
      <c r="O62" s="60">
        <v>112</v>
      </c>
      <c r="P62" s="5">
        <v>5.3E-3</v>
      </c>
      <c r="Q62" s="5">
        <v>3.7000000000000002E-3</v>
      </c>
      <c r="R62" s="80">
        <f t="shared" si="15"/>
        <v>2.3315092081103973E-2</v>
      </c>
      <c r="S62" s="80">
        <f t="shared" si="16"/>
        <v>2.4262103688569573E-2</v>
      </c>
      <c r="T62" s="80">
        <f t="shared" si="17"/>
        <v>0</v>
      </c>
      <c r="U62" s="81">
        <f t="shared" si="18"/>
        <v>3.1726999999999998E-2</v>
      </c>
      <c r="V62" s="83">
        <f t="shared" si="19"/>
        <v>2.35E-2</v>
      </c>
    </row>
    <row r="63" spans="1:22" ht="15" customHeight="1">
      <c r="A63" s="75">
        <v>52</v>
      </c>
      <c r="B63" s="125" t="s">
        <v>98</v>
      </c>
      <c r="C63" s="126" t="s">
        <v>99</v>
      </c>
      <c r="D63" s="2">
        <v>1626559433.6400001</v>
      </c>
      <c r="E63" s="3">
        <f>(D63/$K$93)</f>
        <v>5.9875110000708592E-3</v>
      </c>
      <c r="F63" s="7">
        <v>1.0375000000000001</v>
      </c>
      <c r="G63" s="7">
        <v>1.0375000000000001</v>
      </c>
      <c r="H63" s="60">
        <v>833</v>
      </c>
      <c r="I63" s="5">
        <v>2.2000000000000001E-3</v>
      </c>
      <c r="J63" s="5">
        <v>2.01E-2</v>
      </c>
      <c r="K63" s="2">
        <v>1634633490.49</v>
      </c>
      <c r="L63" s="3">
        <f t="shared" si="14"/>
        <v>6.0172323266973237E-3</v>
      </c>
      <c r="M63" s="7">
        <v>1.0391999999999999</v>
      </c>
      <c r="N63" s="7">
        <v>1.0391999999999999</v>
      </c>
      <c r="O63" s="60">
        <v>834</v>
      </c>
      <c r="P63" s="5">
        <v>1.6000000000000001E-3</v>
      </c>
      <c r="Q63" s="5">
        <v>2.18E-2</v>
      </c>
      <c r="R63" s="80">
        <f t="shared" si="15"/>
        <v>4.9638867679930735E-3</v>
      </c>
      <c r="S63" s="80">
        <f t="shared" si="16"/>
        <v>1.6385542168672893E-3</v>
      </c>
      <c r="T63" s="80">
        <f t="shared" si="17"/>
        <v>1.2004801920768306E-3</v>
      </c>
      <c r="U63" s="81">
        <f t="shared" si="18"/>
        <v>-6.0000000000000006E-4</v>
      </c>
      <c r="V63" s="83">
        <v>7.87</v>
      </c>
    </row>
    <row r="64" spans="1:22">
      <c r="A64" s="75">
        <v>53</v>
      </c>
      <c r="B64" s="125" t="s">
        <v>100</v>
      </c>
      <c r="C64" s="126" t="s">
        <v>101</v>
      </c>
      <c r="D64" s="2">
        <v>402362182.38</v>
      </c>
      <c r="E64" s="3">
        <f t="shared" ref="E64:E79" si="20">(D64/$D$93)</f>
        <v>1.4890119313577998E-3</v>
      </c>
      <c r="F64" s="7">
        <v>2.2824</v>
      </c>
      <c r="G64" s="7">
        <v>2.2824</v>
      </c>
      <c r="H64" s="60">
        <v>1398</v>
      </c>
      <c r="I64" s="5">
        <v>3.2099999999999997E-2</v>
      </c>
      <c r="J64" s="5">
        <v>9.0399999999999994E-2</v>
      </c>
      <c r="K64" s="2">
        <v>403445445.58653319</v>
      </c>
      <c r="L64" s="3">
        <f t="shared" si="14"/>
        <v>1.4851188302243735E-3</v>
      </c>
      <c r="M64" s="7">
        <v>2.2873999999999999</v>
      </c>
      <c r="N64" s="7">
        <v>2.2873999999999999</v>
      </c>
      <c r="O64" s="60">
        <v>1398</v>
      </c>
      <c r="P64" s="5">
        <v>0.1145</v>
      </c>
      <c r="Q64" s="5">
        <v>9.35E-2</v>
      </c>
      <c r="R64" s="80">
        <f t="shared" si="15"/>
        <v>2.692258999406001E-3</v>
      </c>
      <c r="S64" s="80">
        <f t="shared" si="16"/>
        <v>2.1906764808972542E-3</v>
      </c>
      <c r="T64" s="80">
        <f t="shared" si="17"/>
        <v>0</v>
      </c>
      <c r="U64" s="81">
        <f t="shared" si="18"/>
        <v>8.2400000000000001E-2</v>
      </c>
      <c r="V64" s="83">
        <f t="shared" si="19"/>
        <v>3.1000000000000055E-3</v>
      </c>
    </row>
    <row r="65" spans="1:22">
      <c r="A65" s="75">
        <v>54</v>
      </c>
      <c r="B65" s="125" t="s">
        <v>102</v>
      </c>
      <c r="C65" s="126" t="s">
        <v>56</v>
      </c>
      <c r="D65" s="2">
        <v>2621698060.8076701</v>
      </c>
      <c r="E65" s="3">
        <f t="shared" si="20"/>
        <v>9.7020541788230153E-3</v>
      </c>
      <c r="F65" s="2">
        <v>4072.8759086766099</v>
      </c>
      <c r="G65" s="2">
        <v>4072.8759086766099</v>
      </c>
      <c r="H65" s="60">
        <v>1044</v>
      </c>
      <c r="I65" s="5">
        <v>9.4135551164581929E-2</v>
      </c>
      <c r="J65" s="5">
        <v>8.2814675566741033E-2</v>
      </c>
      <c r="K65" s="2">
        <v>2624680304.0043898</v>
      </c>
      <c r="L65" s="3">
        <f t="shared" si="14"/>
        <v>9.661683346379223E-3</v>
      </c>
      <c r="M65" s="2">
        <v>4080.2011779722702</v>
      </c>
      <c r="N65" s="2">
        <v>4080.2011779722702</v>
      </c>
      <c r="O65" s="60">
        <v>1043</v>
      </c>
      <c r="P65" s="5">
        <v>9.4038449991288603E-2</v>
      </c>
      <c r="Q65" s="5">
        <v>8.3834675764901834E-2</v>
      </c>
      <c r="R65" s="80">
        <f t="shared" si="15"/>
        <v>1.1375235162667445E-3</v>
      </c>
      <c r="S65" s="80">
        <f t="shared" si="16"/>
        <v>1.7985495899973231E-3</v>
      </c>
      <c r="T65" s="80">
        <f t="shared" si="17"/>
        <v>-9.5785440613026815E-4</v>
      </c>
      <c r="U65" s="81">
        <f t="shared" si="18"/>
        <v>-9.7101173293326348E-5</v>
      </c>
      <c r="V65" s="83">
        <f t="shared" si="19"/>
        <v>1.0200001981608003E-3</v>
      </c>
    </row>
    <row r="66" spans="1:22">
      <c r="A66" s="75">
        <v>55</v>
      </c>
      <c r="B66" s="125" t="s">
        <v>103</v>
      </c>
      <c r="C66" s="126" t="s">
        <v>58</v>
      </c>
      <c r="D66" s="2">
        <v>344432794.45999998</v>
      </c>
      <c r="E66" s="3">
        <f t="shared" si="20"/>
        <v>1.2746340559846346E-3</v>
      </c>
      <c r="F66" s="14">
        <v>110</v>
      </c>
      <c r="G66" s="14">
        <v>110</v>
      </c>
      <c r="H66" s="60">
        <v>125</v>
      </c>
      <c r="I66" s="5">
        <v>0.10539999999999999</v>
      </c>
      <c r="J66" s="5">
        <v>9.7000000000000003E-2</v>
      </c>
      <c r="K66" s="2">
        <v>351913797.54000002</v>
      </c>
      <c r="L66" s="3">
        <f t="shared" si="14"/>
        <v>1.2954262170009414E-3</v>
      </c>
      <c r="M66" s="14">
        <v>110.18</v>
      </c>
      <c r="N66" s="14">
        <v>110.18</v>
      </c>
      <c r="O66" s="60">
        <v>126</v>
      </c>
      <c r="P66" s="5">
        <v>1.6000000000000001E-3</v>
      </c>
      <c r="Q66" s="5">
        <v>0.1067</v>
      </c>
      <c r="R66" s="80">
        <f t="shared" si="15"/>
        <v>2.1719775817888427E-2</v>
      </c>
      <c r="S66" s="80">
        <f t="shared" si="16"/>
        <v>1.6363636363636983E-3</v>
      </c>
      <c r="T66" s="80">
        <f t="shared" si="17"/>
        <v>8.0000000000000002E-3</v>
      </c>
      <c r="U66" s="81">
        <f t="shared" si="18"/>
        <v>-0.10379999999999999</v>
      </c>
      <c r="V66" s="83">
        <f t="shared" si="19"/>
        <v>9.7000000000000003E-3</v>
      </c>
    </row>
    <row r="67" spans="1:22" ht="13.5" customHeight="1">
      <c r="A67" s="75">
        <v>56</v>
      </c>
      <c r="B67" s="125" t="s">
        <v>104</v>
      </c>
      <c r="C67" s="126" t="s">
        <v>105</v>
      </c>
      <c r="D67" s="2">
        <v>306820229.43000001</v>
      </c>
      <c r="E67" s="3">
        <f t="shared" si="20"/>
        <v>1.1354421523932872E-3</v>
      </c>
      <c r="F67" s="14">
        <v>1.2963</v>
      </c>
      <c r="G67" s="14">
        <v>1.2963</v>
      </c>
      <c r="H67" s="60">
        <v>319</v>
      </c>
      <c r="I67" s="5">
        <v>-1.4070581076969901E-2</v>
      </c>
      <c r="J67" s="5">
        <v>-2.7098993609004696E-2</v>
      </c>
      <c r="K67" s="2">
        <v>307181075.69</v>
      </c>
      <c r="L67" s="3">
        <f t="shared" si="14"/>
        <v>1.1307610602285241E-3</v>
      </c>
      <c r="M67" s="14">
        <v>1.2964</v>
      </c>
      <c r="N67" s="14">
        <v>1.2964</v>
      </c>
      <c r="O67" s="60">
        <v>320</v>
      </c>
      <c r="P67" s="5">
        <v>7.7142636735416659E-5</v>
      </c>
      <c r="Q67" s="5">
        <v>-2.702731415950288E-2</v>
      </c>
      <c r="R67" s="80">
        <f t="shared" si="15"/>
        <v>1.1760836652470997E-3</v>
      </c>
      <c r="S67" s="80">
        <f t="shared" si="16"/>
        <v>7.7142636735315123E-5</v>
      </c>
      <c r="T67" s="80">
        <f t="shared" si="17"/>
        <v>3.134796238244514E-3</v>
      </c>
      <c r="U67" s="81">
        <f t="shared" si="18"/>
        <v>1.4147723713705318E-2</v>
      </c>
      <c r="V67" s="83">
        <f t="shared" si="19"/>
        <v>7.1679449501815817E-5</v>
      </c>
    </row>
    <row r="68" spans="1:22">
      <c r="A68" s="75">
        <v>57</v>
      </c>
      <c r="B68" s="125" t="s">
        <v>106</v>
      </c>
      <c r="C68" s="126" t="s">
        <v>25</v>
      </c>
      <c r="D68" s="2">
        <v>75862941.040000007</v>
      </c>
      <c r="E68" s="3">
        <f t="shared" si="20"/>
        <v>2.8074413874654483E-4</v>
      </c>
      <c r="F68" s="14">
        <v>115.1977</v>
      </c>
      <c r="G68" s="14">
        <v>115.1977</v>
      </c>
      <c r="H68" s="60">
        <v>98</v>
      </c>
      <c r="I68" s="5">
        <v>-2.2821000000000001E-2</v>
      </c>
      <c r="J68" s="5">
        <v>0.29880000000000001</v>
      </c>
      <c r="K68" s="2">
        <v>76074960.530000001</v>
      </c>
      <c r="L68" s="3">
        <f t="shared" si="14"/>
        <v>2.8003874533129747E-4</v>
      </c>
      <c r="M68" s="14">
        <v>115.4057</v>
      </c>
      <c r="N68" s="14">
        <v>115.4057</v>
      </c>
      <c r="O68" s="60">
        <v>103</v>
      </c>
      <c r="P68" s="5">
        <v>3.0010000000000002E-3</v>
      </c>
      <c r="Q68" s="5">
        <v>0.14360200000000001</v>
      </c>
      <c r="R68" s="80">
        <f t="shared" si="15"/>
        <v>2.7947702408242228E-3</v>
      </c>
      <c r="S68" s="80">
        <f t="shared" si="16"/>
        <v>1.8055916046934826E-3</v>
      </c>
      <c r="T68" s="80">
        <f t="shared" si="17"/>
        <v>5.1020408163265307E-2</v>
      </c>
      <c r="U68" s="81">
        <f t="shared" si="18"/>
        <v>2.5822000000000001E-2</v>
      </c>
      <c r="V68" s="83">
        <f t="shared" si="19"/>
        <v>-0.155198</v>
      </c>
    </row>
    <row r="69" spans="1:22">
      <c r="A69" s="75">
        <v>58</v>
      </c>
      <c r="B69" s="125" t="s">
        <v>107</v>
      </c>
      <c r="C69" s="126" t="s">
        <v>108</v>
      </c>
      <c r="D69" s="2">
        <v>1254324841.52</v>
      </c>
      <c r="E69" s="3">
        <f t="shared" si="20"/>
        <v>4.6418493998967789E-3</v>
      </c>
      <c r="F69" s="7">
        <v>1000</v>
      </c>
      <c r="G69" s="7">
        <v>1000</v>
      </c>
      <c r="H69" s="60">
        <v>293</v>
      </c>
      <c r="I69" s="5">
        <v>3.85167821729757E-4</v>
      </c>
      <c r="J69" s="5">
        <v>0.15040000000000001</v>
      </c>
      <c r="K69" s="2">
        <v>1229255170.3400002</v>
      </c>
      <c r="L69" s="3">
        <f t="shared" si="14"/>
        <v>4.5249984120369546E-3</v>
      </c>
      <c r="M69" s="7">
        <v>1000</v>
      </c>
      <c r="N69" s="7">
        <v>1000</v>
      </c>
      <c r="O69" s="60">
        <v>296</v>
      </c>
      <c r="P69" s="5">
        <v>2.0394196245736101E-4</v>
      </c>
      <c r="Q69" s="5">
        <v>0.15409999999999999</v>
      </c>
      <c r="R69" s="80">
        <f t="shared" si="15"/>
        <v>-1.998658589079701E-2</v>
      </c>
      <c r="S69" s="80">
        <f t="shared" si="16"/>
        <v>0</v>
      </c>
      <c r="T69" s="80">
        <f t="shared" si="17"/>
        <v>1.0238907849829351E-2</v>
      </c>
      <c r="U69" s="81">
        <f t="shared" si="18"/>
        <v>-1.8122585927239599E-4</v>
      </c>
      <c r="V69" s="83">
        <f t="shared" si="19"/>
        <v>3.6999999999999811E-3</v>
      </c>
    </row>
    <row r="70" spans="1:22">
      <c r="A70" s="75">
        <v>59</v>
      </c>
      <c r="B70" s="125" t="s">
        <v>109</v>
      </c>
      <c r="C70" s="126" t="s">
        <v>64</v>
      </c>
      <c r="D70" s="2">
        <v>213650452.74000001</v>
      </c>
      <c r="E70" s="3">
        <f t="shared" si="20"/>
        <v>7.9065102835486746E-4</v>
      </c>
      <c r="F70" s="7">
        <v>1046.92</v>
      </c>
      <c r="G70" s="7">
        <v>1054.1500000000001</v>
      </c>
      <c r="H70" s="60">
        <v>78</v>
      </c>
      <c r="I70" s="5">
        <v>2.9999999999999997E-4</v>
      </c>
      <c r="J70" s="5">
        <v>-7.6E-3</v>
      </c>
      <c r="K70" s="2">
        <v>214136930.50999999</v>
      </c>
      <c r="L70" s="3">
        <f t="shared" si="14"/>
        <v>7.8825722591690215E-4</v>
      </c>
      <c r="M70" s="7">
        <v>1049.3599999999999</v>
      </c>
      <c r="N70" s="7">
        <v>1057.46</v>
      </c>
      <c r="O70" s="60">
        <v>78</v>
      </c>
      <c r="P70" s="5">
        <v>2.8E-3</v>
      </c>
      <c r="Q70" s="5">
        <v>-4.7999999999999996E-3</v>
      </c>
      <c r="R70" s="80">
        <f t="shared" si="15"/>
        <v>2.2769798227013152E-3</v>
      </c>
      <c r="S70" s="80">
        <f t="shared" si="16"/>
        <v>3.1399705924203816E-3</v>
      </c>
      <c r="T70" s="80">
        <f t="shared" si="17"/>
        <v>0</v>
      </c>
      <c r="U70" s="81">
        <f t="shared" si="18"/>
        <v>2.5000000000000001E-3</v>
      </c>
      <c r="V70" s="83">
        <f t="shared" si="19"/>
        <v>2.8000000000000004E-3</v>
      </c>
    </row>
    <row r="71" spans="1:22">
      <c r="A71" s="75">
        <v>60</v>
      </c>
      <c r="B71" s="125" t="s">
        <v>110</v>
      </c>
      <c r="C71" s="126" t="s">
        <v>67</v>
      </c>
      <c r="D71" s="2">
        <v>871083523.86000001</v>
      </c>
      <c r="E71" s="3">
        <f t="shared" si="20"/>
        <v>3.2235975870410446E-3</v>
      </c>
      <c r="F71" s="15">
        <v>1.1309</v>
      </c>
      <c r="G71" s="15">
        <v>1.1309</v>
      </c>
      <c r="H71" s="60">
        <v>34</v>
      </c>
      <c r="I71" s="5">
        <v>2.2155264090747487E-3</v>
      </c>
      <c r="J71" s="5">
        <v>8.8087141154834292E-2</v>
      </c>
      <c r="K71" s="2">
        <v>872400180.00999999</v>
      </c>
      <c r="L71" s="3">
        <f t="shared" si="14"/>
        <v>3.2113832216903609E-3</v>
      </c>
      <c r="M71" s="15">
        <v>1.1332</v>
      </c>
      <c r="N71" s="15">
        <v>1.1332</v>
      </c>
      <c r="O71" s="60">
        <v>34</v>
      </c>
      <c r="P71" s="5">
        <v>2.0337784065788032E-3</v>
      </c>
      <c r="Q71" s="5">
        <v>9.6402916517096982E-2</v>
      </c>
      <c r="R71" s="80">
        <f t="shared" si="15"/>
        <v>1.511515387371267E-3</v>
      </c>
      <c r="S71" s="80">
        <f t="shared" si="16"/>
        <v>2.0337784065788032E-3</v>
      </c>
      <c r="T71" s="80">
        <f t="shared" si="17"/>
        <v>0</v>
      </c>
      <c r="U71" s="81">
        <f t="shared" si="18"/>
        <v>-1.8174800249594553E-4</v>
      </c>
      <c r="V71" s="83">
        <f t="shared" si="19"/>
        <v>8.3157753622626895E-3</v>
      </c>
    </row>
    <row r="72" spans="1:22">
      <c r="A72" s="75">
        <v>61</v>
      </c>
      <c r="B72" s="125" t="s">
        <v>111</v>
      </c>
      <c r="C72" s="126" t="s">
        <v>27</v>
      </c>
      <c r="D72" s="2">
        <v>58444818365.599998</v>
      </c>
      <c r="E72" s="3">
        <f t="shared" si="20"/>
        <v>0.21628531627316169</v>
      </c>
      <c r="F72" s="15">
        <v>1588.21</v>
      </c>
      <c r="G72" s="2">
        <v>1588.21</v>
      </c>
      <c r="H72" s="60">
        <v>2449</v>
      </c>
      <c r="I72" s="5">
        <v>2.2000000000000001E-3</v>
      </c>
      <c r="J72" s="5">
        <v>2.64E-2</v>
      </c>
      <c r="K72" s="2">
        <v>56614136562.889999</v>
      </c>
      <c r="L72" s="3">
        <f t="shared" si="14"/>
        <v>0.20840170879660722</v>
      </c>
      <c r="M72" s="15">
        <v>1591.37</v>
      </c>
      <c r="N72" s="2">
        <v>1591.37</v>
      </c>
      <c r="O72" s="60">
        <v>2446</v>
      </c>
      <c r="P72" s="5">
        <v>2E-3</v>
      </c>
      <c r="Q72" s="5">
        <v>2.8400000000000002E-2</v>
      </c>
      <c r="R72" s="80">
        <f t="shared" si="15"/>
        <v>-3.1323252495340445E-2</v>
      </c>
      <c r="S72" s="80">
        <f t="shared" si="16"/>
        <v>1.9896613168282873E-3</v>
      </c>
      <c r="T72" s="80">
        <f t="shared" si="17"/>
        <v>-1.2249897917517355E-3</v>
      </c>
      <c r="U72" s="81">
        <f t="shared" si="18"/>
        <v>-2.0000000000000009E-4</v>
      </c>
      <c r="V72" s="83">
        <f t="shared" si="19"/>
        <v>2.0000000000000018E-3</v>
      </c>
    </row>
    <row r="73" spans="1:22">
      <c r="A73" s="75">
        <v>62</v>
      </c>
      <c r="B73" s="125" t="s">
        <v>112</v>
      </c>
      <c r="C73" s="126" t="s">
        <v>72</v>
      </c>
      <c r="D73" s="2">
        <v>25594979.969999999</v>
      </c>
      <c r="E73" s="3">
        <f t="shared" si="20"/>
        <v>9.4718719171775405E-5</v>
      </c>
      <c r="F73" s="2">
        <v>0.78059999999999996</v>
      </c>
      <c r="G73" s="2">
        <v>0.78059999999999996</v>
      </c>
      <c r="H73" s="60">
        <v>746</v>
      </c>
      <c r="I73" s="5">
        <v>1.8E-3</v>
      </c>
      <c r="J73" s="5">
        <v>2.12E-2</v>
      </c>
      <c r="K73" s="2">
        <v>25633159.609999999</v>
      </c>
      <c r="L73" s="3">
        <f t="shared" si="14"/>
        <v>9.4357957020964231E-5</v>
      </c>
      <c r="M73" s="2">
        <v>0.78180000000000005</v>
      </c>
      <c r="N73" s="2">
        <v>0.78180000000000005</v>
      </c>
      <c r="O73" s="60">
        <v>746</v>
      </c>
      <c r="P73" s="5">
        <v>1.5E-3</v>
      </c>
      <c r="Q73" s="5">
        <v>2.2800000000000001E-2</v>
      </c>
      <c r="R73" s="80">
        <f t="shared" si="15"/>
        <v>1.4916846992945937E-3</v>
      </c>
      <c r="S73" s="80">
        <f t="shared" si="16"/>
        <v>1.5372790161415448E-3</v>
      </c>
      <c r="T73" s="80">
        <f t="shared" si="17"/>
        <v>0</v>
      </c>
      <c r="U73" s="81">
        <f t="shared" si="18"/>
        <v>-2.9999999999999992E-4</v>
      </c>
      <c r="V73" s="83">
        <f t="shared" si="19"/>
        <v>1.6000000000000007E-3</v>
      </c>
    </row>
    <row r="74" spans="1:22">
      <c r="A74" s="75">
        <v>63</v>
      </c>
      <c r="B74" s="125" t="s">
        <v>251</v>
      </c>
      <c r="C74" s="126" t="s">
        <v>32</v>
      </c>
      <c r="D74" s="2">
        <v>8477857167.5959997</v>
      </c>
      <c r="E74" s="3">
        <f t="shared" si="20"/>
        <v>3.1373799595747404E-2</v>
      </c>
      <c r="F74" s="14">
        <v>1</v>
      </c>
      <c r="G74" s="14">
        <v>1</v>
      </c>
      <c r="H74" s="60">
        <v>5541</v>
      </c>
      <c r="I74" s="5">
        <v>0.06</v>
      </c>
      <c r="J74" s="5">
        <v>0.06</v>
      </c>
      <c r="K74" s="2">
        <v>8476621190.9489002</v>
      </c>
      <c r="L74" s="3">
        <f t="shared" si="14"/>
        <v>3.1203202031579398E-2</v>
      </c>
      <c r="M74" s="14">
        <v>1</v>
      </c>
      <c r="N74" s="14">
        <v>1</v>
      </c>
      <c r="O74" s="60">
        <v>5538</v>
      </c>
      <c r="P74" s="5">
        <v>0.06</v>
      </c>
      <c r="Q74" s="5">
        <v>0.06</v>
      </c>
      <c r="R74" s="80">
        <f>((K74-D74)/D74)</f>
        <v>-1.4578880283848557E-4</v>
      </c>
      <c r="S74" s="80">
        <f>((N74-G74)/G74)</f>
        <v>0</v>
      </c>
      <c r="T74" s="80">
        <f>((O74-H74)/H74)</f>
        <v>-5.4141851651326478E-4</v>
      </c>
      <c r="U74" s="81">
        <f>P74-I74</f>
        <v>0</v>
      </c>
      <c r="V74" s="83">
        <f>Q74-J74</f>
        <v>0</v>
      </c>
    </row>
    <row r="75" spans="1:22">
      <c r="A75" s="75">
        <v>64</v>
      </c>
      <c r="B75" s="125" t="s">
        <v>113</v>
      </c>
      <c r="C75" s="126" t="s">
        <v>114</v>
      </c>
      <c r="D75" s="2">
        <v>1105981896.3299999</v>
      </c>
      <c r="E75" s="3">
        <f t="shared" si="20"/>
        <v>4.0928802745825669E-3</v>
      </c>
      <c r="F75" s="2">
        <v>217.14539500000001</v>
      </c>
      <c r="G75" s="2">
        <v>218.75779900000001</v>
      </c>
      <c r="H75" s="60">
        <v>488</v>
      </c>
      <c r="I75" s="5">
        <v>1.2999999999999999E-3</v>
      </c>
      <c r="J75" s="5">
        <v>0.76</v>
      </c>
      <c r="K75" s="2">
        <v>1116692589.1099999</v>
      </c>
      <c r="L75" s="3">
        <f t="shared" si="14"/>
        <v>4.1106454659520075E-3</v>
      </c>
      <c r="M75" s="2">
        <v>217.68553900000001</v>
      </c>
      <c r="N75" s="2">
        <v>219.26862299999999</v>
      </c>
      <c r="O75" s="60">
        <v>488</v>
      </c>
      <c r="P75" s="5">
        <v>1.1000000000000001E-3</v>
      </c>
      <c r="Q75" s="5">
        <v>9.9000000000000008E-3</v>
      </c>
      <c r="R75" s="80">
        <f t="shared" si="15"/>
        <v>9.6843292060579469E-3</v>
      </c>
      <c r="S75" s="80">
        <f t="shared" si="16"/>
        <v>2.3351121758177192E-3</v>
      </c>
      <c r="T75" s="80">
        <f t="shared" si="17"/>
        <v>0</v>
      </c>
      <c r="U75" s="81">
        <f t="shared" si="18"/>
        <v>-1.9999999999999987E-4</v>
      </c>
      <c r="V75" s="83">
        <f t="shared" si="19"/>
        <v>-0.75009999999999999</v>
      </c>
    </row>
    <row r="76" spans="1:22">
      <c r="A76" s="75">
        <v>65</v>
      </c>
      <c r="B76" s="125" t="s">
        <v>115</v>
      </c>
      <c r="C76" s="126" t="s">
        <v>34</v>
      </c>
      <c r="D76" s="2">
        <v>1097827198.5799999</v>
      </c>
      <c r="E76" s="3">
        <f t="shared" si="20"/>
        <v>4.0627023831750209E-3</v>
      </c>
      <c r="F76" s="14">
        <v>3.38</v>
      </c>
      <c r="G76" s="14">
        <v>3.38</v>
      </c>
      <c r="H76" s="61">
        <v>773</v>
      </c>
      <c r="I76" s="12">
        <v>1.5E-3</v>
      </c>
      <c r="J76" s="12">
        <v>-0.24660000000000001</v>
      </c>
      <c r="K76" s="2">
        <v>1099352578.0799999</v>
      </c>
      <c r="L76" s="3">
        <f t="shared" si="14"/>
        <v>4.0468153318442531E-3</v>
      </c>
      <c r="M76" s="14">
        <v>3.39</v>
      </c>
      <c r="N76" s="14">
        <v>3.39</v>
      </c>
      <c r="O76" s="61">
        <v>773</v>
      </c>
      <c r="P76" s="12">
        <v>1.4E-3</v>
      </c>
      <c r="Q76" s="12">
        <v>-0.2243</v>
      </c>
      <c r="R76" s="80">
        <f t="shared" si="15"/>
        <v>1.3894531871436813E-3</v>
      </c>
      <c r="S76" s="80">
        <f t="shared" si="16"/>
        <v>2.9585798816568732E-3</v>
      </c>
      <c r="T76" s="80">
        <f t="shared" si="17"/>
        <v>0</v>
      </c>
      <c r="U76" s="81">
        <f t="shared" si="18"/>
        <v>-1.0000000000000005E-4</v>
      </c>
      <c r="V76" s="83">
        <f t="shared" si="19"/>
        <v>2.2300000000000014E-2</v>
      </c>
    </row>
    <row r="77" spans="1:22">
      <c r="A77" s="75">
        <v>66</v>
      </c>
      <c r="B77" s="125" t="s">
        <v>258</v>
      </c>
      <c r="C77" s="126" t="s">
        <v>36</v>
      </c>
      <c r="D77" s="2">
        <v>638675839.12</v>
      </c>
      <c r="E77" s="3">
        <f t="shared" si="20"/>
        <v>2.3635321269370501E-3</v>
      </c>
      <c r="F77" s="14">
        <v>104.56</v>
      </c>
      <c r="G77" s="14">
        <v>104.56</v>
      </c>
      <c r="H77" s="61">
        <v>116</v>
      </c>
      <c r="I77" s="12">
        <v>0.14499999999999999</v>
      </c>
      <c r="J77" s="12">
        <v>0.16739999999999999</v>
      </c>
      <c r="K77" s="2">
        <v>615774472.09249997</v>
      </c>
      <c r="L77" s="3">
        <f t="shared" si="14"/>
        <v>2.2667209995307735E-3</v>
      </c>
      <c r="M77" s="14">
        <v>104.9087</v>
      </c>
      <c r="N77" s="14">
        <v>104.9087</v>
      </c>
      <c r="O77" s="61">
        <v>121</v>
      </c>
      <c r="P77" s="12">
        <v>0.14360000000000001</v>
      </c>
      <c r="Q77" s="12">
        <v>0.1661</v>
      </c>
      <c r="R77" s="80">
        <f t="shared" ref="R77" si="21">((K77-D77)/D77)</f>
        <v>-3.5857575353178697E-2</v>
      </c>
      <c r="S77" s="80">
        <f t="shared" ref="S77" si="22">((N77-G77)/G77)</f>
        <v>3.3349273144605372E-3</v>
      </c>
      <c r="T77" s="80">
        <f t="shared" ref="T77" si="23">((O77-H77)/H77)</f>
        <v>4.3103448275862072E-2</v>
      </c>
      <c r="U77" s="81">
        <f t="shared" ref="U77" si="24">P77-I77</f>
        <v>-1.3999999999999846E-3</v>
      </c>
      <c r="V77" s="83">
        <f t="shared" ref="V77" si="25">Q77-J77</f>
        <v>-1.2999999999999956E-3</v>
      </c>
    </row>
    <row r="78" spans="1:22">
      <c r="A78" s="75">
        <v>67</v>
      </c>
      <c r="B78" s="126" t="s">
        <v>116</v>
      </c>
      <c r="C78" s="127" t="s">
        <v>40</v>
      </c>
      <c r="D78" s="2">
        <v>2292006328.0900002</v>
      </c>
      <c r="E78" s="3">
        <f t="shared" si="20"/>
        <v>8.4819720111032719E-3</v>
      </c>
      <c r="F78" s="14">
        <v>100.7</v>
      </c>
      <c r="G78" s="14">
        <v>100.7</v>
      </c>
      <c r="H78" s="60">
        <v>137</v>
      </c>
      <c r="I78" s="5">
        <v>0.10979999999999999</v>
      </c>
      <c r="J78" s="5">
        <v>0.11020000000000001</v>
      </c>
      <c r="K78" s="2">
        <v>2293950885.0999999</v>
      </c>
      <c r="L78" s="3">
        <f t="shared" si="14"/>
        <v>8.4442387250624473E-3</v>
      </c>
      <c r="M78" s="14">
        <v>100.94</v>
      </c>
      <c r="N78" s="14">
        <v>100.94</v>
      </c>
      <c r="O78" s="60">
        <v>139</v>
      </c>
      <c r="P78" s="5">
        <v>0.1255</v>
      </c>
      <c r="Q78" s="5">
        <v>0.1114</v>
      </c>
      <c r="R78" s="80">
        <f t="shared" si="15"/>
        <v>8.4840822041717988E-4</v>
      </c>
      <c r="S78" s="80">
        <f t="shared" si="16"/>
        <v>2.3833167825222925E-3</v>
      </c>
      <c r="T78" s="80">
        <f t="shared" si="17"/>
        <v>1.4598540145985401E-2</v>
      </c>
      <c r="U78" s="81">
        <f t="shared" si="18"/>
        <v>1.5700000000000006E-2</v>
      </c>
      <c r="V78" s="83">
        <f t="shared" si="19"/>
        <v>1.1999999999999927E-3</v>
      </c>
    </row>
    <row r="79" spans="1:22">
      <c r="A79" s="75">
        <v>68</v>
      </c>
      <c r="B79" s="125" t="s">
        <v>117</v>
      </c>
      <c r="C79" s="126" t="s">
        <v>17</v>
      </c>
      <c r="D79" s="2">
        <v>1225631992.26</v>
      </c>
      <c r="E79" s="3">
        <f t="shared" si="20"/>
        <v>4.535666471272435E-3</v>
      </c>
      <c r="F79" s="14">
        <v>332.99459999999999</v>
      </c>
      <c r="G79" s="14">
        <v>332.99459999999999</v>
      </c>
      <c r="H79" s="60">
        <v>104</v>
      </c>
      <c r="I79" s="5">
        <v>2.0999999999999999E-3</v>
      </c>
      <c r="J79" s="5">
        <v>1.8800000000000001E-2</v>
      </c>
      <c r="K79" s="2">
        <v>1228347993.04</v>
      </c>
      <c r="L79" s="3">
        <f t="shared" si="14"/>
        <v>4.521659011120868E-3</v>
      </c>
      <c r="M79" s="14">
        <v>333.7122</v>
      </c>
      <c r="N79" s="14">
        <v>333.7122</v>
      </c>
      <c r="O79" s="60">
        <v>104</v>
      </c>
      <c r="P79" s="5">
        <v>2.2000000000000001E-3</v>
      </c>
      <c r="Q79" s="5">
        <v>2.0899999999999998E-2</v>
      </c>
      <c r="R79" s="80">
        <f t="shared" si="15"/>
        <v>2.2160002326569585E-3</v>
      </c>
      <c r="S79" s="80">
        <f t="shared" si="16"/>
        <v>2.1549899007371424E-3</v>
      </c>
      <c r="T79" s="80">
        <f t="shared" si="17"/>
        <v>0</v>
      </c>
      <c r="U79" s="81">
        <f t="shared" si="18"/>
        <v>1.0000000000000026E-4</v>
      </c>
      <c r="V79" s="83">
        <f t="shared" si="19"/>
        <v>2.0999999999999977E-3</v>
      </c>
    </row>
    <row r="80" spans="1:22">
      <c r="A80" s="75">
        <v>69</v>
      </c>
      <c r="B80" s="125" t="s">
        <v>252</v>
      </c>
      <c r="C80" s="126" t="s">
        <v>78</v>
      </c>
      <c r="D80" s="9">
        <v>1578286122.6600001</v>
      </c>
      <c r="E80" s="3">
        <f>(D80/$K$56)</f>
        <v>1.7164687082654323E-3</v>
      </c>
      <c r="F80" s="14">
        <v>103.22</v>
      </c>
      <c r="G80" s="14">
        <v>103.22</v>
      </c>
      <c r="H80" s="60">
        <v>341</v>
      </c>
      <c r="I80" s="5">
        <v>2.5999999999999999E-3</v>
      </c>
      <c r="J80" s="5">
        <v>2.9700000000000001E-2</v>
      </c>
      <c r="K80" s="9">
        <v>1593760784.79</v>
      </c>
      <c r="L80" s="3">
        <f>(K80/$K$56)</f>
        <v>1.7332982127106454E-3</v>
      </c>
      <c r="M80" s="14">
        <v>103.49</v>
      </c>
      <c r="N80" s="14">
        <v>103.49</v>
      </c>
      <c r="O80" s="60">
        <v>346</v>
      </c>
      <c r="P80" s="5">
        <v>2.5999999999999999E-3</v>
      </c>
      <c r="Q80" s="5">
        <v>3.2399999999999998E-2</v>
      </c>
      <c r="R80" s="80">
        <f t="shared" si="15"/>
        <v>9.8047254599941021E-3</v>
      </c>
      <c r="S80" s="80">
        <f t="shared" si="16"/>
        <v>2.6157721371826781E-3</v>
      </c>
      <c r="T80" s="80">
        <f t="shared" si="17"/>
        <v>1.466275659824047E-2</v>
      </c>
      <c r="U80" s="81">
        <f t="shared" si="18"/>
        <v>0</v>
      </c>
      <c r="V80" s="83">
        <f t="shared" si="19"/>
        <v>2.6999999999999975E-3</v>
      </c>
    </row>
    <row r="81" spans="1:28">
      <c r="A81" s="75">
        <v>70</v>
      </c>
      <c r="B81" s="125" t="s">
        <v>118</v>
      </c>
      <c r="C81" s="126" t="s">
        <v>38</v>
      </c>
      <c r="D81" s="2">
        <v>57803215.579999998</v>
      </c>
      <c r="E81" s="3">
        <f t="shared" ref="E81:E92" si="26">(D81/$D$93)</f>
        <v>2.1391095246665328E-4</v>
      </c>
      <c r="F81" s="14">
        <v>12.6</v>
      </c>
      <c r="G81" s="2">
        <v>12.89</v>
      </c>
      <c r="H81" s="60">
        <v>57</v>
      </c>
      <c r="I81" s="5">
        <v>-0.76979329054565504</v>
      </c>
      <c r="J81" s="5">
        <v>6.1864999999999997</v>
      </c>
      <c r="K81" s="2">
        <v>67901596.049999997</v>
      </c>
      <c r="L81" s="3">
        <f t="shared" ref="L81:L92" si="27">(K81/$K$93)</f>
        <v>2.4995185842174741E-4</v>
      </c>
      <c r="M81" s="14">
        <v>14.797663999999999</v>
      </c>
      <c r="N81" s="2">
        <v>15.091799</v>
      </c>
      <c r="O81" s="60">
        <v>51</v>
      </c>
      <c r="P81" s="5">
        <v>-0.17280000000000001</v>
      </c>
      <c r="Q81" s="5">
        <v>0.97389999999999999</v>
      </c>
      <c r="R81" s="80">
        <f t="shared" si="15"/>
        <v>0.17470274566341001</v>
      </c>
      <c r="S81" s="80">
        <f t="shared" si="16"/>
        <v>0.17081450737005424</v>
      </c>
      <c r="T81" s="80">
        <f t="shared" si="17"/>
        <v>-0.10526315789473684</v>
      </c>
      <c r="U81" s="81">
        <f t="shared" si="18"/>
        <v>0.59699329054565498</v>
      </c>
      <c r="V81" s="83">
        <f t="shared" si="19"/>
        <v>-5.2126000000000001</v>
      </c>
    </row>
    <row r="82" spans="1:28">
      <c r="A82" s="75">
        <v>71</v>
      </c>
      <c r="B82" s="125" t="s">
        <v>236</v>
      </c>
      <c r="C82" s="126" t="s">
        <v>237</v>
      </c>
      <c r="D82" s="2">
        <v>267098579.28</v>
      </c>
      <c r="E82" s="3">
        <f t="shared" si="26"/>
        <v>9.8844520885173052E-4</v>
      </c>
      <c r="F82" s="2">
        <v>116.75</v>
      </c>
      <c r="G82" s="2">
        <v>116.75</v>
      </c>
      <c r="H82" s="60">
        <v>79</v>
      </c>
      <c r="I82" s="5">
        <v>1.6446000000000001</v>
      </c>
      <c r="J82" s="5">
        <v>0.21160000000000001</v>
      </c>
      <c r="K82" s="2">
        <v>268912559.44</v>
      </c>
      <c r="L82" s="3">
        <f t="shared" si="27"/>
        <v>9.8989122340338012E-4</v>
      </c>
      <c r="M82" s="2">
        <v>117.25</v>
      </c>
      <c r="N82" s="2">
        <v>117.25</v>
      </c>
      <c r="O82" s="60">
        <v>82</v>
      </c>
      <c r="P82" s="5">
        <v>0.29880000000000001</v>
      </c>
      <c r="Q82" s="5">
        <v>0.21460000000000001</v>
      </c>
      <c r="R82" s="80">
        <f>((K82-D82)/D82)</f>
        <v>6.7914257158904513E-3</v>
      </c>
      <c r="S82" s="80">
        <f>((N82-G82)/G82)</f>
        <v>4.2826552462526769E-3</v>
      </c>
      <c r="T82" s="80">
        <f>((O82-H82)/H82)</f>
        <v>3.7974683544303799E-2</v>
      </c>
      <c r="U82" s="81">
        <f t="shared" si="18"/>
        <v>-1.3458000000000001</v>
      </c>
      <c r="V82" s="83">
        <f t="shared" si="19"/>
        <v>3.0000000000000027E-3</v>
      </c>
    </row>
    <row r="83" spans="1:28">
      <c r="A83" s="75">
        <v>72</v>
      </c>
      <c r="B83" s="125" t="s">
        <v>119</v>
      </c>
      <c r="C83" s="126" t="s">
        <v>120</v>
      </c>
      <c r="D83" s="2">
        <v>7162008252.5046377</v>
      </c>
      <c r="E83" s="3">
        <f t="shared" si="26"/>
        <v>2.6504269554813203E-2</v>
      </c>
      <c r="F83" s="14">
        <v>1.0209203955424841</v>
      </c>
      <c r="G83" s="14">
        <v>1.0209203955424841</v>
      </c>
      <c r="H83" s="60">
        <v>4076</v>
      </c>
      <c r="I83" s="130">
        <v>13.26</v>
      </c>
      <c r="J83" s="130">
        <v>13.26</v>
      </c>
      <c r="K83" s="2">
        <v>7310050801.2824841</v>
      </c>
      <c r="L83" s="3">
        <f t="shared" si="27"/>
        <v>2.6908951913184678E-2</v>
      </c>
      <c r="M83" s="14">
        <v>1.03</v>
      </c>
      <c r="N83" s="14">
        <v>1.03</v>
      </c>
      <c r="O83" s="60">
        <v>4076</v>
      </c>
      <c r="P83" s="130">
        <v>14.01</v>
      </c>
      <c r="Q83" s="130">
        <v>14.01</v>
      </c>
      <c r="R83" s="80">
        <f t="shared" si="15"/>
        <v>2.0670535910940081E-2</v>
      </c>
      <c r="S83" s="80">
        <f t="shared" si="16"/>
        <v>8.8935479173097211E-3</v>
      </c>
      <c r="T83" s="80">
        <f t="shared" si="17"/>
        <v>0</v>
      </c>
      <c r="U83" s="81">
        <f t="shared" si="18"/>
        <v>0.75</v>
      </c>
      <c r="V83" s="83">
        <f t="shared" si="19"/>
        <v>0.75</v>
      </c>
    </row>
    <row r="84" spans="1:28" ht="14.25" customHeight="1">
      <c r="A84" s="75">
        <v>73</v>
      </c>
      <c r="B84" s="125" t="s">
        <v>121</v>
      </c>
      <c r="C84" s="126" t="s">
        <v>42</v>
      </c>
      <c r="D84" s="2">
        <v>19768338340.66</v>
      </c>
      <c r="E84" s="3">
        <f t="shared" si="26"/>
        <v>7.3156208364933334E-2</v>
      </c>
      <c r="F84" s="2">
        <v>5114.43</v>
      </c>
      <c r="G84" s="2">
        <v>5114.43</v>
      </c>
      <c r="H84" s="60">
        <v>405</v>
      </c>
      <c r="I84" s="5">
        <v>2.3E-3</v>
      </c>
      <c r="J84" s="5">
        <v>2.0500000000000001E-2</v>
      </c>
      <c r="K84" s="2">
        <v>19382359908</v>
      </c>
      <c r="L84" s="3">
        <f t="shared" si="27"/>
        <v>7.1348203303444574E-2</v>
      </c>
      <c r="M84" s="2">
        <v>5118.82</v>
      </c>
      <c r="N84" s="2">
        <v>5118.82</v>
      </c>
      <c r="O84" s="60">
        <v>402</v>
      </c>
      <c r="P84" s="5">
        <v>8.9999999999999998E-4</v>
      </c>
      <c r="Q84" s="5">
        <v>2.1399999999999999E-2</v>
      </c>
      <c r="R84" s="80">
        <f t="shared" si="15"/>
        <v>-1.9525082280998297E-2</v>
      </c>
      <c r="S84" s="80">
        <f t="shared" si="16"/>
        <v>8.583556720884669E-4</v>
      </c>
      <c r="T84" s="80">
        <f t="shared" si="17"/>
        <v>-7.4074074074074077E-3</v>
      </c>
      <c r="U84" s="81">
        <f t="shared" si="18"/>
        <v>-1.4E-3</v>
      </c>
      <c r="V84" s="83">
        <f t="shared" si="19"/>
        <v>8.9999999999999802E-4</v>
      </c>
    </row>
    <row r="85" spans="1:28">
      <c r="A85" s="75">
        <v>74</v>
      </c>
      <c r="B85" s="125" t="s">
        <v>122</v>
      </c>
      <c r="C85" s="126" t="s">
        <v>42</v>
      </c>
      <c r="D85" s="2">
        <v>34987444886.239998</v>
      </c>
      <c r="E85" s="3">
        <f t="shared" si="26"/>
        <v>0.12947718539346589</v>
      </c>
      <c r="F85" s="14">
        <v>257.67</v>
      </c>
      <c r="G85" s="14">
        <v>257.70999999999998</v>
      </c>
      <c r="H85" s="60">
        <v>6642</v>
      </c>
      <c r="I85" s="5">
        <v>2.0000000000000001E-4</v>
      </c>
      <c r="J85" s="5">
        <v>7.4000000000000003E-3</v>
      </c>
      <c r="K85" s="2">
        <v>39066620365.459999</v>
      </c>
      <c r="L85" s="3">
        <f t="shared" si="27"/>
        <v>0.14380772957697821</v>
      </c>
      <c r="M85" s="14">
        <v>257.77</v>
      </c>
      <c r="N85" s="14">
        <v>257.77</v>
      </c>
      <c r="O85" s="60">
        <v>6645</v>
      </c>
      <c r="P85" s="5">
        <v>2.0000000000000001E-4</v>
      </c>
      <c r="Q85" s="5">
        <v>7.7000000000000002E-3</v>
      </c>
      <c r="R85" s="80">
        <f t="shared" si="15"/>
        <v>0.11658969360246926</v>
      </c>
      <c r="S85" s="80">
        <f t="shared" si="16"/>
        <v>2.3281983625005734E-4</v>
      </c>
      <c r="T85" s="80">
        <f t="shared" si="17"/>
        <v>4.5167118337850043E-4</v>
      </c>
      <c r="U85" s="81">
        <f t="shared" si="18"/>
        <v>0</v>
      </c>
      <c r="V85" s="83">
        <f t="shared" si="19"/>
        <v>2.9999999999999992E-4</v>
      </c>
    </row>
    <row r="86" spans="1:28" ht="12.75" customHeight="1">
      <c r="A86" s="75">
        <v>75</v>
      </c>
      <c r="B86" s="125" t="s">
        <v>123</v>
      </c>
      <c r="C86" s="126" t="s">
        <v>42</v>
      </c>
      <c r="D86" s="2">
        <v>317476935.56999999</v>
      </c>
      <c r="E86" s="3">
        <f t="shared" si="26"/>
        <v>1.1748791653291794E-3</v>
      </c>
      <c r="F86" s="2">
        <v>5615.45</v>
      </c>
      <c r="G86" s="7">
        <v>5642.25</v>
      </c>
      <c r="H86" s="60">
        <v>16</v>
      </c>
      <c r="I86" s="5">
        <v>2.0999999999999999E-3</v>
      </c>
      <c r="J86" s="5">
        <v>6.2799999999999995E-2</v>
      </c>
      <c r="K86" s="2">
        <v>349872878.23000002</v>
      </c>
      <c r="L86" s="3">
        <f t="shared" si="27"/>
        <v>1.287913410173136E-3</v>
      </c>
      <c r="M86" s="2">
        <v>5650.45</v>
      </c>
      <c r="N86" s="7">
        <v>5675.31</v>
      </c>
      <c r="O86" s="60">
        <v>16</v>
      </c>
      <c r="P86" s="5">
        <v>5.8999999999999999E-3</v>
      </c>
      <c r="Q86" s="5">
        <v>6.9000000000000006E-2</v>
      </c>
      <c r="R86" s="80">
        <f t="shared" si="15"/>
        <v>0.10204187778818061</v>
      </c>
      <c r="S86" s="80">
        <f t="shared" si="16"/>
        <v>5.8593646151801852E-3</v>
      </c>
      <c r="T86" s="80">
        <f t="shared" si="17"/>
        <v>0</v>
      </c>
      <c r="U86" s="81">
        <f t="shared" si="18"/>
        <v>3.8E-3</v>
      </c>
      <c r="V86" s="83">
        <f t="shared" si="19"/>
        <v>6.2000000000000111E-3</v>
      </c>
    </row>
    <row r="87" spans="1:28" ht="12.75" customHeight="1">
      <c r="A87" s="75">
        <v>76</v>
      </c>
      <c r="B87" s="125" t="s">
        <v>124</v>
      </c>
      <c r="C87" s="126" t="s">
        <v>42</v>
      </c>
      <c r="D87" s="2">
        <v>16098925767.65</v>
      </c>
      <c r="E87" s="3">
        <f t="shared" si="26"/>
        <v>5.9576902601236895E-2</v>
      </c>
      <c r="F87" s="14">
        <v>128.63</v>
      </c>
      <c r="G87" s="14">
        <v>128.63</v>
      </c>
      <c r="H87" s="60">
        <v>4328</v>
      </c>
      <c r="I87" s="5">
        <v>2.5000000000000001E-3</v>
      </c>
      <c r="J87" s="5">
        <v>2.1499999999999998E-2</v>
      </c>
      <c r="K87" s="2">
        <v>15825408585.33</v>
      </c>
      <c r="L87" s="3">
        <f t="shared" si="27"/>
        <v>5.8254746814404373E-2</v>
      </c>
      <c r="M87" s="14">
        <v>128.86000000000001</v>
      </c>
      <c r="N87" s="14">
        <v>128.86000000000001</v>
      </c>
      <c r="O87" s="60">
        <v>4341</v>
      </c>
      <c r="P87" s="5">
        <v>1.8E-3</v>
      </c>
      <c r="Q87" s="5">
        <v>2.3300000000000001E-2</v>
      </c>
      <c r="R87" s="80">
        <f t="shared" si="15"/>
        <v>-1.6989778465195424E-2</v>
      </c>
      <c r="S87" s="80">
        <f t="shared" si="16"/>
        <v>1.7880743216980347E-3</v>
      </c>
      <c r="T87" s="80">
        <f t="shared" si="17"/>
        <v>3.0036968576709795E-3</v>
      </c>
      <c r="U87" s="81">
        <f t="shared" si="18"/>
        <v>-7.000000000000001E-4</v>
      </c>
      <c r="V87" s="83">
        <f t="shared" si="19"/>
        <v>1.800000000000003E-3</v>
      </c>
    </row>
    <row r="88" spans="1:28" ht="12.75" customHeight="1">
      <c r="A88" s="75">
        <v>77</v>
      </c>
      <c r="B88" s="125" t="s">
        <v>125</v>
      </c>
      <c r="C88" s="126" t="s">
        <v>42</v>
      </c>
      <c r="D88" s="2">
        <v>13066635821.73</v>
      </c>
      <c r="E88" s="3">
        <f t="shared" si="26"/>
        <v>4.8355381030536694E-2</v>
      </c>
      <c r="F88" s="14">
        <v>357.32</v>
      </c>
      <c r="G88" s="14">
        <v>357.57</v>
      </c>
      <c r="H88" s="60">
        <v>10251</v>
      </c>
      <c r="I88" s="5">
        <v>1.1000000000000001E-3</v>
      </c>
      <c r="J88" s="5">
        <v>1.1900000000000001E-2</v>
      </c>
      <c r="K88" s="2">
        <v>12937258249.200001</v>
      </c>
      <c r="L88" s="3">
        <f t="shared" si="27"/>
        <v>4.7623206675266691E-2</v>
      </c>
      <c r="M88" s="14">
        <v>358.63</v>
      </c>
      <c r="N88" s="14">
        <v>358.91</v>
      </c>
      <c r="O88" s="60">
        <v>10257</v>
      </c>
      <c r="P88" s="5">
        <v>3.7000000000000002E-3</v>
      </c>
      <c r="Q88" s="5">
        <v>1.5699999999999999E-2</v>
      </c>
      <c r="R88" s="80">
        <f t="shared" si="15"/>
        <v>-9.9013682094699577E-3</v>
      </c>
      <c r="S88" s="80">
        <f t="shared" si="16"/>
        <v>3.7475179685097517E-3</v>
      </c>
      <c r="T88" s="80">
        <f t="shared" si="17"/>
        <v>5.8530875036581797E-4</v>
      </c>
      <c r="U88" s="81">
        <f t="shared" si="18"/>
        <v>2.5999999999999999E-3</v>
      </c>
      <c r="V88" s="83">
        <f t="shared" si="19"/>
        <v>3.7999999999999978E-3</v>
      </c>
    </row>
    <row r="89" spans="1:28">
      <c r="A89" s="75">
        <v>78</v>
      </c>
      <c r="B89" s="125" t="s">
        <v>126</v>
      </c>
      <c r="C89" s="126" t="s">
        <v>45</v>
      </c>
      <c r="D89" s="2">
        <v>90006197789.339996</v>
      </c>
      <c r="E89" s="3">
        <f t="shared" si="26"/>
        <v>0.33308374462962193</v>
      </c>
      <c r="F89" s="2">
        <v>1.9790000000000001</v>
      </c>
      <c r="G89" s="2">
        <v>1.9790000000000001</v>
      </c>
      <c r="H89" s="60">
        <v>6137</v>
      </c>
      <c r="I89" s="5">
        <v>5.6899999999999999E-2</v>
      </c>
      <c r="J89" s="5">
        <v>6.6699999999999995E-2</v>
      </c>
      <c r="K89" s="2">
        <v>89801206007.009995</v>
      </c>
      <c r="L89" s="3">
        <f t="shared" si="27"/>
        <v>0.33056628467816901</v>
      </c>
      <c r="M89" s="2">
        <v>1.982</v>
      </c>
      <c r="N89" s="2">
        <v>1.982</v>
      </c>
      <c r="O89" s="60">
        <v>6152</v>
      </c>
      <c r="P89" s="5">
        <v>5.6800000000000003E-2</v>
      </c>
      <c r="Q89" s="5">
        <v>6.5699999999999995E-2</v>
      </c>
      <c r="R89" s="80">
        <f t="shared" si="15"/>
        <v>-2.2775296297904532E-3</v>
      </c>
      <c r="S89" s="80">
        <f t="shared" si="16"/>
        <v>1.5159171298635126E-3</v>
      </c>
      <c r="T89" s="80">
        <f t="shared" si="17"/>
        <v>2.444190972788007E-3</v>
      </c>
      <c r="U89" s="81">
        <f t="shared" si="18"/>
        <v>-9.9999999999995925E-5</v>
      </c>
      <c r="V89" s="83">
        <f t="shared" si="19"/>
        <v>-1.0000000000000009E-3</v>
      </c>
    </row>
    <row r="90" spans="1:28">
      <c r="A90" s="75">
        <v>79</v>
      </c>
      <c r="B90" s="125" t="s">
        <v>241</v>
      </c>
      <c r="C90" s="125" t="s">
        <v>242</v>
      </c>
      <c r="D90" s="2">
        <v>83925005.359999999</v>
      </c>
      <c r="E90" s="3">
        <f t="shared" si="26"/>
        <v>3.1057922387518815E-4</v>
      </c>
      <c r="F90" s="2">
        <v>103.37117154405715</v>
      </c>
      <c r="G90" s="2">
        <v>103.37117154405715</v>
      </c>
      <c r="H90" s="60">
        <v>57</v>
      </c>
      <c r="I90" s="5">
        <v>1.5908449267963045E-3</v>
      </c>
      <c r="J90" s="5">
        <v>1.7442804988800464E-2</v>
      </c>
      <c r="K90" s="2">
        <v>84049218.819999993</v>
      </c>
      <c r="L90" s="3">
        <f t="shared" si="27"/>
        <v>3.0939270451736466E-4</v>
      </c>
      <c r="M90" s="2">
        <v>103.51184000489866</v>
      </c>
      <c r="N90" s="2">
        <v>58</v>
      </c>
      <c r="O90" s="60">
        <v>57</v>
      </c>
      <c r="P90" s="5">
        <v>1.3608093895071814E-3</v>
      </c>
      <c r="Q90" s="5">
        <v>1.8827350711115853E-2</v>
      </c>
      <c r="R90" s="80">
        <f>((K90-D90)/D90)</f>
        <v>1.4800530481609664E-3</v>
      </c>
      <c r="S90" s="80">
        <f>((N90-G90)/G90)</f>
        <v>-0.43891513336210763</v>
      </c>
      <c r="T90" s="80">
        <f>((O90-H90)/H90)</f>
        <v>0</v>
      </c>
      <c r="U90" s="81">
        <f>P90-I90</f>
        <v>-2.3003553728912309E-4</v>
      </c>
      <c r="V90" s="83">
        <f>Q90-J90</f>
        <v>1.384545722315389E-3</v>
      </c>
    </row>
    <row r="91" spans="1:28">
      <c r="A91" s="75">
        <v>80</v>
      </c>
      <c r="B91" s="125" t="s">
        <v>262</v>
      </c>
      <c r="C91" s="126" t="s">
        <v>261</v>
      </c>
      <c r="D91" s="2">
        <v>230545831.31999999</v>
      </c>
      <c r="E91" s="3">
        <f t="shared" si="26"/>
        <v>8.531753444862174E-4</v>
      </c>
      <c r="F91" s="2">
        <v>0.96</v>
      </c>
      <c r="G91" s="2">
        <v>0.96</v>
      </c>
      <c r="H91" s="60">
        <v>118</v>
      </c>
      <c r="I91" s="5">
        <v>-3.4314999999999998E-2</v>
      </c>
      <c r="J91" s="5">
        <v>-7.7608999999999997E-2</v>
      </c>
      <c r="K91" s="2">
        <v>230718963.72999999</v>
      </c>
      <c r="L91" s="3">
        <f t="shared" si="27"/>
        <v>8.4929717579817088E-4</v>
      </c>
      <c r="M91" s="2">
        <v>0.96</v>
      </c>
      <c r="N91" s="2">
        <v>0.96</v>
      </c>
      <c r="O91" s="60">
        <v>130</v>
      </c>
      <c r="P91" s="5">
        <v>-3.4314999999999998E-2</v>
      </c>
      <c r="Q91" s="5">
        <v>-7.7155000000000001E-2</v>
      </c>
      <c r="R91" s="80">
        <f>((K91-D91)/D91)</f>
        <v>7.5096742807588155E-4</v>
      </c>
      <c r="S91" s="80">
        <f>((N91-G91)/G91)</f>
        <v>0</v>
      </c>
      <c r="T91" s="80">
        <f>((O91-H91)/H91)</f>
        <v>0.10169491525423729</v>
      </c>
      <c r="U91" s="81">
        <f>P91-I91</f>
        <v>0</v>
      </c>
      <c r="V91" s="83">
        <f>Q91-J91</f>
        <v>4.5399999999999607E-4</v>
      </c>
    </row>
    <row r="92" spans="1:28">
      <c r="A92" s="75">
        <v>81</v>
      </c>
      <c r="B92" s="125" t="s">
        <v>127</v>
      </c>
      <c r="C92" s="126" t="s">
        <v>91</v>
      </c>
      <c r="D92" s="2">
        <v>2594110145.3299999</v>
      </c>
      <c r="E92" s="3">
        <f t="shared" si="26"/>
        <v>9.599960251743294E-3</v>
      </c>
      <c r="F92" s="14">
        <v>25.911300000000001</v>
      </c>
      <c r="G92" s="14">
        <v>25.911300000000001</v>
      </c>
      <c r="H92" s="60">
        <v>1319</v>
      </c>
      <c r="I92" s="5">
        <v>0</v>
      </c>
      <c r="J92" s="5">
        <v>0.10639999999999999</v>
      </c>
      <c r="K92" s="2">
        <v>2574996833.3800001</v>
      </c>
      <c r="L92" s="3">
        <f t="shared" si="27"/>
        <v>9.4787940398264863E-3</v>
      </c>
      <c r="M92" s="14">
        <v>25.954000000000001</v>
      </c>
      <c r="N92" s="14">
        <v>25.954000000000001</v>
      </c>
      <c r="O92" s="60">
        <v>1317</v>
      </c>
      <c r="P92" s="5">
        <v>0</v>
      </c>
      <c r="Q92" s="5">
        <v>0.10589999999999999</v>
      </c>
      <c r="R92" s="80">
        <f t="shared" si="15"/>
        <v>-7.3679646889351271E-3</v>
      </c>
      <c r="S92" s="80">
        <f t="shared" si="16"/>
        <v>1.6479296677511341E-3</v>
      </c>
      <c r="T92" s="80">
        <f t="shared" si="17"/>
        <v>-1.5163002274450341E-3</v>
      </c>
      <c r="U92" s="81">
        <f t="shared" si="18"/>
        <v>0</v>
      </c>
      <c r="V92" s="83">
        <f t="shared" si="19"/>
        <v>-5.0000000000000044E-4</v>
      </c>
    </row>
    <row r="93" spans="1:28">
      <c r="A93" s="75"/>
      <c r="B93" s="19"/>
      <c r="C93" s="71" t="s">
        <v>46</v>
      </c>
      <c r="D93" s="59">
        <f>SUM(D59:D92)</f>
        <v>270220925639.65829</v>
      </c>
      <c r="E93" s="100">
        <f>(D93/$D$186)</f>
        <v>9.9105804109833689E-2</v>
      </c>
      <c r="F93" s="30"/>
      <c r="G93" s="11"/>
      <c r="H93" s="65">
        <f>SUM(H59:H92)</f>
        <v>49652</v>
      </c>
      <c r="I93" s="12"/>
      <c r="J93" s="12"/>
      <c r="K93" s="59">
        <f>SUM(K59:K92)</f>
        <v>271658696513.58481</v>
      </c>
      <c r="L93" s="100">
        <f>(K93/$K$186)</f>
        <v>0.1027123959134999</v>
      </c>
      <c r="M93" s="30"/>
      <c r="N93" s="11"/>
      <c r="O93" s="65">
        <f>SUM(O59:O92)</f>
        <v>49723</v>
      </c>
      <c r="P93" s="12"/>
      <c r="Q93" s="12"/>
      <c r="R93" s="80">
        <f t="shared" si="15"/>
        <v>5.3207236653603661E-3</v>
      </c>
      <c r="S93" s="80" t="e">
        <f t="shared" si="16"/>
        <v>#DIV/0!</v>
      </c>
      <c r="T93" s="80">
        <f t="shared" si="17"/>
        <v>1.4299524691855313E-3</v>
      </c>
      <c r="U93" s="81">
        <f t="shared" si="18"/>
        <v>0</v>
      </c>
      <c r="V93" s="83">
        <f t="shared" si="19"/>
        <v>0</v>
      </c>
    </row>
    <row r="94" spans="1:28" ht="8.25" customHeight="1">
      <c r="A94" s="141"/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</row>
    <row r="95" spans="1:28" ht="15" customHeight="1">
      <c r="A95" s="139" t="s">
        <v>128</v>
      </c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</row>
    <row r="96" spans="1:28">
      <c r="A96" s="140" t="s">
        <v>230</v>
      </c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Z96" s="117"/>
      <c r="AB96" s="103"/>
    </row>
    <row r="97" spans="1:27" ht="16.5" customHeight="1">
      <c r="A97" s="75">
        <v>82</v>
      </c>
      <c r="B97" s="125" t="s">
        <v>129</v>
      </c>
      <c r="C97" s="126" t="s">
        <v>17</v>
      </c>
      <c r="D97" s="2">
        <v>2489954289.0900002</v>
      </c>
      <c r="E97" s="3">
        <f>(D97/$D$123)</f>
        <v>1.9089120845616847E-3</v>
      </c>
      <c r="F97" s="2">
        <f>109.0819*1405.966</f>
        <v>153365.44261539998</v>
      </c>
      <c r="G97" s="2">
        <f>109.0819*1405.966</f>
        <v>153365.44261539998</v>
      </c>
      <c r="H97" s="60">
        <v>237</v>
      </c>
      <c r="I97" s="5">
        <v>1.1000000000000001E-3</v>
      </c>
      <c r="J97" s="5">
        <v>1.23E-2</v>
      </c>
      <c r="K97" s="2">
        <v>2981748829.8499999</v>
      </c>
      <c r="L97" s="3">
        <f t="shared" ref="L97:L108" si="28">(K97/$K$123)</f>
        <v>2.4420818849092531E-3</v>
      </c>
      <c r="M97" s="2">
        <f>109.2027*1304.342</f>
        <v>142437.66812340001</v>
      </c>
      <c r="N97" s="2">
        <f>109.2027*1304.342</f>
        <v>142437.66812340001</v>
      </c>
      <c r="O97" s="60">
        <v>237</v>
      </c>
      <c r="P97" s="5">
        <v>1.1000000000000001E-3</v>
      </c>
      <c r="Q97" s="5">
        <v>1.34E-2</v>
      </c>
      <c r="R97" s="81">
        <f>((K97-D97)/D97)</f>
        <v>0.19751147356995666</v>
      </c>
      <c r="S97" s="81">
        <f>((N97-G97)/G97)</f>
        <v>-7.1253173502742337E-2</v>
      </c>
      <c r="T97" s="81">
        <f>((O97-H97)/H97)</f>
        <v>0</v>
      </c>
      <c r="U97" s="81">
        <f>P97-I97</f>
        <v>0</v>
      </c>
      <c r="V97" s="83">
        <f>Q97-J97</f>
        <v>1.1000000000000003E-3</v>
      </c>
      <c r="X97" s="117"/>
      <c r="Y97" s="119"/>
      <c r="Z97" s="117"/>
      <c r="AA97" s="104"/>
    </row>
    <row r="98" spans="1:27">
      <c r="A98" s="75">
        <v>83</v>
      </c>
      <c r="B98" s="125" t="s">
        <v>130</v>
      </c>
      <c r="C98" s="126" t="s">
        <v>21</v>
      </c>
      <c r="D98" s="2">
        <f>10974677.99*1405.466</f>
        <v>15424536775.893339</v>
      </c>
      <c r="E98" s="3">
        <f>(D98/$D$123)</f>
        <v>1.1825150678179642E-2</v>
      </c>
      <c r="F98" s="2">
        <f>1.1146*1405.466</f>
        <v>1566.5324036</v>
      </c>
      <c r="G98" s="2">
        <f>1.1146*1405.466</f>
        <v>1566.5324036</v>
      </c>
      <c r="H98" s="60">
        <v>302</v>
      </c>
      <c r="I98" s="5">
        <v>2.35E-2</v>
      </c>
      <c r="J98" s="5">
        <v>-0.23269999999999999</v>
      </c>
      <c r="K98" s="2">
        <f>10997457.36*1304.342</f>
        <v>14344445527.857121</v>
      </c>
      <c r="L98" s="3">
        <f t="shared" si="28"/>
        <v>1.1748243253074291E-2</v>
      </c>
      <c r="M98" s="2">
        <f>1.1154*1304.342</f>
        <v>1454.8630668000001</v>
      </c>
      <c r="N98" s="2">
        <f>1.1154*1304.342</f>
        <v>1454.8630668000001</v>
      </c>
      <c r="O98" s="60">
        <v>303</v>
      </c>
      <c r="P98" s="5">
        <v>3.7499999999999999E-2</v>
      </c>
      <c r="Q98" s="5">
        <v>-0.21160000000000001</v>
      </c>
      <c r="R98" s="81">
        <f t="shared" ref="R98:R108" si="29">((K98-D98)/D98)</f>
        <v>-7.002422592840965E-2</v>
      </c>
      <c r="S98" s="81">
        <f t="shared" ref="S98:S108" si="30">((N98-G98)/G98)</f>
        <v>-7.1284409146836675E-2</v>
      </c>
      <c r="T98" s="81">
        <f t="shared" ref="T98:T108" si="31">((O98-H98)/H98)</f>
        <v>3.3112582781456954E-3</v>
      </c>
      <c r="U98" s="81">
        <f t="shared" ref="U98:U108" si="32">P98-I98</f>
        <v>1.3999999999999999E-2</v>
      </c>
      <c r="V98" s="83">
        <f t="shared" ref="V98:V108" si="33">Q98-J98</f>
        <v>2.109999999999998E-2</v>
      </c>
    </row>
    <row r="99" spans="1:27">
      <c r="A99" s="75">
        <v>84</v>
      </c>
      <c r="B99" s="125" t="s">
        <v>243</v>
      </c>
      <c r="C99" s="126" t="s">
        <v>25</v>
      </c>
      <c r="D99" s="2">
        <f>386008.88*1405.966</f>
        <v>542715360.97807992</v>
      </c>
      <c r="E99" s="3">
        <v>0</v>
      </c>
      <c r="F99" s="2">
        <f>1.1246*1405.966</f>
        <v>1581.1493636</v>
      </c>
      <c r="G99" s="2">
        <f>1.1246*1405.966</f>
        <v>1581.1493636</v>
      </c>
      <c r="H99" s="60">
        <v>27</v>
      </c>
      <c r="I99" s="5">
        <v>2.6699999999999998E-4</v>
      </c>
      <c r="J99" s="5">
        <v>0.1138</v>
      </c>
      <c r="K99" s="2">
        <f>387511.51*1304.342</f>
        <v>505447537.97642004</v>
      </c>
      <c r="L99" s="3">
        <f t="shared" si="28"/>
        <v>4.1396655006863613E-4</v>
      </c>
      <c r="M99" s="2">
        <f>1.1261*1304.342</f>
        <v>1468.8195262000002</v>
      </c>
      <c r="N99" s="2">
        <f>1.1261*1304.342</f>
        <v>1468.8195262000002</v>
      </c>
      <c r="O99" s="60">
        <v>28</v>
      </c>
      <c r="P99" s="5">
        <v>2.6699999999999998E-4</v>
      </c>
      <c r="Q99" s="5">
        <v>0.1138</v>
      </c>
      <c r="R99" s="81">
        <f>((K99-D99)/D99)</f>
        <v>-6.8669187720236835E-2</v>
      </c>
      <c r="S99" s="81">
        <f>((N99-G99)/G99)</f>
        <v>-7.1043153787978958E-2</v>
      </c>
      <c r="T99" s="81">
        <f>((O99-H99)/H99)</f>
        <v>3.7037037037037035E-2</v>
      </c>
      <c r="U99" s="81">
        <f>P99-I99</f>
        <v>0</v>
      </c>
      <c r="V99" s="83">
        <f t="shared" si="33"/>
        <v>0</v>
      </c>
    </row>
    <row r="100" spans="1:27">
      <c r="A100" s="75">
        <v>85</v>
      </c>
      <c r="B100" s="125" t="s">
        <v>139</v>
      </c>
      <c r="C100" s="126" t="s">
        <v>64</v>
      </c>
      <c r="D100" s="2">
        <f>418917.9*1405.966</f>
        <v>588984324.19139993</v>
      </c>
      <c r="E100" s="3">
        <f t="shared" ref="E100:E108" si="34">(D100/$D$123)</f>
        <v>4.5154214235686375E-4</v>
      </c>
      <c r="F100" s="2">
        <f>104.58*1405.966</f>
        <v>147035.92427999998</v>
      </c>
      <c r="G100" s="2">
        <f>104.58*1405.966</f>
        <v>147035.92427999998</v>
      </c>
      <c r="H100" s="60">
        <v>42</v>
      </c>
      <c r="I100" s="5">
        <v>5.0000000000000001E-4</v>
      </c>
      <c r="J100" s="5">
        <v>2.12E-2</v>
      </c>
      <c r="K100" s="2">
        <f>419266.7*1304.342</f>
        <v>546867166.0114001</v>
      </c>
      <c r="L100" s="3">
        <f t="shared" si="28"/>
        <v>4.4788963651082737E-4</v>
      </c>
      <c r="M100" s="2">
        <f>104.73*1304.342</f>
        <v>136603.73766000001</v>
      </c>
      <c r="N100" s="2">
        <f>105.97*1304.342</f>
        <v>138221.12174</v>
      </c>
      <c r="O100" s="60">
        <v>42</v>
      </c>
      <c r="P100" s="5">
        <v>1.8E-3</v>
      </c>
      <c r="Q100" s="5">
        <v>2.3E-2</v>
      </c>
      <c r="R100" s="81">
        <f>((K100-D100)/D100)</f>
        <v>-7.1508113968603987E-2</v>
      </c>
      <c r="S100" s="81">
        <f>((N100-G100)/G100)</f>
        <v>-5.994999237882831E-2</v>
      </c>
      <c r="T100" s="81">
        <f>((O100-H100)/H100)</f>
        <v>0</v>
      </c>
      <c r="U100" s="81">
        <f>P100-I100</f>
        <v>1.2999999999999999E-3</v>
      </c>
      <c r="V100" s="83">
        <f>Q100-J100</f>
        <v>1.7999999999999995E-3</v>
      </c>
    </row>
    <row r="101" spans="1:27">
      <c r="A101" s="75">
        <v>86</v>
      </c>
      <c r="B101" s="125" t="s">
        <v>131</v>
      </c>
      <c r="C101" s="126" t="s">
        <v>67</v>
      </c>
      <c r="D101" s="2">
        <v>3860039639.2076397</v>
      </c>
      <c r="E101" s="3">
        <f t="shared" si="34"/>
        <v>2.959281761298331E-3</v>
      </c>
      <c r="F101" s="2">
        <v>153207.27144039999</v>
      </c>
      <c r="G101" s="2">
        <v>153207.27144039999</v>
      </c>
      <c r="H101" s="60">
        <v>48</v>
      </c>
      <c r="I101" s="5">
        <v>1.2505363707615133E-3</v>
      </c>
      <c r="J101" s="5">
        <v>5.3713577896742137E-2</v>
      </c>
      <c r="K101" s="2">
        <v>3583432185.2357602</v>
      </c>
      <c r="L101" s="3">
        <f t="shared" si="28"/>
        <v>2.9348665245574218E-3</v>
      </c>
      <c r="M101" s="2">
        <v>142281.66882020002</v>
      </c>
      <c r="N101" s="2">
        <v>142281.66882020002</v>
      </c>
      <c r="O101" s="60">
        <v>47</v>
      </c>
      <c r="P101" s="5">
        <v>1.0434121872746713E-3</v>
      </c>
      <c r="Q101" s="5">
        <v>5.7802428885700197E-2</v>
      </c>
      <c r="R101" s="81">
        <f t="shared" si="29"/>
        <v>-7.1659226284178631E-2</v>
      </c>
      <c r="S101" s="81">
        <f t="shared" si="30"/>
        <v>-7.1312559237439274E-2</v>
      </c>
      <c r="T101" s="81">
        <f t="shared" si="31"/>
        <v>-2.0833333333333332E-2</v>
      </c>
      <c r="U101" s="81">
        <f t="shared" si="32"/>
        <v>-2.0712418348684198E-4</v>
      </c>
      <c r="V101" s="83">
        <f t="shared" si="33"/>
        <v>4.0888509889580593E-3</v>
      </c>
      <c r="X101" s="108"/>
    </row>
    <row r="102" spans="1:27">
      <c r="A102" s="75">
        <v>87</v>
      </c>
      <c r="B102" s="125" t="s">
        <v>132</v>
      </c>
      <c r="C102" s="126" t="s">
        <v>27</v>
      </c>
      <c r="D102" s="2">
        <v>40831290420.360001</v>
      </c>
      <c r="E102" s="3">
        <f t="shared" si="34"/>
        <v>3.1303122331678944E-2</v>
      </c>
      <c r="F102" s="2">
        <v>180424.99</v>
      </c>
      <c r="G102" s="2">
        <v>180424.99</v>
      </c>
      <c r="H102" s="60">
        <v>2095</v>
      </c>
      <c r="I102" s="5">
        <v>1.4E-3</v>
      </c>
      <c r="J102" s="5">
        <v>1.7100000000000001E-2</v>
      </c>
      <c r="K102" s="2">
        <v>37348555256.080002</v>
      </c>
      <c r="L102" s="3">
        <f t="shared" si="28"/>
        <v>3.0588837431687218E-2</v>
      </c>
      <c r="M102" s="2">
        <v>165245.01999999999</v>
      </c>
      <c r="N102" s="2">
        <v>165245.01999999999</v>
      </c>
      <c r="O102" s="60">
        <v>2098</v>
      </c>
      <c r="P102" s="5">
        <v>1.2999999999999999E-3</v>
      </c>
      <c r="Q102" s="5">
        <v>1.84E-2</v>
      </c>
      <c r="R102" s="81">
        <f t="shared" si="29"/>
        <v>-8.5295740801358003E-2</v>
      </c>
      <c r="S102" s="81">
        <f t="shared" si="30"/>
        <v>-8.4134520389886142E-2</v>
      </c>
      <c r="T102" s="81">
        <f t="shared" si="31"/>
        <v>1.431980906921241E-3</v>
      </c>
      <c r="U102" s="81">
        <f t="shared" si="32"/>
        <v>-1.0000000000000005E-4</v>
      </c>
      <c r="V102" s="83">
        <f t="shared" si="33"/>
        <v>1.2999999999999991E-3</v>
      </c>
    </row>
    <row r="103" spans="1:27">
      <c r="A103" s="75">
        <v>88</v>
      </c>
      <c r="B103" s="136" t="s">
        <v>133</v>
      </c>
      <c r="C103" s="136" t="s">
        <v>27</v>
      </c>
      <c r="D103" s="2">
        <v>61173828049.389999</v>
      </c>
      <c r="E103" s="3">
        <f t="shared" si="34"/>
        <v>4.6898635904298817E-2</v>
      </c>
      <c r="F103" s="2">
        <v>163547.73000000001</v>
      </c>
      <c r="G103" s="2">
        <v>163547.73000000001</v>
      </c>
      <c r="H103" s="60">
        <v>340</v>
      </c>
      <c r="I103" s="5">
        <v>2E-3</v>
      </c>
      <c r="J103" s="5">
        <v>2.12E-2</v>
      </c>
      <c r="K103" s="2">
        <v>58020592500.589996</v>
      </c>
      <c r="L103" s="3">
        <f t="shared" si="28"/>
        <v>4.7519441100785278E-2</v>
      </c>
      <c r="M103" s="2">
        <v>149833.5</v>
      </c>
      <c r="N103" s="2">
        <v>149833.5</v>
      </c>
      <c r="O103" s="60">
        <v>351</v>
      </c>
      <c r="P103" s="5">
        <v>1.6000000000000001E-3</v>
      </c>
      <c r="Q103" s="5">
        <v>2.2800000000000001E-2</v>
      </c>
      <c r="R103" s="81">
        <f t="shared" si="29"/>
        <v>-5.1545499919576243E-2</v>
      </c>
      <c r="S103" s="81">
        <f t="shared" si="30"/>
        <v>-8.3854603179145379E-2</v>
      </c>
      <c r="T103" s="81">
        <f t="shared" si="31"/>
        <v>3.2352941176470591E-2</v>
      </c>
      <c r="U103" s="81">
        <f t="shared" si="32"/>
        <v>-3.9999999999999996E-4</v>
      </c>
      <c r="V103" s="83">
        <f t="shared" si="33"/>
        <v>1.6000000000000007E-3</v>
      </c>
    </row>
    <row r="104" spans="1:27">
      <c r="A104" s="75">
        <v>89</v>
      </c>
      <c r="B104" s="125" t="s">
        <v>134</v>
      </c>
      <c r="C104" s="126" t="s">
        <v>31</v>
      </c>
      <c r="D104" s="2">
        <f>117031.13*1405.966</f>
        <v>164541789.72158</v>
      </c>
      <c r="E104" s="3">
        <f t="shared" si="34"/>
        <v>1.2614521165756973E-4</v>
      </c>
      <c r="F104" s="2">
        <f>116.83*1405.966</f>
        <v>164259.00777999999</v>
      </c>
      <c r="G104" s="2">
        <f>116.83*1405.966</f>
        <v>164259.00777999999</v>
      </c>
      <c r="H104" s="60">
        <v>4</v>
      </c>
      <c r="I104" s="5">
        <v>1.8E-3</v>
      </c>
      <c r="J104" s="5">
        <v>1.95E-2</v>
      </c>
      <c r="K104" s="2">
        <f>117248.5*1304.342</f>
        <v>152932142.98700002</v>
      </c>
      <c r="L104" s="3">
        <f t="shared" si="28"/>
        <v>1.2525294292735326E-4</v>
      </c>
      <c r="M104" s="2">
        <f>117.04*1304.342</f>
        <v>152660.18768000003</v>
      </c>
      <c r="N104" s="2">
        <f>117.04*1304.342</f>
        <v>152660.18768000003</v>
      </c>
      <c r="O104" s="60">
        <v>4</v>
      </c>
      <c r="P104" s="5">
        <v>1.9E-3</v>
      </c>
      <c r="Q104" s="5">
        <v>2.1399999999999999E-2</v>
      </c>
      <c r="R104" s="81">
        <f t="shared" si="29"/>
        <v>-7.0557435616961386E-2</v>
      </c>
      <c r="S104" s="81">
        <f t="shared" si="30"/>
        <v>-7.0612992594809854E-2</v>
      </c>
      <c r="T104" s="81">
        <f t="shared" si="31"/>
        <v>0</v>
      </c>
      <c r="U104" s="81">
        <f t="shared" si="32"/>
        <v>1.0000000000000005E-4</v>
      </c>
      <c r="V104" s="83">
        <f t="shared" si="33"/>
        <v>1.8999999999999989E-3</v>
      </c>
    </row>
    <row r="105" spans="1:27">
      <c r="A105" s="75">
        <v>90</v>
      </c>
      <c r="B105" s="125" t="s">
        <v>135</v>
      </c>
      <c r="C105" s="126" t="s">
        <v>34</v>
      </c>
      <c r="D105" s="2">
        <f>10439464.22*1405.966</f>
        <v>14677531751.53652</v>
      </c>
      <c r="E105" s="3">
        <f t="shared" si="34"/>
        <v>1.1252462687692807E-2</v>
      </c>
      <c r="F105" s="2">
        <f>1.34*1405.966</f>
        <v>1883.9944399999999</v>
      </c>
      <c r="G105" s="2">
        <f>1.34*1405.966</f>
        <v>1883.9944399999999</v>
      </c>
      <c r="H105" s="61">
        <v>115</v>
      </c>
      <c r="I105" s="12">
        <v>8.9999999999999998E-4</v>
      </c>
      <c r="J105" s="12">
        <v>4.6199999999999998E-2</v>
      </c>
      <c r="K105" s="2">
        <f>10427643.27*1304.342</f>
        <v>13601213078.078341</v>
      </c>
      <c r="L105" s="3">
        <f t="shared" si="28"/>
        <v>1.1139528500271724E-2</v>
      </c>
      <c r="M105" s="2">
        <f>1.34*1304.342</f>
        <v>1747.8182800000002</v>
      </c>
      <c r="N105" s="2">
        <f>1.34*1304.342</f>
        <v>1747.8182800000002</v>
      </c>
      <c r="O105" s="61">
        <v>115</v>
      </c>
      <c r="P105" s="12">
        <v>8.0000000000000004E-4</v>
      </c>
      <c r="Q105" s="12">
        <v>4.6300000000000001E-2</v>
      </c>
      <c r="R105" s="81">
        <f t="shared" si="29"/>
        <v>-7.3331040373699405E-2</v>
      </c>
      <c r="S105" s="81">
        <f t="shared" si="30"/>
        <v>-7.2280553014795398E-2</v>
      </c>
      <c r="T105" s="81">
        <f t="shared" si="31"/>
        <v>0</v>
      </c>
      <c r="U105" s="81">
        <f t="shared" si="32"/>
        <v>-9.9999999999999937E-5</v>
      </c>
      <c r="V105" s="83">
        <f t="shared" si="33"/>
        <v>1.0000000000000286E-4</v>
      </c>
    </row>
    <row r="106" spans="1:27">
      <c r="A106" s="75">
        <v>91</v>
      </c>
      <c r="B106" s="125" t="s">
        <v>136</v>
      </c>
      <c r="C106" s="126" t="s">
        <v>78</v>
      </c>
      <c r="D106" s="2">
        <f>9961327.62*1405.966</f>
        <v>14005287948.580917</v>
      </c>
      <c r="E106" s="3">
        <f t="shared" si="34"/>
        <v>1.0737090046172289E-2</v>
      </c>
      <c r="F106" s="2">
        <f>104.8*1405.966</f>
        <v>147345.23679999998</v>
      </c>
      <c r="G106" s="2">
        <f>104.8*1405.966</f>
        <v>147345.23679999998</v>
      </c>
      <c r="H106" s="60">
        <v>293</v>
      </c>
      <c r="I106" s="5">
        <v>2.0999999999999999E-3</v>
      </c>
      <c r="J106" s="5">
        <v>2.4E-2</v>
      </c>
      <c r="K106" s="2">
        <f>9981570.8*1304.342</f>
        <v>13019382020.413603</v>
      </c>
      <c r="L106" s="3">
        <f t="shared" si="28"/>
        <v>1.0663003089487165E-2</v>
      </c>
      <c r="M106" s="2">
        <f>104.99*1304.342</f>
        <v>136942.86658</v>
      </c>
      <c r="N106" s="2">
        <f>104.99*1304.342</f>
        <v>136942.86658</v>
      </c>
      <c r="O106" s="60">
        <v>294</v>
      </c>
      <c r="P106" s="5">
        <v>1.8E-3</v>
      </c>
      <c r="Q106" s="5">
        <v>2.58E-2</v>
      </c>
      <c r="R106" s="81">
        <f t="shared" si="29"/>
        <v>-7.0395262974026263E-2</v>
      </c>
      <c r="S106" s="81">
        <f t="shared" si="30"/>
        <v>-7.0598618902894747E-2</v>
      </c>
      <c r="T106" s="81">
        <f t="shared" si="31"/>
        <v>3.4129692832764505E-3</v>
      </c>
      <c r="U106" s="81">
        <f t="shared" si="32"/>
        <v>-2.9999999999999992E-4</v>
      </c>
      <c r="V106" s="83">
        <f t="shared" si="33"/>
        <v>1.7999999999999995E-3</v>
      </c>
    </row>
    <row r="107" spans="1:27">
      <c r="A107" s="75">
        <v>92</v>
      </c>
      <c r="B107" s="125" t="s">
        <v>137</v>
      </c>
      <c r="C107" s="126" t="s">
        <v>38</v>
      </c>
      <c r="D107" s="2">
        <f>1909140.97*1405.966</f>
        <v>2684187293.02702</v>
      </c>
      <c r="E107" s="3">
        <f t="shared" si="34"/>
        <v>2.0578199300031368E-3</v>
      </c>
      <c r="F107" s="2">
        <f>134.565571*1405.966</f>
        <v>189194.617596586</v>
      </c>
      <c r="G107" s="2">
        <f>134.565571*1405.966</f>
        <v>189194.617596586</v>
      </c>
      <c r="H107" s="60">
        <v>48</v>
      </c>
      <c r="I107" s="5">
        <v>-2.9999999999999997E-4</v>
      </c>
      <c r="J107" s="5">
        <v>2.07E-2</v>
      </c>
      <c r="K107" s="2">
        <f>2099596.84*1304.342</f>
        <v>2738592341.47928</v>
      </c>
      <c r="L107" s="3">
        <f t="shared" si="28"/>
        <v>2.2429343076540102E-3</v>
      </c>
      <c r="M107" s="2">
        <f>148.115109*1304.342</f>
        <v>193192.757503278</v>
      </c>
      <c r="N107" s="2">
        <f>151.231494*1304.342</f>
        <v>197257.58934694802</v>
      </c>
      <c r="O107" s="60">
        <v>48</v>
      </c>
      <c r="P107" s="5">
        <v>-9.8500000000000004E-2</v>
      </c>
      <c r="Q107" s="5">
        <v>0.12089999999999999</v>
      </c>
      <c r="R107" s="81">
        <f t="shared" si="29"/>
        <v>2.0268722899327261E-2</v>
      </c>
      <c r="S107" s="81">
        <f t="shared" si="30"/>
        <v>4.2617342146352453E-2</v>
      </c>
      <c r="T107" s="81">
        <f t="shared" si="31"/>
        <v>0</v>
      </c>
      <c r="U107" s="81">
        <f t="shared" si="32"/>
        <v>-9.820000000000001E-2</v>
      </c>
      <c r="V107" s="83">
        <f t="shared" si="33"/>
        <v>0.1002</v>
      </c>
    </row>
    <row r="108" spans="1:27" ht="16.5" customHeight="1">
      <c r="A108" s="75">
        <v>93</v>
      </c>
      <c r="B108" s="125" t="s">
        <v>138</v>
      </c>
      <c r="C108" s="126" t="s">
        <v>45</v>
      </c>
      <c r="D108" s="4">
        <v>209771715558.82001</v>
      </c>
      <c r="E108" s="3">
        <f t="shared" si="34"/>
        <v>0.1608205277438304</v>
      </c>
      <c r="F108" s="2">
        <v>180084.73</v>
      </c>
      <c r="G108" s="2">
        <v>180084.73</v>
      </c>
      <c r="H108" s="60">
        <v>3116</v>
      </c>
      <c r="I108" s="5">
        <v>5.3600000000000002E-2</v>
      </c>
      <c r="J108" s="5">
        <v>5.3999999999999999E-2</v>
      </c>
      <c r="K108" s="4">
        <v>191488996120.94</v>
      </c>
      <c r="L108" s="3">
        <f t="shared" si="28"/>
        <v>0.15683138831312313</v>
      </c>
      <c r="M108" s="2">
        <f>125.6763*1309.39</f>
        <v>164559.290457</v>
      </c>
      <c r="N108" s="2">
        <f>125.9823*1309.39</f>
        <v>164959.963797</v>
      </c>
      <c r="O108" s="60">
        <v>3125</v>
      </c>
      <c r="P108" s="5">
        <v>5.3499999999999999E-2</v>
      </c>
      <c r="Q108" s="5">
        <v>5.3900000000000003E-2</v>
      </c>
      <c r="R108" s="81">
        <f t="shared" si="29"/>
        <v>-8.7155312570028204E-2</v>
      </c>
      <c r="S108" s="81">
        <f t="shared" si="30"/>
        <v>-8.3986944384457279E-2</v>
      </c>
      <c r="T108" s="81">
        <f t="shared" si="31"/>
        <v>2.8883183568677792E-3</v>
      </c>
      <c r="U108" s="81">
        <f t="shared" si="32"/>
        <v>-1.0000000000000286E-4</v>
      </c>
      <c r="V108" s="83">
        <f t="shared" si="33"/>
        <v>-9.9999999999995925E-5</v>
      </c>
    </row>
    <row r="109" spans="1:27" ht="6" customHeight="1">
      <c r="A109" s="141"/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</row>
    <row r="110" spans="1:27">
      <c r="A110" s="140" t="s">
        <v>231</v>
      </c>
      <c r="B110" s="140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</row>
    <row r="111" spans="1:27">
      <c r="A111" s="75">
        <v>94</v>
      </c>
      <c r="B111" s="125" t="s">
        <v>140</v>
      </c>
      <c r="C111" s="126" t="s">
        <v>97</v>
      </c>
      <c r="D111" s="4">
        <v>1801510184.5599999</v>
      </c>
      <c r="E111" s="3">
        <f>(D111/$D$123)</f>
        <v>1.3811195558229921E-3</v>
      </c>
      <c r="F111" s="2">
        <v>177373.67</v>
      </c>
      <c r="G111" s="2">
        <v>177373.67</v>
      </c>
      <c r="H111" s="60">
        <v>26</v>
      </c>
      <c r="I111" s="5">
        <v>1.04E-2</v>
      </c>
      <c r="J111" s="5">
        <v>5.8799999999999998E-2</v>
      </c>
      <c r="K111" s="4">
        <v>1816562124.53</v>
      </c>
      <c r="L111" s="3">
        <f t="shared" ref="L111:L122" si="35">(K111/$K$123)</f>
        <v>1.4877824090066456E-3</v>
      </c>
      <c r="M111" s="2">
        <f>110.18*1617.04499999991</f>
        <v>178166.01809999009</v>
      </c>
      <c r="N111" s="2">
        <f>110.18*1617.04499999991</f>
        <v>178166.01809999009</v>
      </c>
      <c r="O111" s="60">
        <v>26</v>
      </c>
      <c r="P111" s="5">
        <v>5.4000000000000003E-3</v>
      </c>
      <c r="Q111" s="5">
        <v>6.3299999999999995E-2</v>
      </c>
      <c r="R111" s="81">
        <f>((K111-D111)/D111)</f>
        <v>8.3551789487531034E-3</v>
      </c>
      <c r="S111" s="81">
        <f>((N111-G111)/G111)</f>
        <v>4.4671122832948005E-3</v>
      </c>
      <c r="T111" s="81">
        <f>((O111-H111)/H111)</f>
        <v>0</v>
      </c>
      <c r="U111" s="81">
        <f>P111-I111</f>
        <v>-4.9999999999999992E-3</v>
      </c>
      <c r="V111" s="83">
        <f>Q111-J111</f>
        <v>4.4999999999999971E-3</v>
      </c>
    </row>
    <row r="112" spans="1:27">
      <c r="A112" s="75">
        <v>95</v>
      </c>
      <c r="B112" s="126" t="s">
        <v>141</v>
      </c>
      <c r="C112" s="126" t="s">
        <v>23</v>
      </c>
      <c r="D112" s="2">
        <f>7504470.98*1405.966</f>
        <v>10551031045.86668</v>
      </c>
      <c r="E112" s="3">
        <f>(D112/$D$123)</f>
        <v>8.0888997666705414E-3</v>
      </c>
      <c r="F112" s="4">
        <f>133.52*1405.966</f>
        <v>187724.58032000001</v>
      </c>
      <c r="G112" s="4">
        <f>133.52*1405.966</f>
        <v>187724.58032000001</v>
      </c>
      <c r="H112" s="60">
        <v>359</v>
      </c>
      <c r="I112" s="5">
        <v>5.0000000000000001E-4</v>
      </c>
      <c r="J112" s="5">
        <v>1.4E-2</v>
      </c>
      <c r="K112" s="2">
        <f>7234125.52*1304.342</f>
        <v>9435773749.0078392</v>
      </c>
      <c r="L112" s="3">
        <f t="shared" si="35"/>
        <v>7.7279923486088913E-3</v>
      </c>
      <c r="M112" s="4">
        <f>133.66*1304.342</f>
        <v>174338.35172000001</v>
      </c>
      <c r="N112" s="4">
        <f>133.66*1304.342</f>
        <v>174338.35172000001</v>
      </c>
      <c r="O112" s="60">
        <v>360</v>
      </c>
      <c r="P112" s="5">
        <v>5.0000000000000001E-4</v>
      </c>
      <c r="Q112" s="5">
        <v>1.5100000000000001E-2</v>
      </c>
      <c r="R112" s="81">
        <f t="shared" ref="R112:R123" si="36">((K112-D112)/D112)</f>
        <v>-0.10570126199142765</v>
      </c>
      <c r="S112" s="81">
        <f t="shared" ref="S112:S123" si="37">((N112-G112)/G112)</f>
        <v>-7.130780943647072E-2</v>
      </c>
      <c r="T112" s="81">
        <f t="shared" ref="T112:T123" si="38">((O112-H112)/H112)</f>
        <v>2.7855153203342618E-3</v>
      </c>
      <c r="U112" s="81">
        <f t="shared" ref="U112:U123" si="39">P112-I112</f>
        <v>0</v>
      </c>
      <c r="V112" s="83">
        <f t="shared" ref="V112:V123" si="40">Q112-J112</f>
        <v>1.1000000000000003E-3</v>
      </c>
    </row>
    <row r="113" spans="1:24">
      <c r="A113" s="75">
        <v>96</v>
      </c>
      <c r="B113" s="125" t="s">
        <v>142</v>
      </c>
      <c r="C113" s="126" t="s">
        <v>58</v>
      </c>
      <c r="D113" s="4">
        <v>17873541851.279999</v>
      </c>
      <c r="E113" s="3">
        <f t="shared" ref="E113:E122" si="41">(D113/$D$123)</f>
        <v>1.3702669235063284E-2</v>
      </c>
      <c r="F113" s="4">
        <f>115.98*1405.966</f>
        <v>163063.93667999998</v>
      </c>
      <c r="G113" s="4">
        <f>115.98*1405.966</f>
        <v>163063.93667999998</v>
      </c>
      <c r="H113" s="60">
        <v>595</v>
      </c>
      <c r="I113" s="5">
        <v>6.4100000000000004E-2</v>
      </c>
      <c r="J113" s="5">
        <v>6.2799999999999995E-2</v>
      </c>
      <c r="K113" s="4">
        <v>14403779972.76</v>
      </c>
      <c r="L113" s="3">
        <f t="shared" si="35"/>
        <v>1.1796838752332273E-2</v>
      </c>
      <c r="M113" s="4">
        <v>151342.68</v>
      </c>
      <c r="N113" s="4">
        <v>151342.68</v>
      </c>
      <c r="O113" s="60">
        <v>597</v>
      </c>
      <c r="P113" s="5">
        <v>1.1999999999999999E-3</v>
      </c>
      <c r="Q113" s="5">
        <v>6.3799999999999996E-2</v>
      </c>
      <c r="R113" s="81">
        <f t="shared" si="36"/>
        <v>-0.19412838861993736</v>
      </c>
      <c r="S113" s="81">
        <f t="shared" si="37"/>
        <v>-7.1881354753516258E-2</v>
      </c>
      <c r="T113" s="81">
        <f t="shared" si="38"/>
        <v>3.3613445378151263E-3</v>
      </c>
      <c r="U113" s="81">
        <f t="shared" si="39"/>
        <v>-6.2899999999999998E-2</v>
      </c>
      <c r="V113" s="83">
        <f t="shared" si="40"/>
        <v>1.0000000000000009E-3</v>
      </c>
    </row>
    <row r="114" spans="1:24">
      <c r="A114" s="75">
        <v>97</v>
      </c>
      <c r="B114" s="125" t="s">
        <v>143</v>
      </c>
      <c r="C114" s="126" t="s">
        <v>56</v>
      </c>
      <c r="D114" s="4">
        <v>6001501711.8395977</v>
      </c>
      <c r="E114" s="3">
        <f t="shared" si="41"/>
        <v>4.6010238796131385E-3</v>
      </c>
      <c r="F114" s="4">
        <v>1721.1066366201021</v>
      </c>
      <c r="G114" s="4">
        <v>1721.1066366201021</v>
      </c>
      <c r="H114" s="60">
        <v>170</v>
      </c>
      <c r="I114" s="5">
        <v>4.8597495078527848E-2</v>
      </c>
      <c r="J114" s="5">
        <v>4.9090407905852645E-2</v>
      </c>
      <c r="K114" s="4">
        <v>5416622251.2565527</v>
      </c>
      <c r="L114" s="3">
        <f t="shared" si="35"/>
        <v>4.4362673826740277E-3</v>
      </c>
      <c r="M114" s="4">
        <v>1577.9728809224002</v>
      </c>
      <c r="N114" s="4">
        <v>1577.9728809224002</v>
      </c>
      <c r="O114" s="60">
        <v>169</v>
      </c>
      <c r="P114" s="5">
        <v>4.7755196175607903E-2</v>
      </c>
      <c r="Q114" s="5">
        <v>4.9026701526823507E-2</v>
      </c>
      <c r="R114" s="81">
        <f t="shared" si="36"/>
        <v>-9.7455518412868383E-2</v>
      </c>
      <c r="S114" s="81">
        <f t="shared" si="37"/>
        <v>-8.3163792790193994E-2</v>
      </c>
      <c r="T114" s="81">
        <f t="shared" si="38"/>
        <v>-5.8823529411764705E-3</v>
      </c>
      <c r="U114" s="81">
        <f t="shared" si="39"/>
        <v>-8.4229890291994541E-4</v>
      </c>
      <c r="V114" s="83">
        <f t="shared" si="40"/>
        <v>-6.3706379029138116E-5</v>
      </c>
    </row>
    <row r="115" spans="1:24" ht="15.75">
      <c r="A115" s="75">
        <v>98</v>
      </c>
      <c r="B115" s="125" t="s">
        <v>253</v>
      </c>
      <c r="C115" s="126" t="s">
        <v>114</v>
      </c>
      <c r="D115" s="4">
        <v>1285891155.45</v>
      </c>
      <c r="E115" s="3">
        <f t="shared" si="41"/>
        <v>9.858225818943011E-4</v>
      </c>
      <c r="F115" s="4">
        <f>1.048833*1405.966</f>
        <v>1474.6235376779998</v>
      </c>
      <c r="G115" s="4">
        <f>1.059508*1405.966</f>
        <v>1489.6322247279998</v>
      </c>
      <c r="H115" s="60">
        <v>36</v>
      </c>
      <c r="I115" s="5">
        <v>8.0000000000000004E-4</v>
      </c>
      <c r="J115" s="5">
        <v>2.1999999999999999E-2</v>
      </c>
      <c r="K115" s="4">
        <v>1221028593.74</v>
      </c>
      <c r="L115" s="3">
        <f t="shared" si="35"/>
        <v>1.0000345367381864E-3</v>
      </c>
      <c r="M115" s="4">
        <f>1.052257*1304.342</f>
        <v>1372.5029998940001</v>
      </c>
      <c r="N115" s="4">
        <f>1.063479*1304.342</f>
        <v>1387.1403258180003</v>
      </c>
      <c r="O115" s="60">
        <v>36</v>
      </c>
      <c r="P115" s="5">
        <v>3.2000000000000002E-3</v>
      </c>
      <c r="Q115" s="5">
        <v>2.5899999999999999E-2</v>
      </c>
      <c r="R115" s="81">
        <f t="shared" si="36"/>
        <v>-5.0441720074901102E-2</v>
      </c>
      <c r="S115" s="81">
        <f t="shared" si="37"/>
        <v>-6.8803492035568736E-2</v>
      </c>
      <c r="T115" s="81">
        <f t="shared" si="38"/>
        <v>0</v>
      </c>
      <c r="U115" s="81">
        <f t="shared" si="39"/>
        <v>2.4000000000000002E-3</v>
      </c>
      <c r="V115" s="83">
        <f t="shared" si="40"/>
        <v>3.9000000000000007E-3</v>
      </c>
      <c r="X115" s="120"/>
    </row>
    <row r="116" spans="1:24" ht="15.75">
      <c r="A116" s="75">
        <v>99</v>
      </c>
      <c r="B116" s="125" t="s">
        <v>259</v>
      </c>
      <c r="C116" s="126" t="s">
        <v>36</v>
      </c>
      <c r="D116" s="2">
        <f>796173.11*1405.966</f>
        <v>1119392322.7742598</v>
      </c>
      <c r="E116" s="3">
        <f t="shared" si="41"/>
        <v>8.5817701219338433E-4</v>
      </c>
      <c r="F116" s="4">
        <f>10.18*1405.966</f>
        <v>14312.733879999998</v>
      </c>
      <c r="G116" s="4">
        <f>10.18*1405.966</f>
        <v>14312.733879999998</v>
      </c>
      <c r="H116" s="60">
        <v>37</v>
      </c>
      <c r="I116" s="5">
        <v>6.3100000000000003E-2</v>
      </c>
      <c r="J116" s="5">
        <v>8.4900000000000003E-2</v>
      </c>
      <c r="K116" s="2">
        <f>830263.3267*1304.342</f>
        <v>1082947328.0745316</v>
      </c>
      <c r="L116" s="3">
        <f t="shared" si="35"/>
        <v>8.8694460972916123E-4</v>
      </c>
      <c r="M116" s="4">
        <f>10.19*1304.342</f>
        <v>13291.244979999999</v>
      </c>
      <c r="N116" s="4">
        <f>10.19*1304.342</f>
        <v>13291.244979999999</v>
      </c>
      <c r="O116" s="60">
        <v>37</v>
      </c>
      <c r="P116" s="5">
        <v>7.4700000000000003E-2</v>
      </c>
      <c r="Q116" s="5">
        <v>9.6299999999999997E-2</v>
      </c>
      <c r="R116" s="81">
        <f t="shared" ref="R116" si="42">((K116-D116)/D116)</f>
        <v>-3.2557838711457614E-2</v>
      </c>
      <c r="S116" s="81">
        <f t="shared" ref="S116" si="43">((N116-G116)/G116)</f>
        <v>-7.1369237251548659E-2</v>
      </c>
      <c r="T116" s="81">
        <f t="shared" ref="T116" si="44">((O116-H116)/H116)</f>
        <v>0</v>
      </c>
      <c r="U116" s="81">
        <f t="shared" ref="U116" si="45">P116-I116</f>
        <v>1.1599999999999999E-2</v>
      </c>
      <c r="V116" s="83">
        <f t="shared" ref="V116" si="46">Q116-J116</f>
        <v>1.1399999999999993E-2</v>
      </c>
      <c r="X116" s="120"/>
    </row>
    <row r="117" spans="1:24" ht="15.75">
      <c r="A117" s="75">
        <v>100</v>
      </c>
      <c r="B117" s="126" t="s">
        <v>144</v>
      </c>
      <c r="C117" s="127" t="s">
        <v>40</v>
      </c>
      <c r="D117" s="2">
        <v>18451235348</v>
      </c>
      <c r="E117" s="3">
        <f t="shared" si="41"/>
        <v>1.414555531610236E-2</v>
      </c>
      <c r="F117" s="4">
        <f>1.0361*1405.966</f>
        <v>1456.7213726</v>
      </c>
      <c r="G117" s="4">
        <f>1.0361*1405.966</f>
        <v>1456.7213726</v>
      </c>
      <c r="H117" s="60">
        <v>369</v>
      </c>
      <c r="I117" s="5">
        <v>9.9299999999999999E-2</v>
      </c>
      <c r="J117" s="5">
        <v>9.0200000000000002E-2</v>
      </c>
      <c r="K117" s="4">
        <v>15113635790</v>
      </c>
      <c r="L117" s="3">
        <f t="shared" si="35"/>
        <v>1.2378217711829162E-2</v>
      </c>
      <c r="M117" s="4">
        <f>1.0376*1304.342</f>
        <v>1353.3852592000003</v>
      </c>
      <c r="N117" s="4">
        <f>1.0376*1304.342</f>
        <v>1353.3852592000003</v>
      </c>
      <c r="O117" s="60">
        <v>371</v>
      </c>
      <c r="P117" s="5">
        <v>7.3200000000000001E-2</v>
      </c>
      <c r="Q117" s="5">
        <v>8.8800000000000004E-2</v>
      </c>
      <c r="R117" s="81">
        <f t="shared" si="36"/>
        <v>-0.18088759343486316</v>
      </c>
      <c r="S117" s="81">
        <f t="shared" si="37"/>
        <v>-7.0937459519497759E-2</v>
      </c>
      <c r="T117" s="81">
        <f t="shared" si="38"/>
        <v>5.4200542005420054E-3</v>
      </c>
      <c r="U117" s="81">
        <f t="shared" si="39"/>
        <v>-2.6099999999999998E-2</v>
      </c>
      <c r="V117" s="83">
        <f t="shared" si="40"/>
        <v>-1.3999999999999985E-3</v>
      </c>
      <c r="X117" s="120"/>
    </row>
    <row r="118" spans="1:24">
      <c r="A118" s="75">
        <v>101</v>
      </c>
      <c r="B118" s="125" t="s">
        <v>145</v>
      </c>
      <c r="C118" s="126" t="s">
        <v>80</v>
      </c>
      <c r="D118" s="4">
        <v>361691785.24049997</v>
      </c>
      <c r="E118" s="3">
        <f t="shared" si="41"/>
        <v>2.772893553739146E-4</v>
      </c>
      <c r="F118" s="4">
        <f>1.06*1405.966</f>
        <v>1490.3239599999999</v>
      </c>
      <c r="G118" s="4">
        <f>1.06*1405.966</f>
        <v>1490.3239599999999</v>
      </c>
      <c r="H118" s="60">
        <v>2</v>
      </c>
      <c r="I118" s="5">
        <v>2.6138999999999999E-2</v>
      </c>
      <c r="J118" s="5">
        <v>2.3532999999999998E-2</v>
      </c>
      <c r="K118" s="4">
        <v>332857214.10000002</v>
      </c>
      <c r="L118" s="3">
        <f t="shared" si="35"/>
        <v>2.7261336188932547E-4</v>
      </c>
      <c r="M118" s="4">
        <f>1.06*1303.33</f>
        <v>1381.5298</v>
      </c>
      <c r="N118" s="4">
        <f>1.06*1303.33</f>
        <v>1381.5298</v>
      </c>
      <c r="O118" s="60">
        <v>2</v>
      </c>
      <c r="P118" s="5">
        <v>4.6709999999999998E-3</v>
      </c>
      <c r="Q118" s="5">
        <v>2.8315E-2</v>
      </c>
      <c r="R118" s="81">
        <f t="shared" si="36"/>
        <v>-7.9721387980451253E-2</v>
      </c>
      <c r="S118" s="81">
        <f t="shared" si="37"/>
        <v>-7.300034282479087E-2</v>
      </c>
      <c r="T118" s="81">
        <f t="shared" si="38"/>
        <v>0</v>
      </c>
      <c r="U118" s="81">
        <f t="shared" si="39"/>
        <v>-2.1468000000000001E-2</v>
      </c>
      <c r="V118" s="83">
        <f t="shared" si="40"/>
        <v>4.7820000000000015E-3</v>
      </c>
    </row>
    <row r="119" spans="1:24">
      <c r="A119" s="75">
        <v>102</v>
      </c>
      <c r="B119" s="125" t="s">
        <v>146</v>
      </c>
      <c r="C119" s="126" t="s">
        <v>42</v>
      </c>
      <c r="D119" s="2">
        <v>780648965911.81995</v>
      </c>
      <c r="E119" s="3">
        <f t="shared" si="41"/>
        <v>0.59848096463420353</v>
      </c>
      <c r="F119" s="4">
        <v>2118.0500000000002</v>
      </c>
      <c r="G119" s="4">
        <v>2118.0500000000002</v>
      </c>
      <c r="H119" s="60">
        <v>6964</v>
      </c>
      <c r="I119" s="5">
        <v>1.2999999999999999E-3</v>
      </c>
      <c r="J119" s="5">
        <v>1.6299999999999999E-2</v>
      </c>
      <c r="K119" s="2">
        <v>736133899915.18005</v>
      </c>
      <c r="L119" s="3">
        <f t="shared" si="35"/>
        <v>0.60290097001258736</v>
      </c>
      <c r="M119" s="4">
        <v>1980.01</v>
      </c>
      <c r="N119" s="4">
        <v>1980.01</v>
      </c>
      <c r="O119" s="60">
        <v>7035</v>
      </c>
      <c r="P119" s="5">
        <v>1.1999999999999999E-3</v>
      </c>
      <c r="Q119" s="5">
        <v>1.7500000000000002E-2</v>
      </c>
      <c r="R119" s="81">
        <f t="shared" si="36"/>
        <v>-5.702315373548858E-2</v>
      </c>
      <c r="S119" s="81">
        <f t="shared" si="37"/>
        <v>-6.5173154552536611E-2</v>
      </c>
      <c r="T119" s="81">
        <f t="shared" si="38"/>
        <v>1.0195290063182079E-2</v>
      </c>
      <c r="U119" s="81">
        <f t="shared" si="39"/>
        <v>-1.0000000000000005E-4</v>
      </c>
      <c r="V119" s="83">
        <f t="shared" si="40"/>
        <v>1.2000000000000031E-3</v>
      </c>
    </row>
    <row r="120" spans="1:24" ht="16.5" customHeight="1">
      <c r="A120" s="75">
        <v>103</v>
      </c>
      <c r="B120" s="125" t="s">
        <v>147</v>
      </c>
      <c r="C120" s="126" t="s">
        <v>45</v>
      </c>
      <c r="D120" s="2">
        <v>45009787629.379997</v>
      </c>
      <c r="E120" s="3">
        <f t="shared" si="41"/>
        <v>3.4506548134536019E-2</v>
      </c>
      <c r="F120" s="4">
        <v>1580.65</v>
      </c>
      <c r="G120" s="4">
        <v>1580.65</v>
      </c>
      <c r="H120" s="60">
        <v>240</v>
      </c>
      <c r="I120" s="5">
        <v>6.8400000000000002E-2</v>
      </c>
      <c r="J120" s="5">
        <v>7.9600000000000004E-2</v>
      </c>
      <c r="K120" s="2">
        <v>41282576436.629997</v>
      </c>
      <c r="L120" s="3">
        <f t="shared" si="35"/>
        <v>3.3810839822932814E-2</v>
      </c>
      <c r="M120" s="4">
        <f>1.1028*1309.39</f>
        <v>1443.9952920000001</v>
      </c>
      <c r="N120" s="4">
        <f>1.1062*1309.39</f>
        <v>1448.4472180000002</v>
      </c>
      <c r="O120" s="60">
        <v>247</v>
      </c>
      <c r="P120" s="5">
        <v>6.8199999999999997E-2</v>
      </c>
      <c r="Q120" s="5">
        <v>7.8399999999999997E-2</v>
      </c>
      <c r="R120" s="81">
        <f t="shared" si="36"/>
        <v>-8.2808904219691865E-2</v>
      </c>
      <c r="S120" s="81">
        <f t="shared" si="37"/>
        <v>-8.3638238699269188E-2</v>
      </c>
      <c r="T120" s="81">
        <f t="shared" si="38"/>
        <v>2.9166666666666667E-2</v>
      </c>
      <c r="U120" s="81">
        <f t="shared" si="39"/>
        <v>-2.0000000000000573E-4</v>
      </c>
      <c r="V120" s="83">
        <f t="shared" si="40"/>
        <v>-1.2000000000000066E-3</v>
      </c>
    </row>
    <row r="121" spans="1:24" ht="16.5" customHeight="1">
      <c r="A121" s="75">
        <v>104</v>
      </c>
      <c r="B121" s="125" t="s">
        <v>148</v>
      </c>
      <c r="C121" s="126" t="s">
        <v>32</v>
      </c>
      <c r="D121" s="4">
        <v>54188531761.807472</v>
      </c>
      <c r="E121" s="3">
        <f t="shared" ref="E121" si="47">(D121/$D$123)</f>
        <v>4.1543390406003577E-2</v>
      </c>
      <c r="F121" s="4">
        <f>1.1026*1405.966</f>
        <v>1550.2181115999999</v>
      </c>
      <c r="G121" s="4">
        <f>1.1026*1405.966</f>
        <v>1550.2181115999999</v>
      </c>
      <c r="H121" s="60">
        <v>1416</v>
      </c>
      <c r="I121" s="5">
        <v>2.7215821464210421E-4</v>
      </c>
      <c r="J121" s="5">
        <v>1.0817748441510844E-2</v>
      </c>
      <c r="K121" s="4">
        <v>55603328092.15303</v>
      </c>
      <c r="L121" s="3">
        <f t="shared" ref="L121" si="48">(K121/$K$123)</f>
        <v>4.5539677559408534E-2</v>
      </c>
      <c r="M121" s="4">
        <f>1.1044*1595.11</f>
        <v>1761.639484</v>
      </c>
      <c r="N121" s="4">
        <f>1.1044*1595.11</f>
        <v>1761.639484</v>
      </c>
      <c r="O121" s="60">
        <v>1293</v>
      </c>
      <c r="P121" s="5">
        <v>1.6325049882097709E-3</v>
      </c>
      <c r="Q121" s="5">
        <v>1.2467913458012569E-2</v>
      </c>
      <c r="R121" s="81">
        <f t="shared" ref="R121" si="49">((K121-D121)/D121)</f>
        <v>2.6108777712680498E-2</v>
      </c>
      <c r="S121" s="81">
        <f t="shared" ref="S121" si="50">((N121-G121)/G121)</f>
        <v>0.13638169417449872</v>
      </c>
      <c r="T121" s="81">
        <f t="shared" ref="T121" si="51">((O121-H121)/H121)</f>
        <v>-8.6864406779661021E-2</v>
      </c>
      <c r="U121" s="81">
        <f t="shared" ref="U121" si="52">P121-I121</f>
        <v>1.3603467735676666E-3</v>
      </c>
      <c r="V121" s="83">
        <f t="shared" ref="V121" si="53">Q121-J121</f>
        <v>1.6501650165017256E-3</v>
      </c>
    </row>
    <row r="122" spans="1:24">
      <c r="A122" s="75">
        <v>105</v>
      </c>
      <c r="B122" s="125" t="s">
        <v>263</v>
      </c>
      <c r="C122" s="126" t="s">
        <v>261</v>
      </c>
      <c r="D122" s="4">
        <f>623242.81*1405.966</f>
        <v>876258200.60446</v>
      </c>
      <c r="E122" s="3">
        <f t="shared" si="41"/>
        <v>6.7177934778129991E-4</v>
      </c>
      <c r="F122" s="4">
        <f>1.15*1405.966</f>
        <v>1616.8608999999997</v>
      </c>
      <c r="G122" s="4">
        <f>1.15*1405.966</f>
        <v>1616.8608999999997</v>
      </c>
      <c r="H122" s="60">
        <v>21</v>
      </c>
      <c r="I122" s="5">
        <v>-4.9950000000000003E-3</v>
      </c>
      <c r="J122" s="5">
        <v>4.11305E-2</v>
      </c>
      <c r="K122" s="4">
        <f>621929.43*1304.342</f>
        <v>811208676.58506012</v>
      </c>
      <c r="L122" s="3">
        <f t="shared" si="35"/>
        <v>6.6438795720739582E-4</v>
      </c>
      <c r="M122" s="4">
        <f>1.14*1304.342</f>
        <v>1486.9498799999999</v>
      </c>
      <c r="N122" s="4">
        <f>1.14*1304.342</f>
        <v>1486.9498799999999</v>
      </c>
      <c r="O122" s="60">
        <v>23</v>
      </c>
      <c r="P122" s="5">
        <v>3.6212000000000001E-2</v>
      </c>
      <c r="Q122" s="5">
        <v>-7.4819999999999999E-3</v>
      </c>
      <c r="R122" s="81">
        <f t="shared" si="36"/>
        <v>-7.4235566610991427E-2</v>
      </c>
      <c r="S122" s="81">
        <f t="shared" si="37"/>
        <v>-8.0347678640753706E-2</v>
      </c>
      <c r="T122" s="81">
        <f t="shared" si="38"/>
        <v>9.5238095238095233E-2</v>
      </c>
      <c r="U122" s="81">
        <f t="shared" si="39"/>
        <v>4.1207000000000001E-2</v>
      </c>
      <c r="V122" s="83">
        <f t="shared" si="40"/>
        <v>-4.8612500000000003E-2</v>
      </c>
    </row>
    <row r="123" spans="1:24">
      <c r="A123" s="75"/>
      <c r="B123" s="19"/>
      <c r="C123" s="66" t="s">
        <v>46</v>
      </c>
      <c r="D123" s="59">
        <f>SUM(D97:D122)</f>
        <v>1304383952109.4192</v>
      </c>
      <c r="E123" s="100">
        <f>(D123/$D$186)</f>
        <v>0.47839381844969342</v>
      </c>
      <c r="F123" s="30"/>
      <c r="G123" s="11"/>
      <c r="H123" s="65">
        <f>SUM(H97:H122)</f>
        <v>16902</v>
      </c>
      <c r="I123" s="33"/>
      <c r="J123" s="33"/>
      <c r="K123" s="59">
        <f>SUM(K97:K122)</f>
        <v>1220986424851.5159</v>
      </c>
      <c r="L123" s="100">
        <f>(K123/$K$186)</f>
        <v>0.46164706922270865</v>
      </c>
      <c r="M123" s="30"/>
      <c r="N123" s="11"/>
      <c r="O123" s="65">
        <f>SUM(O97:O122)</f>
        <v>16888</v>
      </c>
      <c r="P123" s="33"/>
      <c r="Q123" s="33"/>
      <c r="R123" s="81">
        <f t="shared" si="36"/>
        <v>-6.3936333410906196E-2</v>
      </c>
      <c r="S123" s="81" t="e">
        <f t="shared" si="37"/>
        <v>#DIV/0!</v>
      </c>
      <c r="T123" s="81">
        <f t="shared" si="38"/>
        <v>-8.2830434268133944E-4</v>
      </c>
      <c r="U123" s="81">
        <f t="shared" si="39"/>
        <v>0</v>
      </c>
      <c r="V123" s="83">
        <f t="shared" si="40"/>
        <v>0</v>
      </c>
    </row>
    <row r="124" spans="1:24" ht="8.25" customHeight="1">
      <c r="A124" s="141"/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</row>
    <row r="125" spans="1:24" ht="15.75">
      <c r="A125" s="139" t="s">
        <v>149</v>
      </c>
      <c r="B125" s="13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</row>
    <row r="126" spans="1:24">
      <c r="A126" s="75">
        <v>106</v>
      </c>
      <c r="B126" s="125" t="s">
        <v>245</v>
      </c>
      <c r="C126" s="126" t="s">
        <v>246</v>
      </c>
      <c r="D126" s="2">
        <v>2227289801.8265524</v>
      </c>
      <c r="E126" s="3">
        <f>(D126/$D$131)</f>
        <v>2.2311230672569918E-2</v>
      </c>
      <c r="F126" s="14">
        <v>104.96181912471971</v>
      </c>
      <c r="G126" s="14">
        <v>104.96181912471971</v>
      </c>
      <c r="H126" s="60">
        <v>7</v>
      </c>
      <c r="I126" s="5">
        <v>2.3091971420905466E-3</v>
      </c>
      <c r="J126" s="5">
        <v>2.7099999999999999E-2</v>
      </c>
      <c r="K126" s="2">
        <v>2232298780.62432</v>
      </c>
      <c r="L126" s="3">
        <f>(K126/$K$131)</f>
        <v>2.2347025053625805E-2</v>
      </c>
      <c r="M126" s="14">
        <v>105.19786902093874</v>
      </c>
      <c r="N126" s="14">
        <v>105.19786902093874</v>
      </c>
      <c r="O126" s="60">
        <v>7</v>
      </c>
      <c r="P126" s="5">
        <v>2.2000000000000001E-3</v>
      </c>
      <c r="Q126" s="5">
        <v>2.9399999999999999E-2</v>
      </c>
      <c r="R126" s="81">
        <f t="shared" ref="R126:R131" si="54">((K126-D126)/D126)</f>
        <v>2.2489120156972313E-3</v>
      </c>
      <c r="S126" s="81">
        <f t="shared" ref="S126:T131" si="55">((N126-G126)/G126)</f>
        <v>2.2489120156973033E-3</v>
      </c>
      <c r="T126" s="81">
        <f t="shared" si="55"/>
        <v>0</v>
      </c>
      <c r="U126" s="81">
        <f t="shared" ref="U126:V131" si="56">P126-I126</f>
        <v>-1.0919714209054647E-4</v>
      </c>
      <c r="V126" s="83">
        <f t="shared" si="56"/>
        <v>2.3E-3</v>
      </c>
    </row>
    <row r="127" spans="1:24">
      <c r="A127" s="75">
        <v>107</v>
      </c>
      <c r="B127" s="125" t="s">
        <v>150</v>
      </c>
      <c r="C127" s="126" t="s">
        <v>40</v>
      </c>
      <c r="D127" s="2">
        <v>53749983529</v>
      </c>
      <c r="E127" s="3">
        <f>(D127/$D$131)</f>
        <v>0.53842489656213188</v>
      </c>
      <c r="F127" s="14">
        <v>102.5</v>
      </c>
      <c r="G127" s="14">
        <v>102.5</v>
      </c>
      <c r="H127" s="60">
        <v>666</v>
      </c>
      <c r="I127" s="5">
        <v>0</v>
      </c>
      <c r="J127" s="5">
        <v>7.6999999999999999E-2</v>
      </c>
      <c r="K127" s="2">
        <v>53749983529</v>
      </c>
      <c r="L127" s="3">
        <f>(K127/$K$131)</f>
        <v>0.53807861159992387</v>
      </c>
      <c r="M127" s="14">
        <v>102.5</v>
      </c>
      <c r="N127" s="14">
        <v>102.5</v>
      </c>
      <c r="O127" s="60">
        <v>666</v>
      </c>
      <c r="P127" s="5">
        <v>0</v>
      </c>
      <c r="Q127" s="5">
        <v>7.6999999999999999E-2</v>
      </c>
      <c r="R127" s="81">
        <f t="shared" si="54"/>
        <v>0</v>
      </c>
      <c r="S127" s="81">
        <f t="shared" si="55"/>
        <v>0</v>
      </c>
      <c r="T127" s="81">
        <f t="shared" si="55"/>
        <v>0</v>
      </c>
      <c r="U127" s="81">
        <f t="shared" si="56"/>
        <v>0</v>
      </c>
      <c r="V127" s="83">
        <f t="shared" si="56"/>
        <v>0</v>
      </c>
    </row>
    <row r="128" spans="1:24" ht="17.25" customHeight="1">
      <c r="A128" s="75">
        <v>108</v>
      </c>
      <c r="B128" s="125" t="s">
        <v>151</v>
      </c>
      <c r="C128" s="126" t="s">
        <v>120</v>
      </c>
      <c r="D128" s="2">
        <v>2640333419.73</v>
      </c>
      <c r="E128" s="3">
        <f>(D128/$D$131)</f>
        <v>2.644877551712459E-2</v>
      </c>
      <c r="F128" s="14">
        <v>101.35</v>
      </c>
      <c r="G128" s="14">
        <v>101.35</v>
      </c>
      <c r="H128" s="60">
        <v>2771</v>
      </c>
      <c r="I128" s="5">
        <v>0.12039999999999999</v>
      </c>
      <c r="J128" s="5">
        <v>7.2999999999999995E-2</v>
      </c>
      <c r="K128" s="2">
        <v>2643394715.9928608</v>
      </c>
      <c r="L128" s="3">
        <f>(K128/$K$131)</f>
        <v>2.6462411061476954E-2</v>
      </c>
      <c r="M128" s="14">
        <v>101.35</v>
      </c>
      <c r="N128" s="14">
        <v>101.35</v>
      </c>
      <c r="O128" s="60">
        <v>2771</v>
      </c>
      <c r="P128" s="5">
        <v>8.4870677681061865E-2</v>
      </c>
      <c r="Q128" s="5">
        <v>7.2872052682687802E-2</v>
      </c>
      <c r="R128" s="81">
        <f t="shared" si="54"/>
        <v>1.1594354864370964E-3</v>
      </c>
      <c r="S128" s="81">
        <f t="shared" si="55"/>
        <v>0</v>
      </c>
      <c r="T128" s="81">
        <f t="shared" si="55"/>
        <v>0</v>
      </c>
      <c r="U128" s="81">
        <f t="shared" si="56"/>
        <v>-3.5529322318938128E-2</v>
      </c>
      <c r="V128" s="83">
        <f t="shared" si="56"/>
        <v>-1.2794731731219366E-4</v>
      </c>
    </row>
    <row r="129" spans="1:22">
      <c r="A129" s="75">
        <v>109</v>
      </c>
      <c r="B129" s="125" t="s">
        <v>152</v>
      </c>
      <c r="C129" s="126" t="s">
        <v>120</v>
      </c>
      <c r="D129" s="2">
        <v>10973207577.27</v>
      </c>
      <c r="E129" s="3">
        <f>(D129/$D$131)</f>
        <v>0.10992092958612154</v>
      </c>
      <c r="F129" s="14">
        <v>36.6</v>
      </c>
      <c r="G129" s="14">
        <v>36.6</v>
      </c>
      <c r="H129" s="60">
        <v>5274</v>
      </c>
      <c r="I129" s="5">
        <v>5.1999999999999998E-2</v>
      </c>
      <c r="J129" s="5">
        <v>0.12230000000000001</v>
      </c>
      <c r="K129" s="2">
        <v>11008435052.780001</v>
      </c>
      <c r="L129" s="3">
        <f>(K129/$K$131)</f>
        <v>0.11020288863701538</v>
      </c>
      <c r="M129" s="14">
        <v>36.6</v>
      </c>
      <c r="N129" s="14">
        <v>36.6</v>
      </c>
      <c r="O129" s="60">
        <v>5274</v>
      </c>
      <c r="P129" s="5">
        <v>0.16439999999999999</v>
      </c>
      <c r="Q129" s="5">
        <v>0.1484</v>
      </c>
      <c r="R129" s="81">
        <f t="shared" si="54"/>
        <v>3.2103170619838389E-3</v>
      </c>
      <c r="S129" s="81">
        <f t="shared" si="55"/>
        <v>0</v>
      </c>
      <c r="T129" s="81">
        <f t="shared" si="55"/>
        <v>0</v>
      </c>
      <c r="U129" s="81">
        <f t="shared" si="56"/>
        <v>0.1124</v>
      </c>
      <c r="V129" s="83">
        <f t="shared" si="56"/>
        <v>2.6099999999999998E-2</v>
      </c>
    </row>
    <row r="130" spans="1:22">
      <c r="A130" s="75">
        <v>110</v>
      </c>
      <c r="B130" s="125" t="s">
        <v>153</v>
      </c>
      <c r="C130" s="126" t="s">
        <v>42</v>
      </c>
      <c r="D130" s="2">
        <v>30237376887.32</v>
      </c>
      <c r="E130" s="3">
        <f>(D130/$D$131)</f>
        <v>0.30289416766205213</v>
      </c>
      <c r="F130" s="14">
        <v>4.8</v>
      </c>
      <c r="G130" s="14">
        <v>4.8</v>
      </c>
      <c r="H130" s="60">
        <v>208423</v>
      </c>
      <c r="I130" s="5">
        <v>-0.1273</v>
      </c>
      <c r="J130" s="5">
        <v>-0.25</v>
      </c>
      <c r="K130" s="2">
        <v>30258324398.830002</v>
      </c>
      <c r="L130" s="3">
        <f>(K130/$K$131)</f>
        <v>0.30290906364795789</v>
      </c>
      <c r="M130" s="14">
        <v>5.15</v>
      </c>
      <c r="N130" s="14">
        <v>5.15</v>
      </c>
      <c r="O130" s="60">
        <v>208300</v>
      </c>
      <c r="P130" s="5">
        <v>7.2900000000000006E-2</v>
      </c>
      <c r="Q130" s="5">
        <v>-0.1953</v>
      </c>
      <c r="R130" s="81">
        <f t="shared" si="54"/>
        <v>6.9276880689959734E-4</v>
      </c>
      <c r="S130" s="81">
        <f t="shared" si="55"/>
        <v>7.2916666666666782E-2</v>
      </c>
      <c r="T130" s="81">
        <f t="shared" si="55"/>
        <v>-5.9014600116110024E-4</v>
      </c>
      <c r="U130" s="81">
        <f t="shared" si="56"/>
        <v>0.20019999999999999</v>
      </c>
      <c r="V130" s="83">
        <f t="shared" si="56"/>
        <v>5.4699999999999999E-2</v>
      </c>
    </row>
    <row r="131" spans="1:22">
      <c r="A131" s="122"/>
      <c r="B131" s="123"/>
      <c r="C131" s="124" t="s">
        <v>46</v>
      </c>
      <c r="D131" s="58">
        <f>SUM(D126:D130)</f>
        <v>99828191215.146545</v>
      </c>
      <c r="E131" s="100">
        <f>(D131/$D$186)</f>
        <v>3.6612831296420262E-2</v>
      </c>
      <c r="F131" s="30"/>
      <c r="G131" s="34"/>
      <c r="H131" s="65">
        <f>SUM(H126:H130)</f>
        <v>217141</v>
      </c>
      <c r="I131" s="35"/>
      <c r="J131" s="35"/>
      <c r="K131" s="58">
        <f>SUM(K126:K130)</f>
        <v>99892436477.227188</v>
      </c>
      <c r="L131" s="100">
        <f>(K131/$K$186)</f>
        <v>3.7768684072663275E-2</v>
      </c>
      <c r="M131" s="30"/>
      <c r="N131" s="34"/>
      <c r="O131" s="65">
        <f>SUM(O126:O130)</f>
        <v>217018</v>
      </c>
      <c r="P131" s="35"/>
      <c r="Q131" s="35"/>
      <c r="R131" s="81">
        <f t="shared" si="54"/>
        <v>6.435583105195541E-4</v>
      </c>
      <c r="S131" s="81" t="e">
        <f t="shared" si="55"/>
        <v>#DIV/0!</v>
      </c>
      <c r="T131" s="81">
        <f t="shared" si="55"/>
        <v>-5.664522130781382E-4</v>
      </c>
      <c r="U131" s="81">
        <f t="shared" si="56"/>
        <v>0</v>
      </c>
      <c r="V131" s="83">
        <f t="shared" si="56"/>
        <v>0</v>
      </c>
    </row>
    <row r="132" spans="1:22" ht="7.5" customHeight="1">
      <c r="A132" s="141"/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</row>
    <row r="133" spans="1:22" ht="15" customHeight="1">
      <c r="A133" s="139" t="s">
        <v>154</v>
      </c>
      <c r="B133" s="139"/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</row>
    <row r="134" spans="1:22">
      <c r="A134" s="75">
        <v>111</v>
      </c>
      <c r="B134" s="125" t="s">
        <v>155</v>
      </c>
      <c r="C134" s="126" t="s">
        <v>50</v>
      </c>
      <c r="D134" s="4">
        <v>233053484.18000001</v>
      </c>
      <c r="E134" s="3">
        <f t="shared" ref="E134:E159" si="57">(D134/$D$160)</f>
        <v>4.6896481251766722E-3</v>
      </c>
      <c r="F134" s="4">
        <v>5.26</v>
      </c>
      <c r="G134" s="4">
        <v>5.34</v>
      </c>
      <c r="H134" s="62">
        <v>11831</v>
      </c>
      <c r="I134" s="6">
        <v>-4.7000000000000002E-3</v>
      </c>
      <c r="J134" s="6">
        <v>4.5600000000000002E-2</v>
      </c>
      <c r="K134" s="4">
        <v>236024928.47999999</v>
      </c>
      <c r="L134" s="16">
        <f t="shared" ref="L134:L150" si="58">(K134/$K$160)</f>
        <v>4.7294416131876491E-3</v>
      </c>
      <c r="M134" s="4">
        <v>5.29</v>
      </c>
      <c r="N134" s="4">
        <v>5.37</v>
      </c>
      <c r="O134" s="62">
        <v>11832</v>
      </c>
      <c r="P134" s="6">
        <v>6.1000000000000004E-3</v>
      </c>
      <c r="Q134" s="6">
        <v>5.16E-2</v>
      </c>
      <c r="R134" s="81">
        <f>((K134-D134)/D134)</f>
        <v>1.2750053106715077E-2</v>
      </c>
      <c r="S134" s="81">
        <f>((N134-G134)/G134)</f>
        <v>5.6179775280899343E-3</v>
      </c>
      <c r="T134" s="81">
        <f>((O134-H134)/H134)</f>
        <v>8.452370890034655E-5</v>
      </c>
      <c r="U134" s="81">
        <f>P134-I134</f>
        <v>1.0800000000000001E-2</v>
      </c>
      <c r="V134" s="83">
        <f>Q134-J134</f>
        <v>5.9999999999999984E-3</v>
      </c>
    </row>
    <row r="135" spans="1:22">
      <c r="A135" s="75">
        <v>112</v>
      </c>
      <c r="B135" s="125" t="s">
        <v>255</v>
      </c>
      <c r="C135" s="125" t="s">
        <v>254</v>
      </c>
      <c r="D135" s="4">
        <v>619772432.95864689</v>
      </c>
      <c r="E135" s="3">
        <f t="shared" si="57"/>
        <v>1.2471448940088973E-2</v>
      </c>
      <c r="F135" s="4">
        <v>1182.6935829589943</v>
      </c>
      <c r="G135" s="4">
        <v>1194.6102885975863</v>
      </c>
      <c r="H135" s="62">
        <v>179</v>
      </c>
      <c r="I135" s="6">
        <v>-6.861898336565914E-3</v>
      </c>
      <c r="J135" s="6">
        <v>5.6105339069373095E-2</v>
      </c>
      <c r="K135" s="4">
        <v>625959806.85286295</v>
      </c>
      <c r="L135" s="16">
        <f t="shared" si="58"/>
        <v>1.2542913910738423E-2</v>
      </c>
      <c r="M135" s="4">
        <v>1194.801582310195</v>
      </c>
      <c r="N135" s="4">
        <v>1206.9122627528272</v>
      </c>
      <c r="O135" s="62">
        <v>176</v>
      </c>
      <c r="P135" s="6">
        <v>1.0274244026779155E-2</v>
      </c>
      <c r="Q135" s="6">
        <v>6.6956023040956172E-2</v>
      </c>
      <c r="R135" s="81">
        <f>((K135-D135)/D135)</f>
        <v>9.9832996196345843E-3</v>
      </c>
      <c r="S135" s="81">
        <f>((N135-G135)/G135)</f>
        <v>1.0297897375120428E-2</v>
      </c>
      <c r="T135" s="81">
        <f>((O135-H135)/H135)</f>
        <v>-1.6759776536312849E-2</v>
      </c>
      <c r="U135" s="81">
        <f>P135-I135</f>
        <v>1.7136142363345069E-2</v>
      </c>
      <c r="V135" s="83">
        <f>Q135-J135</f>
        <v>1.0850683971583078E-2</v>
      </c>
    </row>
    <row r="136" spans="1:22">
      <c r="A136" s="75">
        <v>113</v>
      </c>
      <c r="B136" s="125" t="s">
        <v>156</v>
      </c>
      <c r="C136" s="126" t="s">
        <v>21</v>
      </c>
      <c r="D136" s="4">
        <v>7298585604.3299999</v>
      </c>
      <c r="E136" s="3">
        <f t="shared" si="57"/>
        <v>0.14686670922864911</v>
      </c>
      <c r="F136" s="4">
        <v>767.64620000000002</v>
      </c>
      <c r="G136" s="4">
        <v>790.79129999999998</v>
      </c>
      <c r="H136" s="62">
        <v>21215</v>
      </c>
      <c r="I136" s="6">
        <v>-8.1299999999999997E-2</v>
      </c>
      <c r="J136" s="6">
        <v>0.7087</v>
      </c>
      <c r="K136" s="4">
        <v>7314541135.5</v>
      </c>
      <c r="L136" s="16">
        <f t="shared" si="58"/>
        <v>0.14656797250353959</v>
      </c>
      <c r="M136" s="4">
        <v>767.98950000000002</v>
      </c>
      <c r="N136" s="4">
        <v>791.14490000000001</v>
      </c>
      <c r="O136" s="62">
        <v>21217</v>
      </c>
      <c r="P136" s="6">
        <v>2.3400000000000001E-2</v>
      </c>
      <c r="Q136" s="6">
        <v>0.65500000000000003</v>
      </c>
      <c r="R136" s="81">
        <f t="shared" ref="R136:R160" si="59">((K136-D136)/D136)</f>
        <v>2.1861127669084552E-3</v>
      </c>
      <c r="S136" s="81">
        <f t="shared" ref="S136:S160" si="60">((N136-G136)/G136)</f>
        <v>4.4714705384344588E-4</v>
      </c>
      <c r="T136" s="81">
        <f t="shared" ref="T136:T160" si="61">((O136-H136)/H136)</f>
        <v>9.4272920103700216E-5</v>
      </c>
      <c r="U136" s="81">
        <f t="shared" ref="U136:U160" si="62">P136-I136</f>
        <v>0.1047</v>
      </c>
      <c r="V136" s="83">
        <f t="shared" ref="V136:V160" si="63">Q136-J136</f>
        <v>-5.369999999999997E-2</v>
      </c>
    </row>
    <row r="137" spans="1:22">
      <c r="A137" s="75">
        <v>114</v>
      </c>
      <c r="B137" s="125" t="s">
        <v>157</v>
      </c>
      <c r="C137" s="126" t="s">
        <v>91</v>
      </c>
      <c r="D137" s="4">
        <v>3606411191.1799998</v>
      </c>
      <c r="E137" s="3">
        <f t="shared" si="57"/>
        <v>7.2570463989591216E-2</v>
      </c>
      <c r="F137" s="4">
        <v>20.0214</v>
      </c>
      <c r="G137" s="4">
        <v>20.265499999999999</v>
      </c>
      <c r="H137" s="60">
        <v>6265</v>
      </c>
      <c r="I137" s="5">
        <v>-5.4999999999999997E-3</v>
      </c>
      <c r="J137" s="5">
        <v>8.5800000000000001E-2</v>
      </c>
      <c r="K137" s="4">
        <v>3607931093.8499999</v>
      </c>
      <c r="L137" s="16">
        <f t="shared" si="58"/>
        <v>7.2295327288760217E-2</v>
      </c>
      <c r="M137" s="4">
        <v>20.180299999999999</v>
      </c>
      <c r="N137" s="4">
        <v>20.427499999999998</v>
      </c>
      <c r="O137" s="60">
        <v>6263</v>
      </c>
      <c r="P137" s="5">
        <v>7.1000000000000004E-3</v>
      </c>
      <c r="Q137" s="5">
        <v>9.4399999999999998E-2</v>
      </c>
      <c r="R137" s="81">
        <f t="shared" si="59"/>
        <v>4.2144464106511705E-4</v>
      </c>
      <c r="S137" s="81">
        <f t="shared" si="60"/>
        <v>7.9938812267153058E-3</v>
      </c>
      <c r="T137" s="81">
        <f t="shared" si="61"/>
        <v>-3.1923383878691139E-4</v>
      </c>
      <c r="U137" s="81">
        <f t="shared" si="62"/>
        <v>1.26E-2</v>
      </c>
      <c r="V137" s="83">
        <f t="shared" si="63"/>
        <v>8.5999999999999965E-3</v>
      </c>
    </row>
    <row r="138" spans="1:22">
      <c r="A138" s="75">
        <v>115</v>
      </c>
      <c r="B138" s="125" t="s">
        <v>158</v>
      </c>
      <c r="C138" s="126" t="s">
        <v>101</v>
      </c>
      <c r="D138" s="2">
        <v>1518224529.4300001</v>
      </c>
      <c r="E138" s="3">
        <f t="shared" si="57"/>
        <v>3.0550664552775001E-2</v>
      </c>
      <c r="F138" s="4">
        <v>3.5674000000000001</v>
      </c>
      <c r="G138" s="4">
        <v>3.6598999999999999</v>
      </c>
      <c r="H138" s="60">
        <v>2753</v>
      </c>
      <c r="I138" s="5">
        <v>0.72689999999999999</v>
      </c>
      <c r="J138" s="5">
        <v>0.67069999999999996</v>
      </c>
      <c r="K138" s="2">
        <v>1538075702.3437524</v>
      </c>
      <c r="L138" s="16">
        <f t="shared" si="58"/>
        <v>3.0819792120024978E-2</v>
      </c>
      <c r="M138" s="4">
        <v>3.6133999999999999</v>
      </c>
      <c r="N138" s="4">
        <v>3.7079</v>
      </c>
      <c r="O138" s="60">
        <v>2753</v>
      </c>
      <c r="P138" s="5">
        <v>0.68569999999999998</v>
      </c>
      <c r="Q138" s="5">
        <v>0.68769999999999998</v>
      </c>
      <c r="R138" s="81">
        <f t="shared" si="59"/>
        <v>1.3075255029112994E-2</v>
      </c>
      <c r="S138" s="81">
        <f t="shared" si="60"/>
        <v>1.3115112434765989E-2</v>
      </c>
      <c r="T138" s="81">
        <f t="shared" si="61"/>
        <v>0</v>
      </c>
      <c r="U138" s="81">
        <f t="shared" si="62"/>
        <v>-4.1200000000000014E-2</v>
      </c>
      <c r="V138" s="83">
        <f t="shared" si="63"/>
        <v>1.7000000000000015E-2</v>
      </c>
    </row>
    <row r="139" spans="1:22">
      <c r="A139" s="75">
        <v>116</v>
      </c>
      <c r="B139" s="125" t="s">
        <v>159</v>
      </c>
      <c r="C139" s="126" t="s">
        <v>56</v>
      </c>
      <c r="D139" s="2">
        <v>3310644726.3487601</v>
      </c>
      <c r="E139" s="3">
        <f t="shared" si="57"/>
        <v>6.6618866002690194E-2</v>
      </c>
      <c r="F139" s="4">
        <v>6128.9732441093602</v>
      </c>
      <c r="G139" s="4">
        <v>6175.2158512620299</v>
      </c>
      <c r="H139" s="60">
        <v>867</v>
      </c>
      <c r="I139" s="5">
        <v>0.28759519117535592</v>
      </c>
      <c r="J139" s="5">
        <v>0.26335906760692651</v>
      </c>
      <c r="K139" s="2">
        <v>3347989839.4558201</v>
      </c>
      <c r="L139" s="16">
        <f t="shared" si="58"/>
        <v>6.7086652961716828E-2</v>
      </c>
      <c r="M139" s="4">
        <v>6197.5593709238901</v>
      </c>
      <c r="N139" s="4">
        <v>6245.1719813894297</v>
      </c>
      <c r="O139" s="60">
        <v>867</v>
      </c>
      <c r="P139" s="5">
        <v>0.58510202080501927</v>
      </c>
      <c r="Q139" s="5">
        <v>0.29138001098805838</v>
      </c>
      <c r="R139" s="81">
        <f t="shared" si="59"/>
        <v>1.128031431758221E-2</v>
      </c>
      <c r="S139" s="81">
        <f t="shared" si="60"/>
        <v>1.132853195942986E-2</v>
      </c>
      <c r="T139" s="81">
        <f t="shared" si="61"/>
        <v>0</v>
      </c>
      <c r="U139" s="81">
        <f t="shared" si="62"/>
        <v>0.29750682962966335</v>
      </c>
      <c r="V139" s="83">
        <f t="shared" si="63"/>
        <v>2.8020943381131869E-2</v>
      </c>
    </row>
    <row r="140" spans="1:22">
      <c r="A140" s="75">
        <v>117</v>
      </c>
      <c r="B140" s="125" t="s">
        <v>160</v>
      </c>
      <c r="C140" s="126" t="s">
        <v>58</v>
      </c>
      <c r="D140" s="4">
        <v>513480960.91000003</v>
      </c>
      <c r="E140" s="3">
        <f t="shared" si="57"/>
        <v>1.0332585389650869E-2</v>
      </c>
      <c r="F140" s="4">
        <v>187.85</v>
      </c>
      <c r="G140" s="4">
        <v>189.18</v>
      </c>
      <c r="H140" s="60">
        <v>665</v>
      </c>
      <c r="I140" s="5">
        <v>8.6099999999999996E-2</v>
      </c>
      <c r="J140" s="5">
        <v>8.6099999999999996E-2</v>
      </c>
      <c r="K140" s="4">
        <v>533424413.72000003</v>
      </c>
      <c r="L140" s="16">
        <f t="shared" si="58"/>
        <v>1.0688699858885316E-2</v>
      </c>
      <c r="M140" s="4">
        <v>191.28</v>
      </c>
      <c r="N140" s="4">
        <v>192.67</v>
      </c>
      <c r="O140" s="60">
        <v>668</v>
      </c>
      <c r="P140" s="5">
        <v>1.84E-2</v>
      </c>
      <c r="Q140" s="5">
        <v>0.106</v>
      </c>
      <c r="R140" s="81">
        <f t="shared" si="59"/>
        <v>3.8839712332577749E-2</v>
      </c>
      <c r="S140" s="81">
        <f t="shared" si="60"/>
        <v>1.8448038904746698E-2</v>
      </c>
      <c r="T140" s="81">
        <f t="shared" si="61"/>
        <v>4.5112781954887221E-3</v>
      </c>
      <c r="U140" s="81">
        <f t="shared" si="62"/>
        <v>-6.7699999999999996E-2</v>
      </c>
      <c r="V140" s="83">
        <f t="shared" si="63"/>
        <v>1.9900000000000001E-2</v>
      </c>
    </row>
    <row r="141" spans="1:22">
      <c r="A141" s="75">
        <v>118</v>
      </c>
      <c r="B141" s="125" t="s">
        <v>161</v>
      </c>
      <c r="C141" s="126" t="s">
        <v>60</v>
      </c>
      <c r="D141" s="4">
        <v>3734808.11</v>
      </c>
      <c r="E141" s="3">
        <f t="shared" si="57"/>
        <v>7.5154147180345879E-5</v>
      </c>
      <c r="F141" s="4">
        <v>102.747</v>
      </c>
      <c r="G141" s="4">
        <v>102.99</v>
      </c>
      <c r="H141" s="60">
        <v>0</v>
      </c>
      <c r="I141" s="5">
        <v>0</v>
      </c>
      <c r="J141" s="5">
        <v>0</v>
      </c>
      <c r="K141" s="4">
        <v>3734808.11</v>
      </c>
      <c r="L141" s="16">
        <f t="shared" si="58"/>
        <v>7.4837675013643602E-5</v>
      </c>
      <c r="M141" s="4">
        <v>102.747</v>
      </c>
      <c r="N141" s="4">
        <v>102.99</v>
      </c>
      <c r="O141" s="60">
        <v>0</v>
      </c>
      <c r="P141" s="5">
        <v>0</v>
      </c>
      <c r="Q141" s="5">
        <v>0</v>
      </c>
      <c r="R141" s="81">
        <f t="shared" si="59"/>
        <v>0</v>
      </c>
      <c r="S141" s="81">
        <f t="shared" si="60"/>
        <v>0</v>
      </c>
      <c r="T141" s="81" t="e">
        <f t="shared" si="61"/>
        <v>#DIV/0!</v>
      </c>
      <c r="U141" s="81">
        <f t="shared" si="62"/>
        <v>0</v>
      </c>
      <c r="V141" s="83">
        <f t="shared" si="63"/>
        <v>0</v>
      </c>
    </row>
    <row r="142" spans="1:22">
      <c r="A142" s="75">
        <v>119</v>
      </c>
      <c r="B142" s="125" t="s">
        <v>162</v>
      </c>
      <c r="C142" s="126" t="s">
        <v>105</v>
      </c>
      <c r="D142" s="4">
        <v>188079451.72999999</v>
      </c>
      <c r="E142" s="3">
        <f t="shared" si="57"/>
        <v>3.7846524856440826E-3</v>
      </c>
      <c r="F142" s="4">
        <v>1.5646</v>
      </c>
      <c r="G142" s="4">
        <v>1.5792999999999999</v>
      </c>
      <c r="H142" s="60">
        <v>289</v>
      </c>
      <c r="I142" s="5">
        <v>-8.6174122417944643E-3</v>
      </c>
      <c r="J142" s="5">
        <v>5.3389887564801564E-2</v>
      </c>
      <c r="K142" s="4">
        <v>189929842.68000001</v>
      </c>
      <c r="L142" s="16">
        <f t="shared" si="58"/>
        <v>3.8057933428548483E-3</v>
      </c>
      <c r="M142" s="4">
        <v>1.5747</v>
      </c>
      <c r="N142" s="4">
        <v>1.5894999999999999</v>
      </c>
      <c r="O142" s="60">
        <v>290</v>
      </c>
      <c r="P142" s="5">
        <v>6.4553240444842341E-3</v>
      </c>
      <c r="Q142" s="5">
        <v>6.0189860634215275E-2</v>
      </c>
      <c r="R142" s="81">
        <f t="shared" si="59"/>
        <v>9.8383472143271228E-3</v>
      </c>
      <c r="S142" s="81">
        <f t="shared" si="60"/>
        <v>6.4585575888051585E-3</v>
      </c>
      <c r="T142" s="81">
        <f t="shared" si="61"/>
        <v>3.4602076124567475E-3</v>
      </c>
      <c r="U142" s="81">
        <f t="shared" si="62"/>
        <v>1.5072736286278698E-2</v>
      </c>
      <c r="V142" s="83">
        <f t="shared" si="63"/>
        <v>6.7999730694137117E-3</v>
      </c>
    </row>
    <row r="143" spans="1:22">
      <c r="A143" s="75">
        <v>120</v>
      </c>
      <c r="B143" s="125" t="s">
        <v>163</v>
      </c>
      <c r="C143" s="126" t="s">
        <v>25</v>
      </c>
      <c r="D143" s="9">
        <v>148888940.81</v>
      </c>
      <c r="E143" s="3">
        <f t="shared" si="57"/>
        <v>2.9960364874436741E-3</v>
      </c>
      <c r="F143" s="4">
        <v>142.53559999999999</v>
      </c>
      <c r="G143" s="4">
        <v>143.02680000000001</v>
      </c>
      <c r="H143" s="60">
        <v>98</v>
      </c>
      <c r="I143" s="5">
        <v>-2.2821000000000001E-2</v>
      </c>
      <c r="J143" s="5">
        <v>0.29880000000000001</v>
      </c>
      <c r="K143" s="9">
        <v>147423273.19</v>
      </c>
      <c r="L143" s="16">
        <f t="shared" si="58"/>
        <v>2.95405136850279E-3</v>
      </c>
      <c r="M143" s="4">
        <v>142.542</v>
      </c>
      <c r="N143" s="4">
        <v>143.03659999999999</v>
      </c>
      <c r="O143" s="60">
        <v>99</v>
      </c>
      <c r="P143" s="5">
        <v>-3.9399999999999998E-4</v>
      </c>
      <c r="Q143" s="5">
        <v>0.30499999999999999</v>
      </c>
      <c r="R143" s="81">
        <f t="shared" si="59"/>
        <v>-9.8440328208820489E-3</v>
      </c>
      <c r="S143" s="81">
        <f t="shared" si="60"/>
        <v>6.8518627278134339E-5</v>
      </c>
      <c r="T143" s="81">
        <f t="shared" si="61"/>
        <v>1.020408163265306E-2</v>
      </c>
      <c r="U143" s="81">
        <f t="shared" si="62"/>
        <v>2.2427000000000002E-2</v>
      </c>
      <c r="V143" s="83">
        <f t="shared" si="63"/>
        <v>6.1999999999999833E-3</v>
      </c>
    </row>
    <row r="144" spans="1:22">
      <c r="A144" s="75">
        <v>121</v>
      </c>
      <c r="B144" s="125" t="s">
        <v>164</v>
      </c>
      <c r="C144" s="126" t="s">
        <v>64</v>
      </c>
      <c r="D144" s="9">
        <v>199790873.66</v>
      </c>
      <c r="E144" s="3">
        <f t="shared" si="57"/>
        <v>4.0203170503272604E-3</v>
      </c>
      <c r="F144" s="4">
        <v>111.78</v>
      </c>
      <c r="G144" s="4">
        <v>112.58</v>
      </c>
      <c r="H144" s="60">
        <v>29</v>
      </c>
      <c r="I144" s="5">
        <v>1.5E-3</v>
      </c>
      <c r="J144" s="5">
        <v>0.08</v>
      </c>
      <c r="K144" s="9">
        <v>200336444.43000001</v>
      </c>
      <c r="L144" s="16">
        <f t="shared" si="58"/>
        <v>4.0143196865986275E-3</v>
      </c>
      <c r="M144" s="4">
        <v>112.15</v>
      </c>
      <c r="N144" s="4">
        <v>113.06</v>
      </c>
      <c r="O144" s="60">
        <v>29</v>
      </c>
      <c r="P144" s="5">
        <v>4.0000000000000001E-3</v>
      </c>
      <c r="Q144" s="5">
        <v>8.4000000000000005E-2</v>
      </c>
      <c r="R144" s="81">
        <f t="shared" si="59"/>
        <v>2.7307091660675746E-3</v>
      </c>
      <c r="S144" s="81">
        <f t="shared" si="60"/>
        <v>4.2636347486232368E-3</v>
      </c>
      <c r="T144" s="81">
        <f t="shared" si="61"/>
        <v>0</v>
      </c>
      <c r="U144" s="81">
        <f t="shared" si="62"/>
        <v>2.5000000000000001E-3</v>
      </c>
      <c r="V144" s="83">
        <f t="shared" si="63"/>
        <v>4.0000000000000036E-3</v>
      </c>
    </row>
    <row r="145" spans="1:24" ht="15.75" customHeight="1">
      <c r="A145" s="75">
        <v>122</v>
      </c>
      <c r="B145" s="125" t="s">
        <v>165</v>
      </c>
      <c r="C145" s="126" t="s">
        <v>67</v>
      </c>
      <c r="D145" s="2">
        <v>340605224.93000001</v>
      </c>
      <c r="E145" s="3">
        <f t="shared" si="57"/>
        <v>6.8538715914869411E-3</v>
      </c>
      <c r="F145" s="4">
        <v>1.4117</v>
      </c>
      <c r="G145" s="4">
        <v>1.4289000000000001</v>
      </c>
      <c r="H145" s="60">
        <v>107</v>
      </c>
      <c r="I145" s="5">
        <v>-2.768785729044701E-2</v>
      </c>
      <c r="J145" s="5">
        <v>8.2924209880331279E-2</v>
      </c>
      <c r="K145" s="2">
        <v>342824516.05000001</v>
      </c>
      <c r="L145" s="16">
        <f t="shared" si="58"/>
        <v>6.8694800276792667E-3</v>
      </c>
      <c r="M145" s="4">
        <v>1.4225000000000001</v>
      </c>
      <c r="N145" s="4">
        <v>1.4398</v>
      </c>
      <c r="O145" s="60">
        <v>108</v>
      </c>
      <c r="P145" s="5">
        <v>7.6503506410711504E-3</v>
      </c>
      <c r="Q145" s="5">
        <v>9.1208959803620746E-2</v>
      </c>
      <c r="R145" s="81">
        <f t="shared" si="59"/>
        <v>6.5157283493114523E-3</v>
      </c>
      <c r="S145" s="81">
        <f t="shared" si="60"/>
        <v>7.6282455035341238E-3</v>
      </c>
      <c r="T145" s="81">
        <f t="shared" si="61"/>
        <v>9.3457943925233638E-3</v>
      </c>
      <c r="U145" s="81">
        <f t="shared" si="62"/>
        <v>3.5338207931518158E-2</v>
      </c>
      <c r="V145" s="83">
        <f t="shared" si="63"/>
        <v>8.2847499232894667E-3</v>
      </c>
      <c r="X145" s="105"/>
    </row>
    <row r="146" spans="1:24">
      <c r="A146" s="75">
        <v>123</v>
      </c>
      <c r="B146" s="125" t="s">
        <v>166</v>
      </c>
      <c r="C146" s="126" t="s">
        <v>27</v>
      </c>
      <c r="D146" s="4">
        <v>8268092990.6599998</v>
      </c>
      <c r="E146" s="3">
        <f t="shared" si="57"/>
        <v>0.16637574387211229</v>
      </c>
      <c r="F146" s="4">
        <v>302.01</v>
      </c>
      <c r="G146" s="4">
        <v>304.36</v>
      </c>
      <c r="H146" s="60">
        <v>5498</v>
      </c>
      <c r="I146" s="5">
        <v>5.1999999999999998E-3</v>
      </c>
      <c r="J146" s="5">
        <v>0.1169</v>
      </c>
      <c r="K146" s="4">
        <v>8355545026.3599997</v>
      </c>
      <c r="L146" s="16">
        <f t="shared" si="58"/>
        <v>0.16742749421859746</v>
      </c>
      <c r="M146" s="4">
        <v>304.92</v>
      </c>
      <c r="N146" s="4">
        <v>307.31</v>
      </c>
      <c r="O146" s="60">
        <v>5499</v>
      </c>
      <c r="P146" s="5">
        <v>9.7000000000000003E-3</v>
      </c>
      <c r="Q146" s="5">
        <v>0.1169</v>
      </c>
      <c r="R146" s="81">
        <f t="shared" si="59"/>
        <v>1.0577050330564674E-2</v>
      </c>
      <c r="S146" s="81">
        <f t="shared" si="60"/>
        <v>9.6924694440793414E-3</v>
      </c>
      <c r="T146" s="81">
        <f t="shared" si="61"/>
        <v>1.8188432157148054E-4</v>
      </c>
      <c r="U146" s="81">
        <f t="shared" si="62"/>
        <v>4.5000000000000005E-3</v>
      </c>
      <c r="V146" s="83">
        <f t="shared" si="63"/>
        <v>0</v>
      </c>
    </row>
    <row r="147" spans="1:24">
      <c r="A147" s="75">
        <v>124</v>
      </c>
      <c r="B147" s="125" t="s">
        <v>167</v>
      </c>
      <c r="C147" s="126" t="s">
        <v>72</v>
      </c>
      <c r="D147" s="4">
        <v>2728904196.1100001</v>
      </c>
      <c r="E147" s="3">
        <f t="shared" si="57"/>
        <v>5.4912718821185813E-2</v>
      </c>
      <c r="F147" s="4">
        <v>1.9056999999999999</v>
      </c>
      <c r="G147" s="4">
        <v>1.9403999999999999</v>
      </c>
      <c r="H147" s="60">
        <v>10318</v>
      </c>
      <c r="I147" s="5">
        <v>2.3E-3</v>
      </c>
      <c r="J147" s="5">
        <v>9.3200000000000005E-2</v>
      </c>
      <c r="K147" s="4">
        <v>2731717078.9200001</v>
      </c>
      <c r="L147" s="16">
        <f t="shared" si="58"/>
        <v>5.4737847021927667E-2</v>
      </c>
      <c r="M147" s="4">
        <v>1.9076</v>
      </c>
      <c r="N147" s="4">
        <v>1.9422999999999999</v>
      </c>
      <c r="O147" s="60">
        <v>10318</v>
      </c>
      <c r="P147" s="5">
        <v>1E-3</v>
      </c>
      <c r="Q147" s="5">
        <v>9.4200000000000006E-2</v>
      </c>
      <c r="R147" s="81">
        <f t="shared" si="59"/>
        <v>1.0307737494081517E-3</v>
      </c>
      <c r="S147" s="81">
        <f t="shared" si="60"/>
        <v>9.791795506081287E-4</v>
      </c>
      <c r="T147" s="81">
        <f t="shared" si="61"/>
        <v>0</v>
      </c>
      <c r="U147" s="81">
        <f t="shared" si="62"/>
        <v>-1.2999999999999999E-3</v>
      </c>
      <c r="V147" s="83">
        <f t="shared" si="63"/>
        <v>1.0000000000000009E-3</v>
      </c>
    </row>
    <row r="148" spans="1:24">
      <c r="A148" s="75">
        <v>125</v>
      </c>
      <c r="B148" s="125" t="s">
        <v>168</v>
      </c>
      <c r="C148" s="126" t="s">
        <v>74</v>
      </c>
      <c r="D148" s="4">
        <v>207476929.80890682</v>
      </c>
      <c r="E148" s="3">
        <f t="shared" si="57"/>
        <v>4.1749806844520523E-3</v>
      </c>
      <c r="F148" s="4">
        <v>269.95713802178869</v>
      </c>
      <c r="G148" s="4">
        <v>275.21172656881544</v>
      </c>
      <c r="H148" s="60">
        <v>183</v>
      </c>
      <c r="I148" s="5">
        <v>3.6529370711712028E-2</v>
      </c>
      <c r="J148" s="5">
        <v>0.10538802499513311</v>
      </c>
      <c r="K148" s="4">
        <v>207221727.1997838</v>
      </c>
      <c r="L148" s="16">
        <f t="shared" si="58"/>
        <v>4.1522862270809762E-3</v>
      </c>
      <c r="M148" s="4">
        <v>269.62508295408549</v>
      </c>
      <c r="N148" s="4">
        <v>275.01590861527029</v>
      </c>
      <c r="O148" s="60">
        <v>183</v>
      </c>
      <c r="P148" s="5">
        <v>-1.2300288487886446E-3</v>
      </c>
      <c r="Q148" s="5">
        <v>0.10402539904219754</v>
      </c>
      <c r="R148" s="81">
        <f t="shared" si="59"/>
        <v>-1.2300288487884965E-3</v>
      </c>
      <c r="S148" s="81">
        <f t="shared" si="60"/>
        <v>-7.1151747778516836E-4</v>
      </c>
      <c r="T148" s="81">
        <f t="shared" si="61"/>
        <v>0</v>
      </c>
      <c r="U148" s="81">
        <f t="shared" si="62"/>
        <v>-3.7759399560500673E-2</v>
      </c>
      <c r="V148" s="83">
        <f t="shared" si="63"/>
        <v>-1.36262595293557E-3</v>
      </c>
    </row>
    <row r="149" spans="1:24" ht="13.5" customHeight="1">
      <c r="A149" s="75">
        <v>126</v>
      </c>
      <c r="B149" s="125" t="s">
        <v>240</v>
      </c>
      <c r="C149" s="126" t="s">
        <v>32</v>
      </c>
      <c r="D149" s="2">
        <v>2586233273.4780998</v>
      </c>
      <c r="E149" s="3">
        <f t="shared" si="57"/>
        <v>5.2041805188668938E-2</v>
      </c>
      <c r="F149" s="4">
        <v>3.5939000000000001</v>
      </c>
      <c r="G149" s="4">
        <v>3.6596000000000002</v>
      </c>
      <c r="H149" s="60">
        <v>2562</v>
      </c>
      <c r="I149" s="5">
        <v>-8.4699001269105123E-3</v>
      </c>
      <c r="J149" s="5">
        <v>-1.1931927528661346E-2</v>
      </c>
      <c r="K149" s="2">
        <v>2629930506.1083002</v>
      </c>
      <c r="L149" s="16">
        <f t="shared" si="58"/>
        <v>5.2698258846985375E-2</v>
      </c>
      <c r="M149" s="4">
        <v>3.6536</v>
      </c>
      <c r="N149" s="4">
        <v>3.7216</v>
      </c>
      <c r="O149" s="60">
        <v>2317</v>
      </c>
      <c r="P149" s="5">
        <v>1.6611480564289405E-2</v>
      </c>
      <c r="Q149" s="5">
        <v>4.481346053391233E-3</v>
      </c>
      <c r="R149" s="81">
        <f t="shared" si="59"/>
        <v>1.6896090959124539E-2</v>
      </c>
      <c r="S149" s="81">
        <f t="shared" si="60"/>
        <v>1.6941742266914372E-2</v>
      </c>
      <c r="T149" s="81">
        <f t="shared" si="61"/>
        <v>-9.5628415300546443E-2</v>
      </c>
      <c r="U149" s="81">
        <f t="shared" si="62"/>
        <v>2.5081380691199917E-2</v>
      </c>
      <c r="V149" s="83">
        <f>Q149-J149</f>
        <v>1.6413273582052579E-2</v>
      </c>
    </row>
    <row r="150" spans="1:24">
      <c r="A150" s="75">
        <v>127</v>
      </c>
      <c r="B150" s="125" t="s">
        <v>169</v>
      </c>
      <c r="C150" s="126" t="s">
        <v>114</v>
      </c>
      <c r="D150" s="2">
        <v>189299444.44</v>
      </c>
      <c r="E150" s="3">
        <f t="shared" si="57"/>
        <v>3.8092019428011439E-3</v>
      </c>
      <c r="F150" s="4">
        <v>172.64407499999999</v>
      </c>
      <c r="G150" s="4">
        <v>177.90171100000001</v>
      </c>
      <c r="H150" s="60">
        <v>139</v>
      </c>
      <c r="I150" s="5">
        <v>1.9300000000000001E-2</v>
      </c>
      <c r="J150" s="5">
        <v>-3.9100000000000003E-2</v>
      </c>
      <c r="K150" s="2">
        <v>203125322.12</v>
      </c>
      <c r="L150" s="16">
        <f t="shared" si="58"/>
        <v>4.0702029116720089E-3</v>
      </c>
      <c r="M150" s="4">
        <v>181.54543699999999</v>
      </c>
      <c r="N150" s="4">
        <v>186.74477099999999</v>
      </c>
      <c r="O150" s="60">
        <v>139</v>
      </c>
      <c r="P150" s="5">
        <v>-2.3E-3</v>
      </c>
      <c r="Q150" s="5">
        <v>1.9300000000000001E-2</v>
      </c>
      <c r="R150" s="81">
        <f t="shared" si="59"/>
        <v>7.3037074783292522E-2</v>
      </c>
      <c r="S150" s="81">
        <f t="shared" si="60"/>
        <v>4.9707560148198798E-2</v>
      </c>
      <c r="T150" s="81">
        <f t="shared" si="61"/>
        <v>0</v>
      </c>
      <c r="U150" s="81">
        <f t="shared" si="62"/>
        <v>-2.1600000000000001E-2</v>
      </c>
      <c r="V150" s="83">
        <f t="shared" si="63"/>
        <v>5.8400000000000007E-2</v>
      </c>
    </row>
    <row r="151" spans="1:24">
      <c r="A151" s="75">
        <v>128</v>
      </c>
      <c r="B151" s="125" t="s">
        <v>170</v>
      </c>
      <c r="C151" s="126" t="s">
        <v>29</v>
      </c>
      <c r="D151" s="2">
        <v>1683393603.9000001</v>
      </c>
      <c r="E151" s="3">
        <f t="shared" si="57"/>
        <v>3.3874300082837053E-2</v>
      </c>
      <c r="F151" s="4">
        <v>552.20000000000005</v>
      </c>
      <c r="G151" s="4">
        <v>552.20000000000005</v>
      </c>
      <c r="H151" s="60">
        <v>818</v>
      </c>
      <c r="I151" s="5">
        <v>1.268E-2</v>
      </c>
      <c r="J151" s="5">
        <v>7.6829999999999996E-2</v>
      </c>
      <c r="K151" s="2">
        <v>1683101206.99</v>
      </c>
      <c r="L151" s="16">
        <f t="shared" ref="L151:L159" si="64">(K151/$K$160)</f>
        <v>3.3725797265602736E-2</v>
      </c>
      <c r="M151" s="4">
        <v>552.22</v>
      </c>
      <c r="N151" s="4">
        <v>552.22</v>
      </c>
      <c r="O151" s="60">
        <v>818</v>
      </c>
      <c r="P151" s="5">
        <v>-3.8999999999999999E-4</v>
      </c>
      <c r="Q151" s="5">
        <v>7.6600000000000001E-2</v>
      </c>
      <c r="R151" s="81">
        <f t="shared" si="59"/>
        <v>-1.7369491562916459E-4</v>
      </c>
      <c r="S151" s="81">
        <f t="shared" si="60"/>
        <v>3.621876131832997E-5</v>
      </c>
      <c r="T151" s="81">
        <f t="shared" si="61"/>
        <v>0</v>
      </c>
      <c r="U151" s="81">
        <f t="shared" si="62"/>
        <v>-1.307E-2</v>
      </c>
      <c r="V151" s="83">
        <f t="shared" si="63"/>
        <v>-2.299999999999941E-4</v>
      </c>
    </row>
    <row r="152" spans="1:24">
      <c r="A152" s="75">
        <v>129</v>
      </c>
      <c r="B152" s="125" t="s">
        <v>171</v>
      </c>
      <c r="C152" s="126" t="s">
        <v>80</v>
      </c>
      <c r="D152" s="4">
        <v>26832597.620000001</v>
      </c>
      <c r="E152" s="3">
        <f t="shared" si="57"/>
        <v>5.3994232939707273E-4</v>
      </c>
      <c r="F152" s="4">
        <v>1.71</v>
      </c>
      <c r="G152" s="4">
        <v>1.71</v>
      </c>
      <c r="H152" s="60">
        <v>8</v>
      </c>
      <c r="I152" s="5">
        <v>-9.0229999999999998E-3</v>
      </c>
      <c r="J152" s="128">
        <v>5.0067E-2</v>
      </c>
      <c r="K152" s="4">
        <v>27063448.789999999</v>
      </c>
      <c r="L152" s="16">
        <f t="shared" si="64"/>
        <v>5.4229441664525207E-4</v>
      </c>
      <c r="M152" s="4">
        <v>1.72</v>
      </c>
      <c r="N152" s="4">
        <v>1.72</v>
      </c>
      <c r="O152" s="60">
        <v>8</v>
      </c>
      <c r="P152" s="5">
        <v>3.01E-4</v>
      </c>
      <c r="Q152" s="128">
        <v>5.6725999999999999E-2</v>
      </c>
      <c r="R152" s="81">
        <f t="shared" si="59"/>
        <v>8.6033850791967428E-3</v>
      </c>
      <c r="S152" s="81">
        <f t="shared" si="60"/>
        <v>5.8479532163742748E-3</v>
      </c>
      <c r="T152" s="81">
        <f t="shared" si="61"/>
        <v>0</v>
      </c>
      <c r="U152" s="81">
        <f t="shared" si="62"/>
        <v>9.323999999999999E-3</v>
      </c>
      <c r="V152" s="83">
        <f t="shared" si="63"/>
        <v>6.6589999999999983E-3</v>
      </c>
    </row>
    <row r="153" spans="1:24">
      <c r="A153" s="75">
        <v>130</v>
      </c>
      <c r="B153" s="125" t="s">
        <v>172</v>
      </c>
      <c r="C153" s="126" t="s">
        <v>38</v>
      </c>
      <c r="D153" s="4">
        <v>264951742.69</v>
      </c>
      <c r="E153" s="3">
        <f t="shared" si="57"/>
        <v>5.3315248546499999E-3</v>
      </c>
      <c r="F153" s="4">
        <v>2.581267</v>
      </c>
      <c r="G153" s="4">
        <v>2.6236329999999999</v>
      </c>
      <c r="H153" s="60">
        <v>120</v>
      </c>
      <c r="I153" s="5">
        <v>1.2999999999999999E-3</v>
      </c>
      <c r="J153" s="5">
        <v>0.11020000000000001</v>
      </c>
      <c r="K153" s="4">
        <v>288831983.38999999</v>
      </c>
      <c r="L153" s="16">
        <f t="shared" si="64"/>
        <v>5.7875835839091951E-3</v>
      </c>
      <c r="M153" s="4">
        <v>2.8139080000000001</v>
      </c>
      <c r="N153" s="4">
        <v>2.8568310000000001</v>
      </c>
      <c r="O153" s="60">
        <v>120</v>
      </c>
      <c r="P153" s="5">
        <v>-8.9499999999999996E-2</v>
      </c>
      <c r="Q153" s="5">
        <v>0.20960000000000001</v>
      </c>
      <c r="R153" s="81">
        <f t="shared" si="59"/>
        <v>9.0130528893861445E-2</v>
      </c>
      <c r="S153" s="81">
        <f t="shared" si="60"/>
        <v>8.888362053686634E-2</v>
      </c>
      <c r="T153" s="81">
        <f t="shared" si="61"/>
        <v>0</v>
      </c>
      <c r="U153" s="81">
        <f t="shared" si="62"/>
        <v>-9.0799999999999992E-2</v>
      </c>
      <c r="V153" s="83">
        <f t="shared" si="63"/>
        <v>9.9400000000000002E-2</v>
      </c>
    </row>
    <row r="154" spans="1:24">
      <c r="A154" s="75">
        <v>131</v>
      </c>
      <c r="B154" s="125" t="s">
        <v>173</v>
      </c>
      <c r="C154" s="126" t="s">
        <v>42</v>
      </c>
      <c r="D154" s="2">
        <v>2923860645.9299998</v>
      </c>
      <c r="E154" s="3">
        <f t="shared" si="57"/>
        <v>5.8835754568136132E-2</v>
      </c>
      <c r="F154" s="4">
        <v>5511.46</v>
      </c>
      <c r="G154" s="4">
        <v>5559.22</v>
      </c>
      <c r="H154" s="60">
        <v>2226</v>
      </c>
      <c r="I154" s="5">
        <v>-8.9999999999999998E-4</v>
      </c>
      <c r="J154" s="5">
        <v>0.1071</v>
      </c>
      <c r="K154" s="2">
        <v>2957230843.2800002</v>
      </c>
      <c r="L154" s="3">
        <f t="shared" si="64"/>
        <v>5.9256667082077184E-2</v>
      </c>
      <c r="M154" s="4">
        <v>5554.88</v>
      </c>
      <c r="N154" s="4">
        <v>5602.49</v>
      </c>
      <c r="O154" s="60">
        <v>2237</v>
      </c>
      <c r="P154" s="5">
        <v>7.7999999999999996E-3</v>
      </c>
      <c r="Q154" s="5">
        <v>0.1158</v>
      </c>
      <c r="R154" s="81">
        <f t="shared" si="59"/>
        <v>1.1413060125300958E-2</v>
      </c>
      <c r="S154" s="81">
        <f t="shared" si="60"/>
        <v>7.7834660258092906E-3</v>
      </c>
      <c r="T154" s="81">
        <f t="shared" si="61"/>
        <v>4.941599281221923E-3</v>
      </c>
      <c r="U154" s="81">
        <f t="shared" si="62"/>
        <v>8.6999999999999994E-3</v>
      </c>
      <c r="V154" s="83">
        <f t="shared" si="63"/>
        <v>8.6999999999999994E-3</v>
      </c>
    </row>
    <row r="155" spans="1:24">
      <c r="A155" s="75">
        <v>132</v>
      </c>
      <c r="B155" s="125" t="s">
        <v>256</v>
      </c>
      <c r="C155" s="125" t="s">
        <v>257</v>
      </c>
      <c r="D155" s="2">
        <v>624727710.90999997</v>
      </c>
      <c r="E155" s="3">
        <f t="shared" si="57"/>
        <v>1.2571162145562201E-2</v>
      </c>
      <c r="F155" s="4">
        <v>1.1970000000000001</v>
      </c>
      <c r="G155" s="4">
        <v>1.1970000000000001</v>
      </c>
      <c r="H155" s="60">
        <v>33</v>
      </c>
      <c r="I155" s="5">
        <v>2.5000000000000001E-3</v>
      </c>
      <c r="J155" s="5">
        <v>5.7000000000000002E-2</v>
      </c>
      <c r="K155" s="2">
        <v>626146139.73000002</v>
      </c>
      <c r="L155" s="3">
        <f t="shared" si="64"/>
        <v>1.2546647628480496E-2</v>
      </c>
      <c r="M155" s="4">
        <v>1.2030000000000001</v>
      </c>
      <c r="N155" s="4">
        <v>1.2030000000000001</v>
      </c>
      <c r="O155" s="60">
        <v>33</v>
      </c>
      <c r="P155" s="5">
        <v>2.5000000000000001E-3</v>
      </c>
      <c r="Q155" s="5">
        <v>5.9400000000000001E-2</v>
      </c>
      <c r="R155" s="81">
        <f>((K155-D155)/D155)</f>
        <v>2.2704752730336232E-3</v>
      </c>
      <c r="S155" s="81">
        <f>((N155-G155)/G155)</f>
        <v>5.0125313283208061E-3</v>
      </c>
      <c r="T155" s="81">
        <f>((O155-H155)/H155)</f>
        <v>0</v>
      </c>
      <c r="U155" s="81">
        <f>P155-I155</f>
        <v>0</v>
      </c>
      <c r="V155" s="83">
        <f>Q155-J155</f>
        <v>2.3999999999999994E-3</v>
      </c>
    </row>
    <row r="156" spans="1:24">
      <c r="A156" s="75">
        <v>133</v>
      </c>
      <c r="B156" s="125" t="s">
        <v>174</v>
      </c>
      <c r="C156" s="126" t="s">
        <v>45</v>
      </c>
      <c r="D156" s="4">
        <v>1830553388.1500001</v>
      </c>
      <c r="E156" s="3">
        <f t="shared" si="57"/>
        <v>3.6835541399342718E-2</v>
      </c>
      <c r="F156" s="4">
        <v>2.0057999999999998</v>
      </c>
      <c r="G156" s="4">
        <v>2.0192999999999999</v>
      </c>
      <c r="H156" s="60">
        <v>2011</v>
      </c>
      <c r="I156" s="5">
        <v>3.3E-3</v>
      </c>
      <c r="J156" s="5">
        <v>8.4699999999999998E-2</v>
      </c>
      <c r="K156" s="4">
        <v>1836622147.6400001</v>
      </c>
      <c r="L156" s="16">
        <f t="shared" si="64"/>
        <v>3.680203302545107E-2</v>
      </c>
      <c r="M156" s="4">
        <v>2.0143</v>
      </c>
      <c r="N156" s="4">
        <v>2.028</v>
      </c>
      <c r="O156" s="60">
        <v>2015</v>
      </c>
      <c r="P156" s="5">
        <v>4.9500000000000002E-2</v>
      </c>
      <c r="Q156" s="5">
        <v>8.9300000000000004E-2</v>
      </c>
      <c r="R156" s="81">
        <f t="shared" si="59"/>
        <v>3.315259488898731E-3</v>
      </c>
      <c r="S156" s="81">
        <f t="shared" si="60"/>
        <v>4.3084237111871209E-3</v>
      </c>
      <c r="T156" s="81">
        <f t="shared" si="61"/>
        <v>1.9890601690701142E-3</v>
      </c>
      <c r="U156" s="81">
        <f t="shared" si="62"/>
        <v>4.6200000000000005E-2</v>
      </c>
      <c r="V156" s="83">
        <f t="shared" si="63"/>
        <v>4.6000000000000069E-3</v>
      </c>
    </row>
    <row r="157" spans="1:24">
      <c r="A157" s="75">
        <v>134</v>
      </c>
      <c r="B157" s="125" t="s">
        <v>175</v>
      </c>
      <c r="C157" s="126" t="s">
        <v>45</v>
      </c>
      <c r="D157" s="4">
        <v>1062121071.3</v>
      </c>
      <c r="E157" s="3">
        <f t="shared" si="57"/>
        <v>2.1372665198541307E-2</v>
      </c>
      <c r="F157" s="4">
        <v>1.6388</v>
      </c>
      <c r="G157" s="4">
        <v>1.6501999999999999</v>
      </c>
      <c r="H157" s="60">
        <v>599</v>
      </c>
      <c r="I157" s="5">
        <v>-1.4E-2</v>
      </c>
      <c r="J157" s="5">
        <v>0.15190000000000001</v>
      </c>
      <c r="K157" s="4">
        <v>1068357598.87</v>
      </c>
      <c r="L157" s="16">
        <f t="shared" si="64"/>
        <v>2.1407632314097574E-2</v>
      </c>
      <c r="M157" s="4">
        <v>1.6464000000000001</v>
      </c>
      <c r="N157" s="4">
        <v>1.6577999999999999</v>
      </c>
      <c r="O157" s="60">
        <v>614</v>
      </c>
      <c r="P157" s="5">
        <v>6.0900000000000003E-2</v>
      </c>
      <c r="Q157" s="5">
        <v>0.15720000000000001</v>
      </c>
      <c r="R157" s="81">
        <f t="shared" si="59"/>
        <v>5.8717671068955965E-3</v>
      </c>
      <c r="S157" s="81">
        <f t="shared" si="60"/>
        <v>4.6055023633499283E-3</v>
      </c>
      <c r="T157" s="81">
        <f t="shared" si="61"/>
        <v>2.5041736227045076E-2</v>
      </c>
      <c r="U157" s="81">
        <f t="shared" si="62"/>
        <v>7.4900000000000008E-2</v>
      </c>
      <c r="V157" s="83">
        <f t="shared" si="63"/>
        <v>5.2999999999999992E-3</v>
      </c>
    </row>
    <row r="158" spans="1:24">
      <c r="A158" s="75">
        <v>135</v>
      </c>
      <c r="B158" s="125" t="s">
        <v>176</v>
      </c>
      <c r="C158" s="126" t="s">
        <v>87</v>
      </c>
      <c r="D158" s="2">
        <v>8989229328.3500004</v>
      </c>
      <c r="E158" s="3">
        <f t="shared" si="57"/>
        <v>0.18088690076789452</v>
      </c>
      <c r="F158" s="4">
        <v>440.21</v>
      </c>
      <c r="G158" s="4">
        <v>444.79</v>
      </c>
      <c r="H158" s="60">
        <v>31</v>
      </c>
      <c r="I158" s="5">
        <v>-3.1199999999999999E-2</v>
      </c>
      <c r="J158" s="5">
        <v>0.26129999999999998</v>
      </c>
      <c r="K158" s="2">
        <v>8820317577.9799995</v>
      </c>
      <c r="L158" s="16">
        <f t="shared" si="64"/>
        <v>0.17674055559925281</v>
      </c>
      <c r="M158" s="4">
        <v>431.82</v>
      </c>
      <c r="N158" s="4">
        <v>436.49</v>
      </c>
      <c r="O158" s="60">
        <v>31</v>
      </c>
      <c r="P158" s="5">
        <v>-1.8800000000000001E-2</v>
      </c>
      <c r="Q158" s="5">
        <v>0.23760000000000001</v>
      </c>
      <c r="R158" s="81">
        <f t="shared" si="59"/>
        <v>-1.8790459582257103E-2</v>
      </c>
      <c r="S158" s="81">
        <f t="shared" si="60"/>
        <v>-1.8660491467883743E-2</v>
      </c>
      <c r="T158" s="81">
        <f t="shared" si="61"/>
        <v>0</v>
      </c>
      <c r="U158" s="81">
        <f t="shared" si="62"/>
        <v>1.2399999999999998E-2</v>
      </c>
      <c r="V158" s="83">
        <f t="shared" si="63"/>
        <v>-2.3699999999999971E-2</v>
      </c>
    </row>
    <row r="159" spans="1:24">
      <c r="A159" s="75">
        <v>136</v>
      </c>
      <c r="B159" s="125" t="s">
        <v>177</v>
      </c>
      <c r="C159" s="126" t="s">
        <v>40</v>
      </c>
      <c r="D159" s="2">
        <v>328353770.44999999</v>
      </c>
      <c r="E159" s="3">
        <f t="shared" si="57"/>
        <v>6.607340153714298E-3</v>
      </c>
      <c r="F159" s="4">
        <v>228.44</v>
      </c>
      <c r="G159" s="4">
        <v>231.53</v>
      </c>
      <c r="H159" s="60">
        <v>689</v>
      </c>
      <c r="I159" s="5">
        <v>1.9E-3</v>
      </c>
      <c r="J159" s="5">
        <v>0.1157</v>
      </c>
      <c r="K159" s="2">
        <v>382047082.06</v>
      </c>
      <c r="L159" s="16">
        <f t="shared" si="64"/>
        <v>7.6554175007178911E-3</v>
      </c>
      <c r="M159" s="4">
        <v>230.42</v>
      </c>
      <c r="N159" s="4">
        <v>233.15</v>
      </c>
      <c r="O159" s="60">
        <v>690</v>
      </c>
      <c r="P159" s="5">
        <v>1.0800000000000001E-2</v>
      </c>
      <c r="Q159" s="5">
        <v>0.12540000000000001</v>
      </c>
      <c r="R159" s="81">
        <f t="shared" si="59"/>
        <v>0.16352275028367963</v>
      </c>
      <c r="S159" s="81">
        <f t="shared" si="60"/>
        <v>6.9969334427504191E-3</v>
      </c>
      <c r="T159" s="81">
        <f t="shared" si="61"/>
        <v>1.4513788098693759E-3</v>
      </c>
      <c r="U159" s="81">
        <f t="shared" si="62"/>
        <v>8.8999999999999999E-3</v>
      </c>
      <c r="V159" s="83">
        <f t="shared" si="63"/>
        <v>9.7000000000000142E-3</v>
      </c>
    </row>
    <row r="160" spans="1:24">
      <c r="A160" s="84"/>
      <c r="B160" s="19"/>
      <c r="C160" s="71" t="s">
        <v>46</v>
      </c>
      <c r="D160" s="72">
        <f>SUM(D134:D159)</f>
        <v>49695302922.37442</v>
      </c>
      <c r="E160" s="100">
        <f>(D160/$D$186)</f>
        <v>1.822617158513969E-2</v>
      </c>
      <c r="F160" s="30"/>
      <c r="G160" s="36"/>
      <c r="H160" s="65">
        <f>SUM(H134:H159)</f>
        <v>69533</v>
      </c>
      <c r="I160" s="37"/>
      <c r="J160" s="37"/>
      <c r="K160" s="72">
        <f>SUM(K134:K159)</f>
        <v>49905453494.100525</v>
      </c>
      <c r="L160" s="100">
        <f>(K160/$K$186)</f>
        <v>1.88689291501201E-2</v>
      </c>
      <c r="M160" s="30"/>
      <c r="N160" s="36"/>
      <c r="O160" s="65">
        <f>SUM(O134:O159)</f>
        <v>69324</v>
      </c>
      <c r="P160" s="37"/>
      <c r="Q160" s="37"/>
      <c r="R160" s="81">
        <f t="shared" si="59"/>
        <v>4.2287813810968486E-3</v>
      </c>
      <c r="S160" s="81" t="e">
        <f t="shared" si="60"/>
        <v>#DIV/0!</v>
      </c>
      <c r="T160" s="81">
        <f t="shared" si="61"/>
        <v>-3.0057670458631153E-3</v>
      </c>
      <c r="U160" s="81">
        <f t="shared" si="62"/>
        <v>0</v>
      </c>
      <c r="V160" s="83">
        <f t="shared" si="63"/>
        <v>0</v>
      </c>
    </row>
    <row r="161" spans="1:24" ht="8.25" customHeight="1">
      <c r="A161" s="141"/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</row>
    <row r="162" spans="1:24" ht="15" customHeight="1">
      <c r="A162" s="139" t="s">
        <v>178</v>
      </c>
      <c r="B162" s="139"/>
      <c r="C162" s="139"/>
      <c r="D162" s="139"/>
      <c r="E162" s="139"/>
      <c r="F162" s="139"/>
      <c r="G162" s="139"/>
      <c r="H162" s="139"/>
      <c r="I162" s="139"/>
      <c r="J162" s="139"/>
      <c r="K162" s="139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  <c r="V162" s="139"/>
    </row>
    <row r="163" spans="1:24">
      <c r="A163" s="75">
        <v>137</v>
      </c>
      <c r="B163" s="125" t="s">
        <v>179</v>
      </c>
      <c r="C163" s="126" t="s">
        <v>21</v>
      </c>
      <c r="D163" s="17">
        <v>1014925088.71</v>
      </c>
      <c r="E163" s="3">
        <f>(D163/$D$166)</f>
        <v>0.1953967562070924</v>
      </c>
      <c r="F163" s="17">
        <v>63.925800000000002</v>
      </c>
      <c r="G163" s="17">
        <v>65.853200000000001</v>
      </c>
      <c r="H163" s="62">
        <v>1512</v>
      </c>
      <c r="I163" s="6">
        <v>-8.8099999999999998E-2</v>
      </c>
      <c r="J163" s="6">
        <v>0.76929999999999998</v>
      </c>
      <c r="K163" s="17">
        <v>1013042822.28</v>
      </c>
      <c r="L163" s="16">
        <f>(K163/$K$166)</f>
        <v>0.1942093416125627</v>
      </c>
      <c r="M163" s="17">
        <v>64.052700000000002</v>
      </c>
      <c r="N163" s="17">
        <v>65.983999999999995</v>
      </c>
      <c r="O163" s="62">
        <v>1514</v>
      </c>
      <c r="P163" s="6">
        <v>0.10390000000000001</v>
      </c>
      <c r="Q163" s="6">
        <v>0.71840000000000004</v>
      </c>
      <c r="R163" s="81">
        <f>((K163-D163)/D163)</f>
        <v>-1.8545865610559331E-3</v>
      </c>
      <c r="S163" s="81">
        <f t="shared" ref="S163:T166" si="65">((N163-G163)/G163)</f>
        <v>1.9862360523101928E-3</v>
      </c>
      <c r="T163" s="81">
        <f t="shared" si="65"/>
        <v>1.3227513227513227E-3</v>
      </c>
      <c r="U163" s="81">
        <f t="shared" ref="U163:V166" si="66">P163-I163</f>
        <v>0.192</v>
      </c>
      <c r="V163" s="83">
        <f t="shared" si="66"/>
        <v>-5.0899999999999945E-2</v>
      </c>
    </row>
    <row r="164" spans="1:24">
      <c r="A164" s="75">
        <v>138</v>
      </c>
      <c r="B164" s="125" t="s">
        <v>180</v>
      </c>
      <c r="C164" s="126" t="s">
        <v>181</v>
      </c>
      <c r="D164" s="98">
        <v>825042333.24000001</v>
      </c>
      <c r="E164" s="3">
        <f>(D164/$D$166)</f>
        <v>0.15883989610852012</v>
      </c>
      <c r="F164" s="17">
        <v>22.499099999999999</v>
      </c>
      <c r="G164" s="17">
        <v>22.689299999999999</v>
      </c>
      <c r="H164" s="60">
        <v>1500</v>
      </c>
      <c r="I164" s="5">
        <v>2.3999999999999998E-3</v>
      </c>
      <c r="J164" s="5">
        <v>3.2199999999999999E-2</v>
      </c>
      <c r="K164" s="98">
        <v>802010918.84000003</v>
      </c>
      <c r="L164" s="16">
        <f>(K164/$K$166)</f>
        <v>0.15375264410190168</v>
      </c>
      <c r="M164" s="17">
        <v>22.670200000000001</v>
      </c>
      <c r="N164" s="17">
        <v>22.863700000000001</v>
      </c>
      <c r="O164" s="60">
        <v>1499</v>
      </c>
      <c r="P164" s="5">
        <v>6.8999999999999999E-3</v>
      </c>
      <c r="Q164" s="5">
        <v>0.04</v>
      </c>
      <c r="R164" s="81">
        <f>((K164-D164)/D164)</f>
        <v>-2.791543351424644E-2</v>
      </c>
      <c r="S164" s="81">
        <f t="shared" si="65"/>
        <v>7.686442508142698E-3</v>
      </c>
      <c r="T164" s="81">
        <f t="shared" si="65"/>
        <v>-6.6666666666666664E-4</v>
      </c>
      <c r="U164" s="81">
        <f t="shared" si="66"/>
        <v>4.5000000000000005E-3</v>
      </c>
      <c r="V164" s="83">
        <f t="shared" si="66"/>
        <v>7.8000000000000014E-3</v>
      </c>
    </row>
    <row r="165" spans="1:24">
      <c r="A165" s="75">
        <v>139</v>
      </c>
      <c r="B165" s="125" t="s">
        <v>182</v>
      </c>
      <c r="C165" s="126" t="s">
        <v>42</v>
      </c>
      <c r="D165" s="9">
        <v>3354208307.5300002</v>
      </c>
      <c r="E165" s="3">
        <f>(D165/$D$166)</f>
        <v>0.64576334768438737</v>
      </c>
      <c r="F165" s="17">
        <v>2.34</v>
      </c>
      <c r="G165" s="17">
        <v>2.4</v>
      </c>
      <c r="H165" s="60">
        <v>10041</v>
      </c>
      <c r="I165" s="5">
        <v>8.3999999999999995E-3</v>
      </c>
      <c r="J165" s="5">
        <v>0.15379999999999999</v>
      </c>
      <c r="K165" s="9">
        <v>3401187732.48</v>
      </c>
      <c r="L165" s="16">
        <f>(K165/$K$166)</f>
        <v>0.65203801428553554</v>
      </c>
      <c r="M165" s="17">
        <v>2.4</v>
      </c>
      <c r="N165" s="17">
        <v>2.4300000000000002</v>
      </c>
      <c r="O165" s="60">
        <v>10049</v>
      </c>
      <c r="P165" s="5">
        <v>1.2500000000000001E-2</v>
      </c>
      <c r="Q165" s="5">
        <v>0.16830000000000001</v>
      </c>
      <c r="R165" s="81">
        <f>((K165-D165)/D165)</f>
        <v>1.4006114302601232E-2</v>
      </c>
      <c r="S165" s="81">
        <f t="shared" si="65"/>
        <v>1.2500000000000105E-2</v>
      </c>
      <c r="T165" s="81">
        <f t="shared" si="65"/>
        <v>7.967333930883378E-4</v>
      </c>
      <c r="U165" s="81">
        <f t="shared" si="66"/>
        <v>4.1000000000000012E-3</v>
      </c>
      <c r="V165" s="83">
        <f t="shared" si="66"/>
        <v>1.4500000000000013E-2</v>
      </c>
    </row>
    <row r="166" spans="1:24">
      <c r="A166" s="75"/>
      <c r="B166" s="19"/>
      <c r="C166" s="66" t="s">
        <v>46</v>
      </c>
      <c r="D166" s="72">
        <f>SUM(D163:D165)</f>
        <v>5194175729.4800005</v>
      </c>
      <c r="E166" s="100">
        <f>(D166/$D$186)</f>
        <v>1.905007767771291E-3</v>
      </c>
      <c r="F166" s="30"/>
      <c r="G166" s="36"/>
      <c r="H166" s="65">
        <f>SUM(H163:H165)</f>
        <v>13053</v>
      </c>
      <c r="I166" s="37"/>
      <c r="J166" s="37"/>
      <c r="K166" s="72">
        <f>SUM(K163:K165)</f>
        <v>5216241473.6000004</v>
      </c>
      <c r="L166" s="100">
        <f>(K166/$K$186)</f>
        <v>1.9722271596412117E-3</v>
      </c>
      <c r="M166" s="30"/>
      <c r="N166" s="36"/>
      <c r="O166" s="65">
        <f>SUM(O163:O165)</f>
        <v>13062</v>
      </c>
      <c r="P166" s="37"/>
      <c r="Q166" s="37"/>
      <c r="R166" s="81">
        <f>((K166-D166)/D166)</f>
        <v>4.2481705027351728E-3</v>
      </c>
      <c r="S166" s="81" t="e">
        <f t="shared" si="65"/>
        <v>#DIV/0!</v>
      </c>
      <c r="T166" s="81">
        <f t="shared" si="65"/>
        <v>6.8949666743277403E-4</v>
      </c>
      <c r="U166" s="81">
        <f t="shared" si="66"/>
        <v>0</v>
      </c>
      <c r="V166" s="83">
        <f t="shared" si="66"/>
        <v>0</v>
      </c>
    </row>
    <row r="167" spans="1:24" ht="6" customHeight="1">
      <c r="A167" s="141"/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</row>
    <row r="168" spans="1:24" ht="15" customHeight="1">
      <c r="A168" s="139" t="s">
        <v>183</v>
      </c>
      <c r="B168" s="139"/>
      <c r="C168" s="139"/>
      <c r="D168" s="139"/>
      <c r="E168" s="139"/>
      <c r="F168" s="139"/>
      <c r="G168" s="139"/>
      <c r="H168" s="139"/>
      <c r="I168" s="139"/>
      <c r="J168" s="139"/>
      <c r="K168" s="139"/>
      <c r="L168" s="139"/>
      <c r="M168" s="139"/>
      <c r="N168" s="139"/>
      <c r="O168" s="139"/>
      <c r="P168" s="139"/>
      <c r="Q168" s="139"/>
      <c r="R168" s="139"/>
      <c r="S168" s="139"/>
      <c r="T168" s="139"/>
      <c r="U168" s="139"/>
      <c r="V168" s="139"/>
    </row>
    <row r="169" spans="1:24">
      <c r="A169" s="140" t="s">
        <v>232</v>
      </c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</row>
    <row r="170" spans="1:24">
      <c r="A170" s="75">
        <v>140</v>
      </c>
      <c r="B170" s="125" t="s">
        <v>184</v>
      </c>
      <c r="C170" s="126" t="s">
        <v>185</v>
      </c>
      <c r="D170" s="13">
        <v>4042829495.6300001</v>
      </c>
      <c r="E170" s="3">
        <f>(D170/$D$185)</f>
        <v>8.2457904995271863E-2</v>
      </c>
      <c r="F170" s="18">
        <v>1.92</v>
      </c>
      <c r="G170" s="18">
        <v>1.95</v>
      </c>
      <c r="H170" s="61">
        <v>14981</v>
      </c>
      <c r="I170" s="12">
        <v>8.0000000000000004E-4</v>
      </c>
      <c r="J170" s="12">
        <v>5.2200000000000003E-2</v>
      </c>
      <c r="K170" s="13">
        <v>4051236888.4699998</v>
      </c>
      <c r="L170" s="3">
        <f>(K170/$K$185)</f>
        <v>8.2353262711504588E-2</v>
      </c>
      <c r="M170" s="18">
        <v>1.92</v>
      </c>
      <c r="N170" s="18">
        <v>1.96</v>
      </c>
      <c r="O170" s="61">
        <v>14976</v>
      </c>
      <c r="P170" s="12">
        <v>1.9E-3</v>
      </c>
      <c r="Q170" s="12">
        <v>5.4100000000000002E-2</v>
      </c>
      <c r="R170" s="81">
        <f>((K170-D170)/D170)</f>
        <v>2.0795813548623423E-3</v>
      </c>
      <c r="S170" s="81">
        <f>((N170-G170)/G170)</f>
        <v>5.1282051282051325E-3</v>
      </c>
      <c r="T170" s="81">
        <f>((O170-H170)/H170)</f>
        <v>-3.3375609104866166E-4</v>
      </c>
      <c r="U170" s="81">
        <f>P170-I170</f>
        <v>1.0999999999999998E-3</v>
      </c>
      <c r="V170" s="83">
        <f>Q170-J170</f>
        <v>1.8999999999999989E-3</v>
      </c>
    </row>
    <row r="171" spans="1:24">
      <c r="A171" s="75">
        <v>141</v>
      </c>
      <c r="B171" s="125" t="s">
        <v>186</v>
      </c>
      <c r="C171" s="126" t="s">
        <v>42</v>
      </c>
      <c r="D171" s="13">
        <v>779744290.87</v>
      </c>
      <c r="E171" s="3">
        <f>(D171/$D$185)</f>
        <v>1.5903732949080193E-2</v>
      </c>
      <c r="F171" s="18">
        <v>435.61</v>
      </c>
      <c r="G171" s="18">
        <v>440.99</v>
      </c>
      <c r="H171" s="61">
        <v>808</v>
      </c>
      <c r="I171" s="12">
        <v>-1.6000000000000001E-3</v>
      </c>
      <c r="J171" s="12">
        <v>0.15479999999999999</v>
      </c>
      <c r="K171" s="13">
        <v>775972969.88999999</v>
      </c>
      <c r="L171" s="3">
        <f>(K171/$K$185)</f>
        <v>1.5773924755733481E-2</v>
      </c>
      <c r="M171" s="18">
        <v>430.72</v>
      </c>
      <c r="N171" s="18">
        <v>436.31</v>
      </c>
      <c r="O171" s="61">
        <v>812</v>
      </c>
      <c r="P171" s="12">
        <v>-1.6000000000000001E-3</v>
      </c>
      <c r="Q171" s="12">
        <v>0.1426</v>
      </c>
      <c r="R171" s="81">
        <f>((K171-D171)/D171)</f>
        <v>-4.8366124948374632E-3</v>
      </c>
      <c r="S171" s="81">
        <f>((N171-G171)/G171)</f>
        <v>-1.06124855438899E-2</v>
      </c>
      <c r="T171" s="81">
        <f>((O171-H171)/H171)</f>
        <v>4.9504950495049506E-3</v>
      </c>
      <c r="U171" s="81">
        <f>P171-I171</f>
        <v>0</v>
      </c>
      <c r="V171" s="83">
        <f>Q171-J171</f>
        <v>-1.2199999999999989E-2</v>
      </c>
    </row>
    <row r="172" spans="1:24" ht="6" customHeight="1">
      <c r="A172" s="141"/>
      <c r="B172" s="141"/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</row>
    <row r="173" spans="1:24" ht="15" customHeight="1">
      <c r="A173" s="140" t="s">
        <v>231</v>
      </c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</row>
    <row r="174" spans="1:24">
      <c r="A174" s="75">
        <v>142</v>
      </c>
      <c r="B174" s="125" t="s">
        <v>187</v>
      </c>
      <c r="C174" s="126" t="s">
        <v>188</v>
      </c>
      <c r="D174" s="2">
        <v>403474751.86000001</v>
      </c>
      <c r="E174" s="3">
        <f t="shared" ref="E174:E184" si="67">(D174/$D$185)</f>
        <v>8.2293064282886134E-3</v>
      </c>
      <c r="F174" s="2">
        <v>1046.25</v>
      </c>
      <c r="G174" s="2">
        <v>1046.25</v>
      </c>
      <c r="H174" s="60">
        <v>20</v>
      </c>
      <c r="I174" s="5">
        <v>2.3999999999999998E-3</v>
      </c>
      <c r="J174" s="5">
        <v>2.7699999999999999E-2</v>
      </c>
      <c r="K174" s="2">
        <v>402103974.63</v>
      </c>
      <c r="L174" s="3">
        <f t="shared" ref="L174:L184" si="68">(K174/$K$185)</f>
        <v>8.1739417298183955E-3</v>
      </c>
      <c r="M174" s="2">
        <v>1042.69</v>
      </c>
      <c r="N174" s="2">
        <v>1042.69</v>
      </c>
      <c r="O174" s="60">
        <v>20</v>
      </c>
      <c r="P174" s="5">
        <v>2E-3</v>
      </c>
      <c r="Q174" s="5">
        <v>2.9700000000000001E-2</v>
      </c>
      <c r="R174" s="81">
        <f>((K174-D174)/D174)</f>
        <v>-3.3974300093891855E-3</v>
      </c>
      <c r="S174" s="81">
        <f>((N174-G174)/G174)</f>
        <v>-3.4026284348864472E-3</v>
      </c>
      <c r="T174" s="81">
        <f>((O174-H174)/H174)</f>
        <v>0</v>
      </c>
      <c r="U174" s="81">
        <f>P174-I174</f>
        <v>-3.9999999999999975E-4</v>
      </c>
      <c r="V174" s="83">
        <f>Q174-J174</f>
        <v>2.0000000000000018E-3</v>
      </c>
      <c r="X174" s="70"/>
    </row>
    <row r="175" spans="1:24">
      <c r="A175" s="75">
        <v>143</v>
      </c>
      <c r="B175" s="125" t="s">
        <v>189</v>
      </c>
      <c r="C175" s="126" t="s">
        <v>58</v>
      </c>
      <c r="D175" s="2">
        <v>108978170.51000001</v>
      </c>
      <c r="E175" s="3">
        <f t="shared" si="67"/>
        <v>2.2227283243543765E-3</v>
      </c>
      <c r="F175" s="17">
        <v>111.52</v>
      </c>
      <c r="G175" s="17">
        <v>111.52</v>
      </c>
      <c r="H175" s="60">
        <v>69</v>
      </c>
      <c r="I175" s="5">
        <v>9.5899999999999999E-2</v>
      </c>
      <c r="J175" s="5">
        <v>8.8999999999999996E-2</v>
      </c>
      <c r="K175" s="2">
        <v>110330999.81999999</v>
      </c>
      <c r="L175" s="3">
        <f t="shared" si="68"/>
        <v>2.2428009182230047E-3</v>
      </c>
      <c r="M175" s="17">
        <v>111.69</v>
      </c>
      <c r="N175" s="17">
        <v>111.69</v>
      </c>
      <c r="O175" s="60">
        <v>69</v>
      </c>
      <c r="P175" s="5">
        <v>1.5E-3</v>
      </c>
      <c r="Q175" s="5">
        <v>9.6100000000000005E-2</v>
      </c>
      <c r="R175" s="81">
        <f t="shared" ref="R175:R186" si="69">((K175-D175)/D175)</f>
        <v>1.2413764184780931E-2</v>
      </c>
      <c r="S175" s="81">
        <f t="shared" ref="S175:S185" si="70">((N175-G175)/G175)</f>
        <v>1.5243902439024545E-3</v>
      </c>
      <c r="T175" s="81">
        <f t="shared" ref="T175:T185" si="71">((O175-H175)/H175)</f>
        <v>0</v>
      </c>
      <c r="U175" s="81">
        <f t="shared" ref="U175:U185" si="72">P175-I175</f>
        <v>-9.4399999999999998E-2</v>
      </c>
      <c r="V175" s="83">
        <f t="shared" ref="V175:V185" si="73">Q175-J175</f>
        <v>7.1000000000000091E-3</v>
      </c>
    </row>
    <row r="176" spans="1:24">
      <c r="A176" s="75">
        <v>144</v>
      </c>
      <c r="B176" s="137" t="s">
        <v>190</v>
      </c>
      <c r="C176" s="126" t="s">
        <v>64</v>
      </c>
      <c r="D176" s="9">
        <v>56110719.560000002</v>
      </c>
      <c r="E176" s="3">
        <f t="shared" si="67"/>
        <v>1.1444391576978506E-3</v>
      </c>
      <c r="F176" s="17">
        <v>101.09</v>
      </c>
      <c r="G176" s="17">
        <v>102.14</v>
      </c>
      <c r="H176" s="60">
        <v>13</v>
      </c>
      <c r="I176" s="5">
        <v>1.1999999999999999E-3</v>
      </c>
      <c r="J176" s="5">
        <v>5.4100000000000002E-2</v>
      </c>
      <c r="K176" s="9">
        <v>56185943.979999997</v>
      </c>
      <c r="L176" s="3">
        <f t="shared" si="68"/>
        <v>1.1421439754480266E-3</v>
      </c>
      <c r="M176" s="17">
        <v>101.32</v>
      </c>
      <c r="N176" s="17">
        <v>102.49</v>
      </c>
      <c r="O176" s="60">
        <v>13</v>
      </c>
      <c r="P176" s="5">
        <v>3.0000000000000001E-3</v>
      </c>
      <c r="Q176" s="5">
        <v>5.7099999999999998E-2</v>
      </c>
      <c r="R176" s="81">
        <f t="shared" si="69"/>
        <v>1.3406425829124466E-3</v>
      </c>
      <c r="S176" s="81">
        <f t="shared" si="70"/>
        <v>3.4266692774622509E-3</v>
      </c>
      <c r="T176" s="81">
        <f t="shared" si="71"/>
        <v>0</v>
      </c>
      <c r="U176" s="81">
        <f t="shared" si="72"/>
        <v>1.8000000000000002E-3</v>
      </c>
      <c r="V176" s="83">
        <f t="shared" si="73"/>
        <v>2.9999999999999957E-3</v>
      </c>
    </row>
    <row r="177" spans="1:22">
      <c r="A177" s="75">
        <v>145</v>
      </c>
      <c r="B177" s="125" t="s">
        <v>191</v>
      </c>
      <c r="C177" s="126" t="s">
        <v>27</v>
      </c>
      <c r="D177" s="2">
        <v>9619462097.9599991</v>
      </c>
      <c r="E177" s="3">
        <f t="shared" si="67"/>
        <v>0.19619939268687822</v>
      </c>
      <c r="F177" s="17">
        <v>137.55000000000001</v>
      </c>
      <c r="G177" s="17">
        <v>137.55000000000001</v>
      </c>
      <c r="H177" s="60">
        <v>692</v>
      </c>
      <c r="I177" s="5">
        <v>2.5999999999999999E-3</v>
      </c>
      <c r="J177" s="5">
        <v>2.87E-2</v>
      </c>
      <c r="K177" s="2">
        <v>9572787492.7299995</v>
      </c>
      <c r="L177" s="3">
        <f t="shared" si="68"/>
        <v>0.19459496074245344</v>
      </c>
      <c r="M177" s="17">
        <v>137.88</v>
      </c>
      <c r="N177" s="17">
        <v>137.88</v>
      </c>
      <c r="O177" s="60">
        <v>695</v>
      </c>
      <c r="P177" s="5">
        <v>2.3999999999999998E-3</v>
      </c>
      <c r="Q177" s="5">
        <v>3.1199999999999999E-2</v>
      </c>
      <c r="R177" s="81">
        <f t="shared" si="69"/>
        <v>-4.8521013706055178E-3</v>
      </c>
      <c r="S177" s="81">
        <f t="shared" si="70"/>
        <v>2.3991275899671689E-3</v>
      </c>
      <c r="T177" s="81">
        <f t="shared" si="71"/>
        <v>4.335260115606936E-3</v>
      </c>
      <c r="U177" s="81">
        <f t="shared" si="72"/>
        <v>-2.0000000000000009E-4</v>
      </c>
      <c r="V177" s="83">
        <f t="shared" si="73"/>
        <v>2.4999999999999988E-3</v>
      </c>
    </row>
    <row r="178" spans="1:22">
      <c r="A178" s="75">
        <v>146</v>
      </c>
      <c r="B178" s="125" t="s">
        <v>249</v>
      </c>
      <c r="C178" s="126" t="s">
        <v>56</v>
      </c>
      <c r="D178" s="2">
        <v>262035005.70580199</v>
      </c>
      <c r="E178" s="3">
        <f t="shared" si="67"/>
        <v>5.3444889598435845E-3</v>
      </c>
      <c r="F178" s="4">
        <v>1055.9235610384501</v>
      </c>
      <c r="G178" s="4">
        <v>1055.9235610384501</v>
      </c>
      <c r="H178" s="60">
        <v>23</v>
      </c>
      <c r="I178" s="5">
        <v>0.11825817852345556</v>
      </c>
      <c r="J178" s="5">
        <v>0.11543816871050326</v>
      </c>
      <c r="K178" s="2">
        <v>264687739.741997</v>
      </c>
      <c r="L178" s="3">
        <f t="shared" si="68"/>
        <v>5.3805540301839223E-3</v>
      </c>
      <c r="M178" s="4">
        <v>1058.4219311525701</v>
      </c>
      <c r="N178" s="4">
        <v>1058.4219311525701</v>
      </c>
      <c r="O178" s="60">
        <v>27</v>
      </c>
      <c r="P178" s="5">
        <v>0.12371072186170246</v>
      </c>
      <c r="Q178" s="5">
        <v>0.11634046932644213</v>
      </c>
      <c r="R178" s="81">
        <f t="shared" si="69"/>
        <v>1.0123586461472055E-2</v>
      </c>
      <c r="S178" s="81">
        <f t="shared" si="70"/>
        <v>2.3660520574642547E-3</v>
      </c>
      <c r="T178" s="81">
        <f t="shared" si="71"/>
        <v>0.17391304347826086</v>
      </c>
      <c r="U178" s="81">
        <f t="shared" si="72"/>
        <v>5.452543338246893E-3</v>
      </c>
      <c r="V178" s="83">
        <f t="shared" si="73"/>
        <v>9.0230061593886413E-4</v>
      </c>
    </row>
    <row r="179" spans="1:22">
      <c r="A179" s="75">
        <v>147</v>
      </c>
      <c r="B179" s="125" t="s">
        <v>192</v>
      </c>
      <c r="C179" s="126" t="s">
        <v>185</v>
      </c>
      <c r="D179" s="2">
        <v>19634683320</v>
      </c>
      <c r="E179" s="3">
        <f t="shared" si="67"/>
        <v>0.40047072318109539</v>
      </c>
      <c r="F179" s="7">
        <v>1224.94</v>
      </c>
      <c r="G179" s="7">
        <v>1224.94</v>
      </c>
      <c r="H179" s="60">
        <v>7951</v>
      </c>
      <c r="I179" s="5">
        <v>3.0000000000000001E-3</v>
      </c>
      <c r="J179" s="5">
        <v>3.3700000000000001E-2</v>
      </c>
      <c r="K179" s="2">
        <v>19855246057.099998</v>
      </c>
      <c r="L179" s="3">
        <f t="shared" si="68"/>
        <v>0.40361606584784387</v>
      </c>
      <c r="M179" s="7">
        <v>1228.0999999999999</v>
      </c>
      <c r="N179" s="7">
        <v>1228.0999999999999</v>
      </c>
      <c r="O179" s="60">
        <v>8016</v>
      </c>
      <c r="P179" s="5">
        <v>5.5999999999999999E-3</v>
      </c>
      <c r="Q179" s="5">
        <v>3.6299999999999999E-2</v>
      </c>
      <c r="R179" s="81">
        <f t="shared" si="69"/>
        <v>1.1233322865733822E-2</v>
      </c>
      <c r="S179" s="81">
        <f t="shared" si="70"/>
        <v>2.5797181902785884E-3</v>
      </c>
      <c r="T179" s="81">
        <f t="shared" si="71"/>
        <v>8.1750723179474273E-3</v>
      </c>
      <c r="U179" s="81">
        <f t="shared" si="72"/>
        <v>2.5999999999999999E-3</v>
      </c>
      <c r="V179" s="83">
        <f t="shared" si="73"/>
        <v>2.5999999999999981E-3</v>
      </c>
    </row>
    <row r="180" spans="1:22">
      <c r="A180" s="75">
        <v>148</v>
      </c>
      <c r="B180" s="125" t="s">
        <v>193</v>
      </c>
      <c r="C180" s="126" t="s">
        <v>78</v>
      </c>
      <c r="D180" s="2">
        <v>1091527880.21</v>
      </c>
      <c r="E180" s="3">
        <f t="shared" si="67"/>
        <v>2.226289838424686E-2</v>
      </c>
      <c r="F180" s="14">
        <v>104.75</v>
      </c>
      <c r="G180" s="14">
        <v>104.75</v>
      </c>
      <c r="H180" s="60">
        <v>546</v>
      </c>
      <c r="I180" s="5">
        <v>2.3E-3</v>
      </c>
      <c r="J180" s="5">
        <v>2.5600000000000001E-2</v>
      </c>
      <c r="K180" s="2">
        <v>1088507155.1400001</v>
      </c>
      <c r="L180" s="3">
        <f t="shared" si="68"/>
        <v>2.2127098014367502E-2</v>
      </c>
      <c r="M180" s="14">
        <v>104.97</v>
      </c>
      <c r="N180" s="14">
        <v>104.97</v>
      </c>
      <c r="O180" s="60">
        <v>547</v>
      </c>
      <c r="P180" s="5">
        <v>2.3E-3</v>
      </c>
      <c r="Q180" s="5">
        <v>2.7900000000000001E-2</v>
      </c>
      <c r="R180" s="81">
        <f t="shared" si="69"/>
        <v>-2.7674282304349139E-3</v>
      </c>
      <c r="S180" s="81">
        <f t="shared" si="70"/>
        <v>2.1002386634844761E-3</v>
      </c>
      <c r="T180" s="81">
        <f t="shared" si="71"/>
        <v>1.8315018315018315E-3</v>
      </c>
      <c r="U180" s="81">
        <f t="shared" si="72"/>
        <v>0</v>
      </c>
      <c r="V180" s="83">
        <f t="shared" si="73"/>
        <v>2.3E-3</v>
      </c>
    </row>
    <row r="181" spans="1:22" ht="15.75" customHeight="1">
      <c r="A181" s="75">
        <v>149</v>
      </c>
      <c r="B181" s="125" t="s">
        <v>194</v>
      </c>
      <c r="C181" s="126" t="s">
        <v>42</v>
      </c>
      <c r="D181" s="2">
        <v>8090410316.6300001</v>
      </c>
      <c r="E181" s="3">
        <f t="shared" si="67"/>
        <v>0.16501271843953585</v>
      </c>
      <c r="F181" s="14">
        <v>130.16999999999999</v>
      </c>
      <c r="G181" s="14">
        <v>130.16999999999999</v>
      </c>
      <c r="H181" s="60">
        <v>1146</v>
      </c>
      <c r="I181" s="5">
        <v>1.1999999999999999E-3</v>
      </c>
      <c r="J181" s="5">
        <v>1.47E-2</v>
      </c>
      <c r="K181" s="2">
        <v>8089551839.1499996</v>
      </c>
      <c r="L181" s="3">
        <f t="shared" si="68"/>
        <v>0.16444384916712537</v>
      </c>
      <c r="M181" s="14">
        <v>130.33000000000001</v>
      </c>
      <c r="N181" s="14">
        <v>130.33000000000001</v>
      </c>
      <c r="O181" s="60">
        <v>1153</v>
      </c>
      <c r="P181" s="5">
        <v>1.1999999999999999E-3</v>
      </c>
      <c r="Q181" s="5">
        <v>1.5900000000000001E-2</v>
      </c>
      <c r="R181" s="81">
        <f t="shared" si="69"/>
        <v>-1.0611049951766702E-4</v>
      </c>
      <c r="S181" s="81">
        <f t="shared" si="70"/>
        <v>1.2291618652533229E-3</v>
      </c>
      <c r="T181" s="81">
        <f t="shared" si="71"/>
        <v>6.1082024432809771E-3</v>
      </c>
      <c r="U181" s="81">
        <f t="shared" si="72"/>
        <v>0</v>
      </c>
      <c r="V181" s="83">
        <f t="shared" si="73"/>
        <v>1.2000000000000014E-3</v>
      </c>
    </row>
    <row r="182" spans="1:22">
      <c r="A182" s="75">
        <v>150</v>
      </c>
      <c r="B182" s="125" t="s">
        <v>195</v>
      </c>
      <c r="C182" s="126" t="s">
        <v>45</v>
      </c>
      <c r="D182" s="2">
        <v>4358844024.4399996</v>
      </c>
      <c r="E182" s="3">
        <f t="shared" si="67"/>
        <v>8.8903365042970445E-2</v>
      </c>
      <c r="F182" s="14">
        <v>1.2042999999999999</v>
      </c>
      <c r="G182" s="14">
        <v>1.2042999999999999</v>
      </c>
      <c r="H182" s="60">
        <v>616</v>
      </c>
      <c r="I182" s="5">
        <v>9.5299999999999996E-2</v>
      </c>
      <c r="J182" s="5">
        <v>9.6199999999999994E-2</v>
      </c>
      <c r="K182" s="2">
        <v>4354016642.9300003</v>
      </c>
      <c r="L182" s="3">
        <f t="shared" si="68"/>
        <v>8.8508148577037427E-2</v>
      </c>
      <c r="M182" s="14">
        <v>1.2073</v>
      </c>
      <c r="N182" s="14">
        <v>1.2073</v>
      </c>
      <c r="O182" s="60">
        <v>622</v>
      </c>
      <c r="P182" s="5">
        <v>9.4899999999999998E-2</v>
      </c>
      <c r="Q182" s="5">
        <v>9.6100000000000005E-2</v>
      </c>
      <c r="R182" s="81">
        <f t="shared" si="69"/>
        <v>-1.107491225410267E-3</v>
      </c>
      <c r="S182" s="81">
        <f t="shared" si="70"/>
        <v>2.4910736527444274E-3</v>
      </c>
      <c r="T182" s="81">
        <f t="shared" si="71"/>
        <v>9.74025974025974E-3</v>
      </c>
      <c r="U182" s="81">
        <f t="shared" si="72"/>
        <v>-3.9999999999999758E-4</v>
      </c>
      <c r="V182" s="83">
        <f t="shared" si="73"/>
        <v>-9.9999999999988987E-5</v>
      </c>
    </row>
    <row r="183" spans="1:22">
      <c r="A183" s="75">
        <v>151</v>
      </c>
      <c r="B183" s="125" t="s">
        <v>196</v>
      </c>
      <c r="C183" s="126" t="s">
        <v>197</v>
      </c>
      <c r="D183" s="2">
        <v>427488488.31</v>
      </c>
      <c r="E183" s="3">
        <f t="shared" si="67"/>
        <v>8.7190927032022511E-3</v>
      </c>
      <c r="F183" s="18">
        <v>112.8348</v>
      </c>
      <c r="G183" s="18">
        <v>113.34059999999999</v>
      </c>
      <c r="H183" s="61">
        <v>157</v>
      </c>
      <c r="I183" s="5">
        <v>-4.7340000000000004E-3</v>
      </c>
      <c r="J183" s="5">
        <v>0.1368</v>
      </c>
      <c r="K183" s="2">
        <v>418977625.67000002</v>
      </c>
      <c r="L183" s="3">
        <f t="shared" si="68"/>
        <v>8.5169481387880209E-3</v>
      </c>
      <c r="M183" s="18">
        <v>112.1575</v>
      </c>
      <c r="N183" s="18">
        <v>112.6644</v>
      </c>
      <c r="O183" s="61">
        <v>155</v>
      </c>
      <c r="P183" s="5">
        <v>-5.9659999999999999E-3</v>
      </c>
      <c r="Q183" s="5">
        <v>0.1318</v>
      </c>
      <c r="R183" s="81">
        <f>((K183-D183)/D183)</f>
        <v>-1.9908986727680489E-2</v>
      </c>
      <c r="S183" s="81">
        <f>((N183-G183)/G183)</f>
        <v>-5.9660880567069027E-3</v>
      </c>
      <c r="T183" s="81">
        <f>((O183-H183)/H183)</f>
        <v>-1.2738853503184714E-2</v>
      </c>
      <c r="U183" s="81">
        <f>P183-I183</f>
        <v>-1.2319999999999996E-3</v>
      </c>
      <c r="V183" s="83">
        <f>Q183-J183</f>
        <v>-5.0000000000000044E-3</v>
      </c>
    </row>
    <row r="184" spans="1:22">
      <c r="A184" s="75">
        <v>152</v>
      </c>
      <c r="B184" s="125" t="s">
        <v>244</v>
      </c>
      <c r="C184" s="126" t="s">
        <v>197</v>
      </c>
      <c r="D184" s="2">
        <v>153422008.75999999</v>
      </c>
      <c r="E184" s="3">
        <f t="shared" si="67"/>
        <v>3.1292087475344901E-3</v>
      </c>
      <c r="F184" s="18">
        <v>101.3368</v>
      </c>
      <c r="G184" s="18">
        <v>101.3368</v>
      </c>
      <c r="H184" s="61">
        <v>62</v>
      </c>
      <c r="I184" s="5">
        <v>1.444E-3</v>
      </c>
      <c r="J184" s="5">
        <v>1.1896E-2</v>
      </c>
      <c r="K184" s="2">
        <v>153793390.87</v>
      </c>
      <c r="L184" s="3">
        <f t="shared" si="68"/>
        <v>3.1263013914729293E-3</v>
      </c>
      <c r="M184" s="18">
        <v>101.47490000000001</v>
      </c>
      <c r="N184" s="18">
        <v>101.47490000000001</v>
      </c>
      <c r="O184" s="61">
        <v>64</v>
      </c>
      <c r="P184" s="5">
        <v>1.3669999999999999E-3</v>
      </c>
      <c r="Q184" s="5">
        <v>1.3275E-2</v>
      </c>
      <c r="R184" s="81">
        <f t="shared" si="69"/>
        <v>2.4206573294250897E-3</v>
      </c>
      <c r="S184" s="81">
        <f t="shared" si="70"/>
        <v>1.3627823258678838E-3</v>
      </c>
      <c r="T184" s="81">
        <f t="shared" si="71"/>
        <v>3.2258064516129031E-2</v>
      </c>
      <c r="U184" s="81">
        <f t="shared" si="72"/>
        <v>-7.7000000000000028E-5</v>
      </c>
      <c r="V184" s="83">
        <f t="shared" si="73"/>
        <v>1.379E-3</v>
      </c>
    </row>
    <row r="185" spans="1:22">
      <c r="A185" s="85"/>
      <c r="B185" s="19"/>
      <c r="C185" s="66" t="s">
        <v>46</v>
      </c>
      <c r="D185" s="59">
        <f>SUM(D170:D184)</f>
        <v>49029010570.445801</v>
      </c>
      <c r="E185" s="100">
        <f>(D185/$D$186)</f>
        <v>1.7981803244109824E-2</v>
      </c>
      <c r="F185" s="30"/>
      <c r="G185" s="34"/>
      <c r="H185" s="68">
        <f>SUM(H170:H184)</f>
        <v>27084</v>
      </c>
      <c r="I185" s="35"/>
      <c r="J185" s="35"/>
      <c r="K185" s="59">
        <f>SUM(K170:K184)</f>
        <v>49193398720.121994</v>
      </c>
      <c r="L185" s="100">
        <f>(K185/$K$186)</f>
        <v>1.8599705846041838E-2</v>
      </c>
      <c r="M185" s="30"/>
      <c r="N185" s="34"/>
      <c r="O185" s="68">
        <f>SUM(O170:O184)</f>
        <v>27169</v>
      </c>
      <c r="P185" s="35"/>
      <c r="Q185" s="35"/>
      <c r="R185" s="81">
        <f t="shared" si="69"/>
        <v>3.3528751195171943E-3</v>
      </c>
      <c r="S185" s="81" t="e">
        <f t="shared" si="70"/>
        <v>#DIV/0!</v>
      </c>
      <c r="T185" s="81">
        <f t="shared" si="71"/>
        <v>3.1383842859252697E-3</v>
      </c>
      <c r="U185" s="81">
        <f t="shared" si="72"/>
        <v>0</v>
      </c>
      <c r="V185" s="83">
        <f t="shared" si="73"/>
        <v>0</v>
      </c>
    </row>
    <row r="186" spans="1:22">
      <c r="A186" s="86"/>
      <c r="B186" s="38"/>
      <c r="C186" s="67" t="s">
        <v>198</v>
      </c>
      <c r="D186" s="69">
        <f>SUM(D22,D56,D93,D123,D131,D160,D166,D185)</f>
        <v>2726590314934.3989</v>
      </c>
      <c r="E186" s="39"/>
      <c r="F186" s="39"/>
      <c r="G186" s="40"/>
      <c r="H186" s="69">
        <f>SUM(H22,H56,H93,H123,H131,H160,H166,H185)</f>
        <v>722005</v>
      </c>
      <c r="I186" s="41"/>
      <c r="J186" s="41"/>
      <c r="K186" s="69">
        <f>SUM(K22,K56,K93,K123,K131,K160,K166,K185)</f>
        <v>2644848210359.7744</v>
      </c>
      <c r="L186" s="39"/>
      <c r="M186" s="39"/>
      <c r="N186" s="40"/>
      <c r="O186" s="69">
        <f>SUM(O22,O56,O93,O123,O131,O160,O166,O185)</f>
        <v>722439</v>
      </c>
      <c r="P186" s="42"/>
      <c r="Q186" s="69"/>
      <c r="R186" s="25">
        <f t="shared" si="69"/>
        <v>-2.9979606443585275E-2</v>
      </c>
      <c r="S186" s="25"/>
      <c r="T186" s="25"/>
      <c r="U186" s="25"/>
      <c r="V186" s="25"/>
    </row>
    <row r="187" spans="1:22" ht="6.75" customHeight="1">
      <c r="A187" s="141"/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9"/>
    </row>
    <row r="188" spans="1:22" ht="15.75">
      <c r="A188" s="139" t="s">
        <v>199</v>
      </c>
      <c r="B188" s="139"/>
      <c r="C188" s="139"/>
      <c r="D188" s="139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/>
      <c r="O188" s="139"/>
      <c r="P188" s="139"/>
      <c r="Q188" s="139"/>
      <c r="R188" s="139"/>
      <c r="S188" s="139"/>
      <c r="T188" s="139"/>
      <c r="U188" s="139"/>
      <c r="V188" s="139"/>
    </row>
    <row r="189" spans="1:22">
      <c r="A189" s="75">
        <v>1</v>
      </c>
      <c r="B189" s="125" t="s">
        <v>200</v>
      </c>
      <c r="C189" s="126" t="s">
        <v>201</v>
      </c>
      <c r="D189" s="2">
        <v>92548651821</v>
      </c>
      <c r="E189" s="3">
        <f>(D189/$D$191)</f>
        <v>0.97734147244358738</v>
      </c>
      <c r="F189" s="14">
        <v>114</v>
      </c>
      <c r="G189" s="14">
        <v>114</v>
      </c>
      <c r="H189" s="64">
        <v>0</v>
      </c>
      <c r="I189" s="20">
        <v>0</v>
      </c>
      <c r="J189" s="20">
        <v>0.13800000000000001</v>
      </c>
      <c r="K189" s="2">
        <v>92548651821</v>
      </c>
      <c r="L189" s="3">
        <f>(K189/$K$191)</f>
        <v>0.97727436362743636</v>
      </c>
      <c r="M189" s="14">
        <v>114</v>
      </c>
      <c r="N189" s="14">
        <v>114</v>
      </c>
      <c r="O189" s="64">
        <v>0</v>
      </c>
      <c r="P189" s="20">
        <v>0</v>
      </c>
      <c r="Q189" s="20">
        <v>0.13800000000000001</v>
      </c>
      <c r="R189" s="81">
        <f>((K189-D189)/D189)</f>
        <v>0</v>
      </c>
      <c r="S189" s="81">
        <f>((N189-G189)/G189)</f>
        <v>0</v>
      </c>
      <c r="T189" s="81" t="e">
        <f>((O189-H189)/H189)</f>
        <v>#DIV/0!</v>
      </c>
      <c r="U189" s="81">
        <f>P189-I189</f>
        <v>0</v>
      </c>
      <c r="V189" s="83">
        <f>Q189-J189</f>
        <v>0</v>
      </c>
    </row>
    <row r="190" spans="1:22">
      <c r="A190" s="75">
        <v>2</v>
      </c>
      <c r="B190" s="125" t="s">
        <v>202</v>
      </c>
      <c r="C190" s="126" t="s">
        <v>45</v>
      </c>
      <c r="D190" s="2">
        <v>2145633063.49</v>
      </c>
      <c r="E190" s="3">
        <f>(D190/$D$191)</f>
        <v>2.265852755641258E-2</v>
      </c>
      <c r="F190" s="21">
        <v>1000000</v>
      </c>
      <c r="G190" s="21">
        <v>1000000</v>
      </c>
      <c r="H190" s="64">
        <v>0</v>
      </c>
      <c r="I190" s="20">
        <v>0.1646</v>
      </c>
      <c r="J190" s="20">
        <v>0.1646</v>
      </c>
      <c r="K190" s="2">
        <v>2152135660.5</v>
      </c>
      <c r="L190" s="3">
        <f>(K190/$K$191)</f>
        <v>2.2725636372563685E-2</v>
      </c>
      <c r="M190" s="21">
        <v>1000000</v>
      </c>
      <c r="N190" s="21">
        <v>1000000</v>
      </c>
      <c r="O190" s="64">
        <v>0</v>
      </c>
      <c r="P190" s="20">
        <v>0.16439999999999999</v>
      </c>
      <c r="Q190" s="20">
        <v>0.16439999999999999</v>
      </c>
      <c r="R190" s="81">
        <f>((K190-D190)/D190)</f>
        <v>3.0306193172765193E-3</v>
      </c>
      <c r="S190" s="81">
        <f>((N190-G190)/G190)</f>
        <v>0</v>
      </c>
      <c r="T190" s="81" t="e">
        <f>((O190-H190)/H190)</f>
        <v>#DIV/0!</v>
      </c>
      <c r="U190" s="81">
        <f>P190-I190</f>
        <v>-2.0000000000000573E-4</v>
      </c>
      <c r="V190" s="83">
        <f>Q190-J190</f>
        <v>-2.0000000000000573E-4</v>
      </c>
    </row>
    <row r="191" spans="1:22">
      <c r="A191" s="38"/>
      <c r="B191" s="38"/>
      <c r="C191" s="67" t="s">
        <v>203</v>
      </c>
      <c r="D191" s="73">
        <f>SUM(D189:D190)</f>
        <v>94694284884.490005</v>
      </c>
      <c r="E191" s="24"/>
      <c r="F191" s="22"/>
      <c r="G191" s="22"/>
      <c r="H191" s="73">
        <f>SUM(H189:H190)</f>
        <v>0</v>
      </c>
      <c r="I191" s="23"/>
      <c r="J191" s="23"/>
      <c r="K191" s="73">
        <f>SUM(K189:K190)</f>
        <v>94700787481.5</v>
      </c>
      <c r="L191" s="24"/>
      <c r="M191" s="22"/>
      <c r="N191" s="22"/>
      <c r="O191" s="23"/>
      <c r="P191" s="23"/>
      <c r="Q191" s="73"/>
      <c r="R191" s="25">
        <f>((K191-D191)/D191)</f>
        <v>6.8669371313448389E-5</v>
      </c>
      <c r="S191" s="26"/>
      <c r="T191" s="26"/>
      <c r="U191" s="25">
        <f>O191-H191</f>
        <v>0</v>
      </c>
      <c r="V191" s="87">
        <f>P191-I191</f>
        <v>0</v>
      </c>
    </row>
    <row r="192" spans="1:22" ht="8.25" customHeight="1">
      <c r="A192" s="138"/>
      <c r="B192" s="138"/>
      <c r="C192" s="138"/>
      <c r="D192" s="138"/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</row>
    <row r="193" spans="1:22" ht="15.75">
      <c r="A193" s="139" t="s">
        <v>204</v>
      </c>
      <c r="B193" s="139"/>
      <c r="C193" s="139"/>
      <c r="D193" s="139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9"/>
    </row>
    <row r="194" spans="1:22">
      <c r="A194" s="75">
        <v>1</v>
      </c>
      <c r="B194" s="125" t="s">
        <v>205</v>
      </c>
      <c r="C194" s="126" t="s">
        <v>74</v>
      </c>
      <c r="D194" s="27">
        <v>1024201158.7000003</v>
      </c>
      <c r="E194" s="10">
        <f t="shared" ref="E194:E205" si="74">(D194/$D$206)</f>
        <v>7.5244268538397441E-2</v>
      </c>
      <c r="F194" s="21">
        <v>238.62680171251159</v>
      </c>
      <c r="G194" s="21">
        <v>241.35764314834461</v>
      </c>
      <c r="H194" s="63">
        <v>61</v>
      </c>
      <c r="I194" s="28">
        <v>1.6947086311041E-3</v>
      </c>
      <c r="J194" s="28">
        <v>0.36494266831061761</v>
      </c>
      <c r="K194" s="27">
        <v>1010571446.505819</v>
      </c>
      <c r="L194" s="10">
        <f t="shared" ref="L194:L205" si="75">(K194/$K$206)</f>
        <v>7.4099997943772158E-2</v>
      </c>
      <c r="M194" s="21">
        <v>238.14573972094237</v>
      </c>
      <c r="N194" s="21">
        <v>240.98239350771769</v>
      </c>
      <c r="O194" s="63">
        <v>61</v>
      </c>
      <c r="P194" s="28">
        <v>-2.0159595993277657E-3</v>
      </c>
      <c r="Q194" s="28">
        <v>0.36036638707267432</v>
      </c>
      <c r="R194" s="81">
        <f>((K194-D194)/D194)</f>
        <v>-1.3307651605746342E-2</v>
      </c>
      <c r="S194" s="81">
        <f>((N194-G194)/G194)</f>
        <v>-1.5547452143302573E-3</v>
      </c>
      <c r="T194" s="81">
        <f>((O194-H194)/H194)</f>
        <v>0</v>
      </c>
      <c r="U194" s="81">
        <f>P194-I194</f>
        <v>-3.7106682304318657E-3</v>
      </c>
      <c r="V194" s="83">
        <f>Q194-J194</f>
        <v>-4.5762812379432916E-3</v>
      </c>
    </row>
    <row r="195" spans="1:22">
      <c r="A195" s="75">
        <v>2</v>
      </c>
      <c r="B195" s="125" t="s">
        <v>206</v>
      </c>
      <c r="C195" s="126" t="s">
        <v>185</v>
      </c>
      <c r="D195" s="27">
        <v>1004071695.3099999</v>
      </c>
      <c r="E195" s="10">
        <f t="shared" si="74"/>
        <v>7.37654313627263E-2</v>
      </c>
      <c r="F195" s="21">
        <v>28.56</v>
      </c>
      <c r="G195" s="21">
        <v>31.57</v>
      </c>
      <c r="H195" s="63">
        <v>209</v>
      </c>
      <c r="I195" s="28">
        <v>-8.0000000000000002E-3</v>
      </c>
      <c r="J195" s="28">
        <v>0.33239999999999997</v>
      </c>
      <c r="K195" s="27">
        <v>1005733208.51</v>
      </c>
      <c r="L195" s="10">
        <f t="shared" si="75"/>
        <v>7.3745234877012983E-2</v>
      </c>
      <c r="M195" s="21">
        <v>28.61</v>
      </c>
      <c r="N195" s="21">
        <v>31.62</v>
      </c>
      <c r="O195" s="63">
        <v>209</v>
      </c>
      <c r="P195" s="28">
        <v>1.6999999999999999E-3</v>
      </c>
      <c r="Q195" s="28">
        <v>0.33460000000000001</v>
      </c>
      <c r="R195" s="81">
        <f t="shared" ref="R195:R206" si="76">((K195-D195)/D195)</f>
        <v>1.6547754585264625E-3</v>
      </c>
      <c r="S195" s="81">
        <f t="shared" ref="S195:S206" si="77">((N195-G195)/G195)</f>
        <v>1.5837820715869722E-3</v>
      </c>
      <c r="T195" s="81">
        <f t="shared" ref="T195:T206" si="78">((O195-H195)/H195)</f>
        <v>0</v>
      </c>
      <c r="U195" s="81">
        <f t="shared" ref="U195:U206" si="79">P195-I195</f>
        <v>9.7000000000000003E-3</v>
      </c>
      <c r="V195" s="83">
        <f t="shared" ref="V195:V206" si="80">Q195-J195</f>
        <v>2.2000000000000353E-3</v>
      </c>
    </row>
    <row r="196" spans="1:22">
      <c r="A196" s="75">
        <v>3</v>
      </c>
      <c r="B196" s="125" t="s">
        <v>207</v>
      </c>
      <c r="C196" s="126" t="s">
        <v>36</v>
      </c>
      <c r="D196" s="27">
        <v>300086959.63999999</v>
      </c>
      <c r="E196" s="10">
        <f t="shared" si="74"/>
        <v>2.2046278296231913E-2</v>
      </c>
      <c r="F196" s="21">
        <v>22.390371999999999</v>
      </c>
      <c r="G196" s="21">
        <v>22.845966000000001</v>
      </c>
      <c r="H196" s="63">
        <v>107</v>
      </c>
      <c r="I196" s="28">
        <v>3.9173055841276172E-2</v>
      </c>
      <c r="J196" s="28">
        <v>-4.6819547253044935E-2</v>
      </c>
      <c r="K196" s="27">
        <v>309187870.31999999</v>
      </c>
      <c r="L196" s="10">
        <f t="shared" si="75"/>
        <v>2.2671153666738168E-2</v>
      </c>
      <c r="M196" s="21">
        <v>23.305828999999999</v>
      </c>
      <c r="N196" s="21">
        <v>23.765349000000001</v>
      </c>
      <c r="O196" s="63">
        <v>107</v>
      </c>
      <c r="P196" s="28">
        <v>3.0327578015779011E-2</v>
      </c>
      <c r="Q196" s="28">
        <v>-1.7911892709246202E-2</v>
      </c>
      <c r="R196" s="81">
        <f t="shared" si="76"/>
        <v>3.0327578015778945E-2</v>
      </c>
      <c r="S196" s="81">
        <f t="shared" si="77"/>
        <v>4.0242684419647644E-2</v>
      </c>
      <c r="T196" s="81">
        <f t="shared" si="78"/>
        <v>0</v>
      </c>
      <c r="U196" s="81">
        <f t="shared" si="79"/>
        <v>-8.8454778254971611E-3</v>
      </c>
      <c r="V196" s="83">
        <f t="shared" si="80"/>
        <v>2.8907654543798733E-2</v>
      </c>
    </row>
    <row r="197" spans="1:22">
      <c r="A197" s="75">
        <v>4</v>
      </c>
      <c r="B197" s="125" t="s">
        <v>208</v>
      </c>
      <c r="C197" s="126" t="s">
        <v>36</v>
      </c>
      <c r="D197" s="27">
        <v>535152473.13</v>
      </c>
      <c r="E197" s="10">
        <f t="shared" si="74"/>
        <v>3.9315671589643199E-2</v>
      </c>
      <c r="F197" s="21">
        <v>40.158220999999998</v>
      </c>
      <c r="G197" s="21">
        <v>40.716431999999998</v>
      </c>
      <c r="H197" s="63">
        <v>98</v>
      </c>
      <c r="I197" s="28">
        <v>-8.2671689104476531E-3</v>
      </c>
      <c r="J197" s="28">
        <v>6.6534561541205406E-2</v>
      </c>
      <c r="K197" s="27">
        <v>538111855.04999995</v>
      </c>
      <c r="L197" s="10">
        <f t="shared" si="75"/>
        <v>3.9456970103988409E-2</v>
      </c>
      <c r="M197" s="21">
        <v>41.174629000000003</v>
      </c>
      <c r="N197" s="21">
        <v>41.739801999999997</v>
      </c>
      <c r="O197" s="63">
        <v>98</v>
      </c>
      <c r="P197" s="28">
        <v>5.5299789659779552E-3</v>
      </c>
      <c r="Q197" s="28">
        <v>7.2432475233016769E-2</v>
      </c>
      <c r="R197" s="81">
        <f t="shared" si="76"/>
        <v>5.5299789659779067E-3</v>
      </c>
      <c r="S197" s="81">
        <f t="shared" si="77"/>
        <v>2.5134078545978683E-2</v>
      </c>
      <c r="T197" s="81">
        <f t="shared" si="78"/>
        <v>0</v>
      </c>
      <c r="U197" s="81">
        <f t="shared" si="79"/>
        <v>1.3797147876425608E-2</v>
      </c>
      <c r="V197" s="83">
        <f t="shared" si="80"/>
        <v>5.8979136918113628E-3</v>
      </c>
    </row>
    <row r="198" spans="1:22">
      <c r="A198" s="75">
        <v>5</v>
      </c>
      <c r="B198" s="125" t="s">
        <v>209</v>
      </c>
      <c r="C198" s="126" t="s">
        <v>210</v>
      </c>
      <c r="D198" s="27">
        <v>964058178.24000001</v>
      </c>
      <c r="E198" s="10">
        <f t="shared" si="74"/>
        <v>7.082578635451095E-2</v>
      </c>
      <c r="F198" s="21">
        <v>26700</v>
      </c>
      <c r="G198" s="21">
        <v>33700</v>
      </c>
      <c r="H198" s="63">
        <v>222</v>
      </c>
      <c r="I198" s="28">
        <v>-0.11</v>
      </c>
      <c r="J198" s="28">
        <v>0.65</v>
      </c>
      <c r="K198" s="27">
        <v>984382460.55999994</v>
      </c>
      <c r="L198" s="10">
        <f t="shared" si="75"/>
        <v>7.2179694523915455E-2</v>
      </c>
      <c r="M198" s="21">
        <v>27500</v>
      </c>
      <c r="N198" s="21">
        <v>35200</v>
      </c>
      <c r="O198" s="63">
        <v>222</v>
      </c>
      <c r="P198" s="28">
        <v>0.02</v>
      </c>
      <c r="Q198" s="28">
        <v>0.68</v>
      </c>
      <c r="R198" s="81">
        <f t="shared" si="76"/>
        <v>2.1082008097378799E-2</v>
      </c>
      <c r="S198" s="81">
        <f t="shared" si="77"/>
        <v>4.4510385756676561E-2</v>
      </c>
      <c r="T198" s="81">
        <f t="shared" si="78"/>
        <v>0</v>
      </c>
      <c r="U198" s="81">
        <f t="shared" si="79"/>
        <v>0.13</v>
      </c>
      <c r="V198" s="83">
        <f t="shared" si="80"/>
        <v>3.0000000000000027E-2</v>
      </c>
    </row>
    <row r="199" spans="1:22">
      <c r="A199" s="75">
        <v>6</v>
      </c>
      <c r="B199" s="125" t="s">
        <v>211</v>
      </c>
      <c r="C199" s="126" t="s">
        <v>212</v>
      </c>
      <c r="D199" s="27">
        <v>1123088592.77</v>
      </c>
      <c r="E199" s="10">
        <f t="shared" si="74"/>
        <v>8.2509162334925168E-2</v>
      </c>
      <c r="F199" s="21">
        <v>933</v>
      </c>
      <c r="G199" s="21">
        <v>933</v>
      </c>
      <c r="H199" s="63">
        <v>46</v>
      </c>
      <c r="I199" s="28">
        <v>1.8599999999999998E-2</v>
      </c>
      <c r="J199" s="28">
        <v>0.1741</v>
      </c>
      <c r="K199" s="27">
        <v>1131715451.4400001</v>
      </c>
      <c r="L199" s="10">
        <f t="shared" si="75"/>
        <v>8.2982863719924346E-2</v>
      </c>
      <c r="M199" s="21">
        <v>1018.9</v>
      </c>
      <c r="N199" s="21">
        <v>1018.9</v>
      </c>
      <c r="O199" s="63">
        <v>113</v>
      </c>
      <c r="P199" s="28">
        <v>7.7000000000000002E-3</v>
      </c>
      <c r="Q199" s="28">
        <v>0.183</v>
      </c>
      <c r="R199" s="81">
        <f t="shared" si="76"/>
        <v>7.6813696849352573E-3</v>
      </c>
      <c r="S199" s="81">
        <f t="shared" si="77"/>
        <v>9.2068595927116803E-2</v>
      </c>
      <c r="T199" s="81">
        <f t="shared" si="78"/>
        <v>1.4565217391304348</v>
      </c>
      <c r="U199" s="81">
        <f t="shared" si="79"/>
        <v>-1.0899999999999998E-2</v>
      </c>
      <c r="V199" s="83">
        <f t="shared" si="80"/>
        <v>8.8999999999999913E-3</v>
      </c>
    </row>
    <row r="200" spans="1:22">
      <c r="A200" s="75">
        <v>7</v>
      </c>
      <c r="B200" s="125" t="s">
        <v>213</v>
      </c>
      <c r="C200" s="126" t="s">
        <v>212</v>
      </c>
      <c r="D200" s="27">
        <v>964038864.13</v>
      </c>
      <c r="E200" s="10">
        <f t="shared" si="74"/>
        <v>7.0824367418331202E-2</v>
      </c>
      <c r="F200" s="21">
        <v>500.2</v>
      </c>
      <c r="G200" s="21">
        <v>500.2</v>
      </c>
      <c r="H200" s="63">
        <v>377</v>
      </c>
      <c r="I200" s="28">
        <v>1.6000000000000001E-3</v>
      </c>
      <c r="J200" s="28">
        <v>0.44209999999999999</v>
      </c>
      <c r="K200" s="27">
        <v>960190132.13</v>
      </c>
      <c r="L200" s="10">
        <f t="shared" si="75"/>
        <v>7.040579571337971E-2</v>
      </c>
      <c r="M200" s="21">
        <v>600</v>
      </c>
      <c r="N200" s="21">
        <v>600</v>
      </c>
      <c r="O200" s="63">
        <v>533</v>
      </c>
      <c r="P200" s="28">
        <v>-4.0000000000000001E-3</v>
      </c>
      <c r="Q200" s="28">
        <v>0.43640000000000001</v>
      </c>
      <c r="R200" s="81">
        <f t="shared" si="76"/>
        <v>-3.9922996294068508E-3</v>
      </c>
      <c r="S200" s="81">
        <f t="shared" si="77"/>
        <v>0.19952019192323073</v>
      </c>
      <c r="T200" s="81">
        <f t="shared" si="78"/>
        <v>0.41379310344827586</v>
      </c>
      <c r="U200" s="81">
        <f t="shared" si="79"/>
        <v>-5.5999999999999999E-3</v>
      </c>
      <c r="V200" s="83">
        <f t="shared" si="80"/>
        <v>-5.6999999999999829E-3</v>
      </c>
    </row>
    <row r="201" spans="1:22">
      <c r="A201" s="75">
        <v>8</v>
      </c>
      <c r="B201" s="125" t="s">
        <v>214</v>
      </c>
      <c r="C201" s="126" t="s">
        <v>215</v>
      </c>
      <c r="D201" s="27">
        <v>367259107.52999997</v>
      </c>
      <c r="E201" s="10">
        <f t="shared" si="74"/>
        <v>2.6981167396095324E-2</v>
      </c>
      <c r="F201" s="21">
        <v>16.22</v>
      </c>
      <c r="G201" s="21">
        <v>16.32</v>
      </c>
      <c r="H201" s="63">
        <v>56</v>
      </c>
      <c r="I201" s="28">
        <v>0</v>
      </c>
      <c r="J201" s="28">
        <v>0.43230000000000002</v>
      </c>
      <c r="K201" s="27">
        <v>363581087.36000001</v>
      </c>
      <c r="L201" s="10">
        <f t="shared" si="75"/>
        <v>2.6659528051107783E-2</v>
      </c>
      <c r="M201" s="21">
        <v>16.059999999999999</v>
      </c>
      <c r="N201" s="21">
        <v>16.16</v>
      </c>
      <c r="O201" s="63">
        <v>58</v>
      </c>
      <c r="P201" s="28">
        <v>0</v>
      </c>
      <c r="Q201" s="28">
        <v>0.43230000000000002</v>
      </c>
      <c r="R201" s="81">
        <f t="shared" si="76"/>
        <v>-1.0014782736734484E-2</v>
      </c>
      <c r="S201" s="81">
        <f t="shared" si="77"/>
        <v>-9.8039215686274595E-3</v>
      </c>
      <c r="T201" s="81">
        <f t="shared" si="78"/>
        <v>3.5714285714285712E-2</v>
      </c>
      <c r="U201" s="81">
        <f t="shared" si="79"/>
        <v>0</v>
      </c>
      <c r="V201" s="83">
        <f t="shared" si="80"/>
        <v>0</v>
      </c>
    </row>
    <row r="202" spans="1:22">
      <c r="A202" s="75">
        <v>9</v>
      </c>
      <c r="B202" s="125" t="s">
        <v>216</v>
      </c>
      <c r="C202" s="126" t="s">
        <v>215</v>
      </c>
      <c r="D202" s="29">
        <v>808774800.69000006</v>
      </c>
      <c r="E202" s="10">
        <f t="shared" si="74"/>
        <v>5.9417691313150063E-2</v>
      </c>
      <c r="F202" s="21">
        <v>10.050000000000001</v>
      </c>
      <c r="G202" s="21">
        <v>10.15</v>
      </c>
      <c r="H202" s="63">
        <v>95</v>
      </c>
      <c r="I202" s="28">
        <v>9.98E-2</v>
      </c>
      <c r="J202" s="28">
        <v>0.1234</v>
      </c>
      <c r="K202" s="29">
        <v>823977158.40999997</v>
      </c>
      <c r="L202" s="10">
        <f t="shared" si="75"/>
        <v>6.0418000087977604E-2</v>
      </c>
      <c r="M202" s="21">
        <v>10.25</v>
      </c>
      <c r="N202" s="21">
        <v>10.35</v>
      </c>
      <c r="O202" s="63">
        <v>97</v>
      </c>
      <c r="P202" s="28">
        <v>2.8199999999999999E-2</v>
      </c>
      <c r="Q202" s="28">
        <v>0.1552</v>
      </c>
      <c r="R202" s="81">
        <f t="shared" si="76"/>
        <v>1.8796774710376898E-2</v>
      </c>
      <c r="S202" s="81">
        <f t="shared" si="77"/>
        <v>1.9704433497536877E-2</v>
      </c>
      <c r="T202" s="81">
        <f t="shared" si="78"/>
        <v>2.1052631578947368E-2</v>
      </c>
      <c r="U202" s="81">
        <f t="shared" si="79"/>
        <v>-7.1599999999999997E-2</v>
      </c>
      <c r="V202" s="83">
        <f t="shared" si="80"/>
        <v>3.1800000000000009E-2</v>
      </c>
    </row>
    <row r="203" spans="1:22" ht="15" customHeight="1">
      <c r="A203" s="75">
        <v>10</v>
      </c>
      <c r="B203" s="125" t="s">
        <v>217</v>
      </c>
      <c r="C203" s="126" t="s">
        <v>215</v>
      </c>
      <c r="D203" s="27">
        <v>436750533.35000002</v>
      </c>
      <c r="E203" s="10">
        <f t="shared" si="74"/>
        <v>3.2086445261776585E-2</v>
      </c>
      <c r="F203" s="21">
        <v>123.06</v>
      </c>
      <c r="G203" s="21">
        <v>125.06</v>
      </c>
      <c r="H203" s="63">
        <v>252</v>
      </c>
      <c r="I203" s="28">
        <v>1.4443999999999999</v>
      </c>
      <c r="J203" s="28">
        <v>1.9730000000000001</v>
      </c>
      <c r="K203" s="27">
        <v>437147934.64999998</v>
      </c>
      <c r="L203" s="10">
        <f t="shared" si="75"/>
        <v>3.2053805963636758E-2</v>
      </c>
      <c r="M203" s="21">
        <v>123.18</v>
      </c>
      <c r="N203" s="21">
        <v>125.18</v>
      </c>
      <c r="O203" s="63">
        <v>252</v>
      </c>
      <c r="P203" s="28">
        <v>-0.43180000000000002</v>
      </c>
      <c r="Q203" s="28">
        <v>0.68920000000000003</v>
      </c>
      <c r="R203" s="81">
        <f t="shared" si="76"/>
        <v>9.0990455570087584E-4</v>
      </c>
      <c r="S203" s="81">
        <f t="shared" si="77"/>
        <v>9.5953942107791898E-4</v>
      </c>
      <c r="T203" s="81">
        <f t="shared" si="78"/>
        <v>0</v>
      </c>
      <c r="U203" s="81">
        <f t="shared" si="79"/>
        <v>-1.8761999999999999</v>
      </c>
      <c r="V203" s="83">
        <f t="shared" si="80"/>
        <v>-1.2838000000000001</v>
      </c>
    </row>
    <row r="204" spans="1:22">
      <c r="A204" s="75">
        <v>11</v>
      </c>
      <c r="B204" s="125" t="s">
        <v>218</v>
      </c>
      <c r="C204" s="126" t="s">
        <v>215</v>
      </c>
      <c r="D204" s="27">
        <v>5583859897.4899998</v>
      </c>
      <c r="E204" s="10">
        <f t="shared" si="74"/>
        <v>0.41022552067878837</v>
      </c>
      <c r="F204" s="21">
        <v>39.11</v>
      </c>
      <c r="G204" s="21">
        <v>39.31</v>
      </c>
      <c r="H204" s="63">
        <v>259</v>
      </c>
      <c r="I204" s="28">
        <v>0</v>
      </c>
      <c r="J204" s="28">
        <v>0.437</v>
      </c>
      <c r="K204" s="27">
        <v>5572078854.0100002</v>
      </c>
      <c r="L204" s="10">
        <f t="shared" si="75"/>
        <v>0.40857183631330701</v>
      </c>
      <c r="M204" s="21">
        <v>39.049999999999997</v>
      </c>
      <c r="N204" s="21">
        <v>39.25</v>
      </c>
      <c r="O204" s="63">
        <v>262</v>
      </c>
      <c r="P204" s="28">
        <v>-7.7000000000000002E-3</v>
      </c>
      <c r="Q204" s="28">
        <v>0.4259</v>
      </c>
      <c r="R204" s="81">
        <f t="shared" si="76"/>
        <v>-2.1098386593286908E-3</v>
      </c>
      <c r="S204" s="81">
        <f t="shared" si="77"/>
        <v>-1.5263291783261833E-3</v>
      </c>
      <c r="T204" s="81">
        <f t="shared" si="78"/>
        <v>1.1583011583011582E-2</v>
      </c>
      <c r="U204" s="81">
        <f t="shared" si="79"/>
        <v>-7.7000000000000002E-3</v>
      </c>
      <c r="V204" s="83">
        <f t="shared" si="80"/>
        <v>-1.1099999999999999E-2</v>
      </c>
    </row>
    <row r="205" spans="1:22">
      <c r="A205" s="75">
        <v>12</v>
      </c>
      <c r="B205" s="125" t="s">
        <v>219</v>
      </c>
      <c r="C205" s="126" t="s">
        <v>215</v>
      </c>
      <c r="D205" s="29">
        <v>500341108.32999998</v>
      </c>
      <c r="E205" s="10">
        <f t="shared" si="74"/>
        <v>3.6758209455423373E-2</v>
      </c>
      <c r="F205" s="21">
        <v>48.21</v>
      </c>
      <c r="G205" s="21">
        <v>48.41</v>
      </c>
      <c r="H205" s="63">
        <v>55</v>
      </c>
      <c r="I205" s="28">
        <v>6.1999999999999998E-3</v>
      </c>
      <c r="J205" s="28">
        <v>0.8226</v>
      </c>
      <c r="K205" s="29">
        <v>501264167.88999999</v>
      </c>
      <c r="L205" s="10">
        <f t="shared" si="75"/>
        <v>3.675511903523962E-2</v>
      </c>
      <c r="M205" s="21">
        <v>48.31</v>
      </c>
      <c r="N205" s="21">
        <v>48.51</v>
      </c>
      <c r="O205" s="63">
        <v>55</v>
      </c>
      <c r="P205" s="28">
        <v>-6.1999999999999998E-3</v>
      </c>
      <c r="Q205" s="28">
        <v>0.81130000000000002</v>
      </c>
      <c r="R205" s="81">
        <f t="shared" si="76"/>
        <v>1.8448605254141909E-3</v>
      </c>
      <c r="S205" s="81">
        <f t="shared" si="77"/>
        <v>2.0656889072505976E-3</v>
      </c>
      <c r="T205" s="81">
        <f t="shared" si="78"/>
        <v>0</v>
      </c>
      <c r="U205" s="81">
        <f t="shared" si="79"/>
        <v>-1.24E-2</v>
      </c>
      <c r="V205" s="83">
        <f t="shared" si="80"/>
        <v>-1.1299999999999977E-2</v>
      </c>
    </row>
    <row r="206" spans="1:22">
      <c r="A206" s="43"/>
      <c r="B206" s="43"/>
      <c r="C206" s="74" t="s">
        <v>220</v>
      </c>
      <c r="D206" s="73">
        <f>SUM(D194:D205)</f>
        <v>13611683369.310001</v>
      </c>
      <c r="E206" s="24"/>
      <c r="F206" s="24"/>
      <c r="G206" s="22"/>
      <c r="H206" s="73">
        <f>SUM(H194:H205)</f>
        <v>1837</v>
      </c>
      <c r="I206" s="23"/>
      <c r="J206" s="23"/>
      <c r="K206" s="73">
        <f>SUM(K194:K205)</f>
        <v>13637941626.835819</v>
      </c>
      <c r="L206" s="24"/>
      <c r="M206" s="24"/>
      <c r="N206" s="22"/>
      <c r="O206" s="73">
        <f>SUM(O194:O205)</f>
        <v>2067</v>
      </c>
      <c r="P206" s="23"/>
      <c r="Q206" s="23"/>
      <c r="R206" s="81">
        <f t="shared" si="76"/>
        <v>1.9290969980261116E-3</v>
      </c>
      <c r="S206" s="81" t="e">
        <f t="shared" si="77"/>
        <v>#DIV/0!</v>
      </c>
      <c r="T206" s="81">
        <f t="shared" si="78"/>
        <v>0.12520413718018508</v>
      </c>
      <c r="U206" s="81">
        <f t="shared" si="79"/>
        <v>0</v>
      </c>
      <c r="V206" s="83">
        <f t="shared" si="80"/>
        <v>0</v>
      </c>
    </row>
    <row r="207" spans="1:22">
      <c r="A207" s="88"/>
      <c r="B207" s="88"/>
      <c r="C207" s="89" t="s">
        <v>221</v>
      </c>
      <c r="D207" s="90">
        <f>SUM(D186,D191,D206)</f>
        <v>2834896283188.1992</v>
      </c>
      <c r="E207" s="91"/>
      <c r="F207" s="91"/>
      <c r="G207" s="92"/>
      <c r="H207" s="90">
        <f>SUM(H186,H191,H206)</f>
        <v>723842</v>
      </c>
      <c r="I207" s="93"/>
      <c r="J207" s="93"/>
      <c r="K207" s="90">
        <f>SUM(K186,K191,K206)</f>
        <v>2753186939468.1104</v>
      </c>
      <c r="L207" s="91"/>
      <c r="M207" s="91"/>
      <c r="N207" s="92"/>
      <c r="O207" s="90">
        <f>SUM(O186,O191,O206)</f>
        <v>724506</v>
      </c>
      <c r="P207" s="94"/>
      <c r="Q207" s="90"/>
      <c r="R207" s="95"/>
      <c r="S207" s="96"/>
      <c r="T207" s="96"/>
      <c r="U207" s="97"/>
      <c r="V207" s="97"/>
    </row>
    <row r="208" spans="1:22">
      <c r="A208" s="109" t="s">
        <v>250</v>
      </c>
      <c r="B208" s="110" t="s">
        <v>272</v>
      </c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</row>
    <row r="210" spans="2:11">
      <c r="B210" s="113"/>
      <c r="C210" s="113"/>
      <c r="D210" s="112"/>
      <c r="K210" s="112"/>
    </row>
    <row r="211" spans="2:11" ht="25.5">
      <c r="B211" s="135"/>
      <c r="D211" s="112"/>
    </row>
  </sheetData>
  <sheetProtection algorithmName="SHA-512" hashValue="/QkberqyrGo3eaH1T8EJSge8yS+UO6CPD6JP1GQhluQ6RRYwr3A34Nsb3H9nkqnxcLBEOOxHlIf6phUc2+npJA==" saltValue="QBeJkhzjvD5rNwXFmAtN3A==" spinCount="100000" sheet="1" objects="1" scenarios="1"/>
  <protectedRanges>
    <protectedRange password="CADF" sqref="K10 D10" name="Fund Name_1_1_1_3_1_1_2"/>
  </protectedRanges>
  <mergeCells count="31">
    <mergeCell ref="A94:V94"/>
    <mergeCell ref="A1:V1"/>
    <mergeCell ref="U2:V2"/>
    <mergeCell ref="A4:V4"/>
    <mergeCell ref="A5:V5"/>
    <mergeCell ref="A23:V23"/>
    <mergeCell ref="A24:V24"/>
    <mergeCell ref="A57:V57"/>
    <mergeCell ref="A58:V58"/>
    <mergeCell ref="R2:T2"/>
    <mergeCell ref="K2:Q2"/>
    <mergeCell ref="D2:J2"/>
    <mergeCell ref="A168:V168"/>
    <mergeCell ref="A95:V95"/>
    <mergeCell ref="A96:V96"/>
    <mergeCell ref="A109:V109"/>
    <mergeCell ref="A110:V110"/>
    <mergeCell ref="A124:V124"/>
    <mergeCell ref="A125:V125"/>
    <mergeCell ref="A132:V132"/>
    <mergeCell ref="A133:V133"/>
    <mergeCell ref="A161:V161"/>
    <mergeCell ref="A162:V162"/>
    <mergeCell ref="A167:V167"/>
    <mergeCell ref="A192:V192"/>
    <mergeCell ref="A193:V193"/>
    <mergeCell ref="A169:V169"/>
    <mergeCell ref="A172:V172"/>
    <mergeCell ref="A173:V173"/>
    <mergeCell ref="A187:U187"/>
    <mergeCell ref="A188:V188"/>
  </mergeCells>
  <pageMargins left="0.7" right="0.7" top="0.75" bottom="0.75" header="0.3" footer="0.3"/>
  <pageSetup paperSize="9" orientation="portrait" horizontalDpi="300" verticalDpi="300" r:id="rId1"/>
  <ignoredErrors>
    <ignoredError sqref="L80 E80 E63" formula="1"/>
    <ignoredError sqref="S131 S22 T33 S56 S93 S123 T141 S160 S166 S185 S206 T189:T19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28"/>
  <sheetViews>
    <sheetView workbookViewId="0">
      <selection activeCell="H6" sqref="H6"/>
    </sheetView>
  </sheetViews>
  <sheetFormatPr defaultRowHeight="15"/>
  <cols>
    <col min="1" max="1" width="34" customWidth="1"/>
    <col min="2" max="2" width="20.7109375" customWidth="1"/>
    <col min="3" max="3" width="17.42578125" customWidth="1"/>
  </cols>
  <sheetData>
    <row r="1" spans="1:4">
      <c r="A1" s="99"/>
      <c r="B1" s="99"/>
      <c r="C1" s="99"/>
      <c r="D1" s="99"/>
    </row>
    <row r="2" spans="1:4" ht="33">
      <c r="A2" s="152" t="s">
        <v>222</v>
      </c>
      <c r="B2" s="153" t="s">
        <v>265</v>
      </c>
      <c r="C2" s="153" t="s">
        <v>270</v>
      </c>
      <c r="D2" s="99"/>
    </row>
    <row r="3" spans="1:4" ht="16.5">
      <c r="A3" s="154" t="s">
        <v>15</v>
      </c>
      <c r="B3" s="155">
        <f t="shared" ref="B3:C10" si="0">B12</f>
        <v>28.214914152029099</v>
      </c>
      <c r="C3" s="155">
        <f t="shared" si="0"/>
        <v>28.499552255214198</v>
      </c>
      <c r="D3" s="99"/>
    </row>
    <row r="4" spans="1:4" ht="17.25" customHeight="1">
      <c r="A4" s="156" t="s">
        <v>47</v>
      </c>
      <c r="B4" s="157">
        <f t="shared" si="0"/>
        <v>920.02384259584562</v>
      </c>
      <c r="C4" s="157">
        <f t="shared" si="0"/>
        <v>919.49600657440953</v>
      </c>
      <c r="D4" s="99"/>
    </row>
    <row r="5" spans="1:4" ht="19.5" customHeight="1">
      <c r="A5" s="156" t="s">
        <v>223</v>
      </c>
      <c r="B5" s="155">
        <f t="shared" si="0"/>
        <v>270.22092563965828</v>
      </c>
      <c r="C5" s="155">
        <f t="shared" si="0"/>
        <v>271.6586965135848</v>
      </c>
      <c r="D5" s="99"/>
    </row>
    <row r="6" spans="1:4" ht="16.5">
      <c r="A6" s="156" t="s">
        <v>128</v>
      </c>
      <c r="B6" s="157">
        <f t="shared" si="0"/>
        <v>1304.3839521094192</v>
      </c>
      <c r="C6" s="157">
        <f t="shared" si="0"/>
        <v>1220.9864248515159</v>
      </c>
      <c r="D6" s="99"/>
    </row>
    <row r="7" spans="1:4" ht="16.5">
      <c r="A7" s="156" t="s">
        <v>224</v>
      </c>
      <c r="B7" s="155">
        <f t="shared" si="0"/>
        <v>99.828191215146546</v>
      </c>
      <c r="C7" s="155">
        <f t="shared" si="0"/>
        <v>99.892436477227193</v>
      </c>
      <c r="D7" s="99"/>
    </row>
    <row r="8" spans="1:4" ht="16.5">
      <c r="A8" s="156" t="s">
        <v>154</v>
      </c>
      <c r="B8" s="158">
        <f t="shared" si="0"/>
        <v>49.695302922374417</v>
      </c>
      <c r="C8" s="158">
        <f t="shared" si="0"/>
        <v>49.905453494100527</v>
      </c>
      <c r="D8" s="99"/>
    </row>
    <row r="9" spans="1:4" ht="16.5">
      <c r="A9" s="156" t="s">
        <v>178</v>
      </c>
      <c r="B9" s="155">
        <f t="shared" si="0"/>
        <v>5.1941757294800004</v>
      </c>
      <c r="C9" s="155">
        <f t="shared" si="0"/>
        <v>5.2162414736000002</v>
      </c>
      <c r="D9" s="99"/>
    </row>
    <row r="10" spans="1:4" ht="16.5">
      <c r="A10" s="156" t="s">
        <v>225</v>
      </c>
      <c r="B10" s="155">
        <f t="shared" si="0"/>
        <v>49.029010570445799</v>
      </c>
      <c r="C10" s="155">
        <f t="shared" si="0"/>
        <v>49.193398720121991</v>
      </c>
      <c r="D10" s="99"/>
    </row>
    <row r="11" spans="1:4">
      <c r="A11" s="99"/>
      <c r="B11" s="99"/>
      <c r="C11" s="99"/>
      <c r="D11" s="99"/>
    </row>
    <row r="12" spans="1:4">
      <c r="A12" s="159" t="s">
        <v>15</v>
      </c>
      <c r="B12" s="160">
        <f>'Weekly Valuation'!D22/1000000000</f>
        <v>28.214914152029099</v>
      </c>
      <c r="C12" s="161">
        <f>'Weekly Valuation'!K22/1000000000</f>
        <v>28.499552255214198</v>
      </c>
      <c r="D12" s="99"/>
    </row>
    <row r="13" spans="1:4">
      <c r="A13" s="162" t="s">
        <v>47</v>
      </c>
      <c r="B13" s="160">
        <f>'Weekly Valuation'!D56/1000000000</f>
        <v>920.02384259584562</v>
      </c>
      <c r="C13" s="163">
        <f>'Weekly Valuation'!K56/1000000000</f>
        <v>919.49600657440953</v>
      </c>
      <c r="D13" s="99"/>
    </row>
    <row r="14" spans="1:4">
      <c r="A14" s="162" t="s">
        <v>223</v>
      </c>
      <c r="B14" s="160">
        <f>'Weekly Valuation'!D93/1000000000</f>
        <v>270.22092563965828</v>
      </c>
      <c r="C14" s="161">
        <f>'Weekly Valuation'!K93/1000000000</f>
        <v>271.6586965135848</v>
      </c>
      <c r="D14" s="99"/>
    </row>
    <row r="15" spans="1:4">
      <c r="A15" s="162" t="s">
        <v>128</v>
      </c>
      <c r="B15" s="160">
        <f>'Weekly Valuation'!D123/1000000000</f>
        <v>1304.3839521094192</v>
      </c>
      <c r="C15" s="163">
        <f>'Weekly Valuation'!K123/1000000000</f>
        <v>1220.9864248515159</v>
      </c>
      <c r="D15" s="99"/>
    </row>
    <row r="16" spans="1:4">
      <c r="A16" s="162" t="s">
        <v>224</v>
      </c>
      <c r="B16" s="160">
        <f>'Weekly Valuation'!D131/1000000000</f>
        <v>99.828191215146546</v>
      </c>
      <c r="C16" s="161">
        <f>'Weekly Valuation'!K131/1000000000</f>
        <v>99.892436477227193</v>
      </c>
      <c r="D16" s="99"/>
    </row>
    <row r="17" spans="1:4">
      <c r="A17" s="162" t="s">
        <v>154</v>
      </c>
      <c r="B17" s="160">
        <f>'Weekly Valuation'!D160/1000000000</f>
        <v>49.695302922374417</v>
      </c>
      <c r="C17" s="164">
        <f>'Weekly Valuation'!K160/1000000000</f>
        <v>49.905453494100527</v>
      </c>
      <c r="D17" s="99"/>
    </row>
    <row r="18" spans="1:4">
      <c r="A18" s="162" t="s">
        <v>178</v>
      </c>
      <c r="B18" s="160">
        <f>'Weekly Valuation'!D166/1000000000</f>
        <v>5.1941757294800004</v>
      </c>
      <c r="C18" s="161">
        <f>'Weekly Valuation'!K166/1000000000</f>
        <v>5.2162414736000002</v>
      </c>
      <c r="D18" s="99"/>
    </row>
    <row r="19" spans="1:4">
      <c r="A19" s="162" t="s">
        <v>225</v>
      </c>
      <c r="B19" s="160">
        <f>'Weekly Valuation'!D185/1000000000</f>
        <v>49.029010570445799</v>
      </c>
      <c r="C19" s="161">
        <f>'Weekly Valuation'!K185/1000000000</f>
        <v>49.193398720121991</v>
      </c>
      <c r="D19" s="99"/>
    </row>
    <row r="20" spans="1:4" ht="16.5">
      <c r="A20" s="114"/>
      <c r="B20" s="99"/>
      <c r="C20" s="129"/>
      <c r="D20" s="99"/>
    </row>
    <row r="21" spans="1:4" ht="16.5">
      <c r="A21" s="118"/>
      <c r="C21" s="106"/>
      <c r="D21" s="99"/>
    </row>
    <row r="22" spans="1:4" ht="16.5">
      <c r="A22" s="114"/>
      <c r="B22" s="116"/>
      <c r="C22" s="115"/>
      <c r="D22" s="99"/>
    </row>
    <row r="23" spans="1:4" ht="16.5">
      <c r="A23" s="114"/>
      <c r="B23" s="116">
        <v>49899185767.631302</v>
      </c>
      <c r="C23" s="116"/>
      <c r="D23" s="99"/>
    </row>
    <row r="24" spans="1:4" ht="16.5">
      <c r="A24" s="114"/>
      <c r="B24" s="116"/>
      <c r="C24" s="116"/>
      <c r="D24" s="99"/>
    </row>
    <row r="25" spans="1:4" ht="16.5">
      <c r="A25" s="114"/>
      <c r="B25" s="116"/>
      <c r="C25" s="116"/>
      <c r="D25" s="99"/>
    </row>
    <row r="26" spans="1:4" ht="16.5">
      <c r="A26" s="118"/>
      <c r="B26" s="106"/>
      <c r="C26" s="106"/>
    </row>
    <row r="27" spans="1:4">
      <c r="B27" s="101"/>
      <c r="C27" s="101"/>
    </row>
    <row r="28" spans="1:4">
      <c r="B28" s="101"/>
      <c r="C28" s="101"/>
    </row>
  </sheetData>
  <sheetProtection algorithmName="SHA-512" hashValue="4P9o99DDnc2hbLv7e1foxEeLL+GgeYIIW11Dc4GYSxRd9PxM6uf/1sS8bU7G0uugw5GxuX0VdUC4zzb1YmULlA==" saltValue="FWB6XD85jHWabcuM3uUAyA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33"/>
  <sheetViews>
    <sheetView zoomScale="85" zoomScaleNormal="85" workbookViewId="0">
      <selection activeCell="H6" sqref="H6"/>
    </sheetView>
  </sheetViews>
  <sheetFormatPr defaultRowHeight="15"/>
  <cols>
    <col min="1" max="1" width="26.7109375" customWidth="1"/>
    <col min="2" max="2" width="17.42578125" customWidth="1"/>
  </cols>
  <sheetData>
    <row r="1" spans="1:3" ht="16.5">
      <c r="A1" s="152" t="s">
        <v>222</v>
      </c>
      <c r="B1" s="165">
        <v>45379</v>
      </c>
      <c r="C1" s="99"/>
    </row>
    <row r="2" spans="1:3" ht="16.5">
      <c r="A2" s="156" t="s">
        <v>178</v>
      </c>
      <c r="B2" s="155">
        <f>'Weekly Valuation'!K166</f>
        <v>5216241473.6000004</v>
      </c>
      <c r="C2" s="99"/>
    </row>
    <row r="3" spans="1:3" ht="16.5">
      <c r="A3" s="156" t="s">
        <v>15</v>
      </c>
      <c r="B3" s="155">
        <f>'Weekly Valuation'!K22</f>
        <v>28499552255.214199</v>
      </c>
      <c r="C3" s="99"/>
    </row>
    <row r="4" spans="1:3" ht="16.5">
      <c r="A4" s="156" t="s">
        <v>225</v>
      </c>
      <c r="B4" s="155">
        <f>'Weekly Valuation'!K185</f>
        <v>49193398720.121994</v>
      </c>
      <c r="C4" s="99"/>
    </row>
    <row r="5" spans="1:3" ht="16.5">
      <c r="A5" s="156" t="s">
        <v>154</v>
      </c>
      <c r="B5" s="158">
        <f>'Weekly Valuation'!K160</f>
        <v>49905453494.100525</v>
      </c>
      <c r="C5" s="99"/>
    </row>
    <row r="6" spans="1:3" ht="16.5">
      <c r="A6" s="156" t="s">
        <v>224</v>
      </c>
      <c r="B6" s="155">
        <f>'Weekly Valuation'!K131</f>
        <v>99892436477.227188</v>
      </c>
      <c r="C6" s="99"/>
    </row>
    <row r="7" spans="1:3" ht="16.5">
      <c r="A7" s="156" t="s">
        <v>223</v>
      </c>
      <c r="B7" s="155">
        <f>'Weekly Valuation'!K93</f>
        <v>271658696513.58481</v>
      </c>
      <c r="C7" s="99"/>
    </row>
    <row r="8" spans="1:3" ht="16.5">
      <c r="A8" s="156" t="s">
        <v>47</v>
      </c>
      <c r="B8" s="157">
        <f>'Weekly Valuation'!K56</f>
        <v>919496006574.40955</v>
      </c>
      <c r="C8" s="99"/>
    </row>
    <row r="9" spans="1:3" ht="16.5">
      <c r="A9" s="156" t="s">
        <v>128</v>
      </c>
      <c r="B9" s="157">
        <f>'Weekly Valuation'!K123</f>
        <v>1220986424851.5159</v>
      </c>
      <c r="C9" s="99"/>
    </row>
    <row r="10" spans="1:3">
      <c r="A10" s="99"/>
      <c r="B10" s="99"/>
      <c r="C10" s="99"/>
    </row>
    <row r="11" spans="1:3" ht="16.5">
      <c r="A11" s="166"/>
      <c r="B11" s="99"/>
      <c r="C11" s="99"/>
    </row>
    <row r="12" spans="1:3" ht="16.5">
      <c r="A12" s="116"/>
      <c r="B12" s="99"/>
      <c r="C12" s="99"/>
    </row>
    <row r="13" spans="1:3" ht="16.5">
      <c r="A13" s="116"/>
      <c r="B13" s="116"/>
      <c r="C13" s="99"/>
    </row>
    <row r="14" spans="1:3" ht="16.5">
      <c r="A14" s="106"/>
      <c r="B14" s="106"/>
      <c r="C14" s="101"/>
    </row>
    <row r="15" spans="1:3" ht="16.5" customHeight="1">
      <c r="A15" s="132"/>
      <c r="B15" s="132"/>
      <c r="C15" s="101"/>
    </row>
    <row r="16" spans="1:3" ht="16.5">
      <c r="A16" s="106"/>
      <c r="B16" s="106"/>
      <c r="C16" s="99"/>
    </row>
    <row r="17" spans="1:17" ht="16.5">
      <c r="A17" s="106"/>
      <c r="B17" s="106"/>
      <c r="C17" s="99"/>
    </row>
    <row r="18" spans="1:17" ht="16.5">
      <c r="A18" s="121"/>
      <c r="B18" s="106"/>
      <c r="C18" s="99"/>
    </row>
    <row r="19" spans="1:17" ht="16.5">
      <c r="A19" s="121"/>
      <c r="B19" s="121"/>
      <c r="C19" s="99"/>
    </row>
    <row r="20" spans="1:17" ht="16.5">
      <c r="A20" s="121"/>
      <c r="B20" s="121"/>
      <c r="C20" s="99"/>
    </row>
    <row r="21" spans="1:17" ht="16.5">
      <c r="A21" s="114"/>
      <c r="B21" s="129"/>
      <c r="C21" s="99"/>
    </row>
    <row r="22" spans="1:17" ht="16.5">
      <c r="A22" s="101"/>
      <c r="B22" s="121"/>
      <c r="C22" s="101"/>
    </row>
    <row r="23" spans="1:17">
      <c r="A23" s="101"/>
      <c r="B23" s="101"/>
      <c r="C23" s="101"/>
    </row>
    <row r="24" spans="1:17">
      <c r="A24" s="101"/>
      <c r="B24" s="101"/>
      <c r="C24" s="101"/>
    </row>
    <row r="25" spans="1:17">
      <c r="A25" s="101"/>
      <c r="B25" s="101"/>
    </row>
    <row r="26" spans="1:17">
      <c r="A26" s="101"/>
      <c r="B26" s="101"/>
    </row>
    <row r="32" spans="1:17" ht="16.5" customHeight="1">
      <c r="A32" s="151" t="s">
        <v>271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07"/>
    </row>
    <row r="33" spans="1:17" ht="15" customHeight="1">
      <c r="A33" s="151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07"/>
    </row>
  </sheetData>
  <sheetProtection algorithmName="SHA-512" hashValue="Skc59wA01ro/55rwhOoZ3wAXqiMCWEmnLFNHt2j1sIAzJxnacUtc0Bj0rUZ2Q5D6YKKqsPhcZ4YR0C3TN+abxg==" saltValue="P00m8txtyoQnZ1HRQ+IuSw==" spinCount="100000" sheet="1" objects="1" scenarios="1"/>
  <sortState xmlns:xlrd2="http://schemas.microsoft.com/office/spreadsheetml/2017/richdata2"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M7"/>
  <sheetViews>
    <sheetView zoomScale="110" zoomScaleNormal="110" workbookViewId="0">
      <selection activeCell="H6" sqref="H6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  <c r="M1" s="101"/>
    </row>
    <row r="2" spans="1:13">
      <c r="A2" s="167" t="s">
        <v>233</v>
      </c>
      <c r="B2" s="168">
        <v>45331</v>
      </c>
      <c r="C2" s="168">
        <v>45338</v>
      </c>
      <c r="D2" s="168">
        <v>45345</v>
      </c>
      <c r="E2" s="168">
        <v>45352</v>
      </c>
      <c r="F2" s="168">
        <v>45359</v>
      </c>
      <c r="G2" s="168">
        <v>45366</v>
      </c>
      <c r="H2" s="168">
        <v>45373</v>
      </c>
      <c r="I2" s="168">
        <v>45379</v>
      </c>
      <c r="J2" s="99"/>
      <c r="K2" s="101"/>
      <c r="L2" s="101"/>
      <c r="M2" s="101"/>
    </row>
    <row r="3" spans="1:13">
      <c r="A3" s="167" t="s">
        <v>234</v>
      </c>
      <c r="B3" s="169">
        <f t="shared" ref="B3:I3" si="0">B4</f>
        <v>2722.5323614454855</v>
      </c>
      <c r="C3" s="169">
        <f t="shared" si="0"/>
        <v>2804.0140317422242</v>
      </c>
      <c r="D3" s="169">
        <f t="shared" si="0"/>
        <v>2818.0986093610441</v>
      </c>
      <c r="E3" s="169">
        <f t="shared" si="0"/>
        <v>2842.1269159614767</v>
      </c>
      <c r="F3" s="169">
        <f t="shared" si="0"/>
        <v>2889.6753426082664</v>
      </c>
      <c r="G3" s="169">
        <f t="shared" si="0"/>
        <v>2600.1201124317486</v>
      </c>
      <c r="H3" s="169">
        <f t="shared" si="0"/>
        <v>2726.590314934399</v>
      </c>
      <c r="I3" s="169">
        <f t="shared" si="0"/>
        <v>2644.8482103597744</v>
      </c>
      <c r="J3" s="99"/>
      <c r="K3" s="101"/>
      <c r="L3" s="101"/>
      <c r="M3" s="101"/>
    </row>
    <row r="4" spans="1:13">
      <c r="A4" s="99"/>
      <c r="B4" s="170">
        <f>'NAV Trend'!C10/1000000000</f>
        <v>2722.5323614454855</v>
      </c>
      <c r="C4" s="170">
        <f>'NAV Trend'!D10/1000000000</f>
        <v>2804.0140317422242</v>
      </c>
      <c r="D4" s="170">
        <f>'NAV Trend'!E10/1000000000</f>
        <v>2818.0986093610441</v>
      </c>
      <c r="E4" s="170">
        <f>'NAV Trend'!F10/1000000000</f>
        <v>2842.1269159614767</v>
      </c>
      <c r="F4" s="170">
        <f>'NAV Trend'!G10/1000000000</f>
        <v>2889.6753426082664</v>
      </c>
      <c r="G4" s="170">
        <f>'NAV Trend'!H10/1000000000</f>
        <v>2600.1201124317486</v>
      </c>
      <c r="H4" s="171">
        <f>'NAV Trend'!I10/1000000000</f>
        <v>2726.590314934399</v>
      </c>
      <c r="I4" s="171">
        <f>'NAV Trend'!J10/1000000000</f>
        <v>2644.8482103597744</v>
      </c>
      <c r="J4" s="99"/>
      <c r="K4" s="101"/>
      <c r="L4" s="101"/>
      <c r="M4" s="101"/>
    </row>
    <row r="5" spans="1:13">
      <c r="A5" s="99"/>
      <c r="B5" s="99"/>
      <c r="C5" s="99"/>
      <c r="D5" s="99"/>
      <c r="E5" s="99"/>
      <c r="F5" s="99"/>
      <c r="G5" s="99"/>
      <c r="H5" s="99"/>
      <c r="I5" s="99"/>
      <c r="J5" s="99"/>
      <c r="K5" s="101"/>
    </row>
    <row r="6" spans="1:1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3">
      <c r="A7" s="101"/>
      <c r="B7" s="101"/>
      <c r="C7" s="101"/>
      <c r="D7" s="101"/>
      <c r="E7" s="101"/>
      <c r="F7" s="101"/>
      <c r="G7" s="101"/>
      <c r="H7" s="101"/>
      <c r="I7" s="101"/>
      <c r="J7" s="101"/>
    </row>
  </sheetData>
  <sheetProtection algorithmName="SHA-512" hashValue="iVIH7O1KdS9DgnpekLRARBzzAgaUduqK4GmNDT3Y4tCYx2KeNbk+FOMXT2LXVuQrXHr8+VoaX/Ry6fX+SzTHUw==" saltValue="bhQARkUupT0yScRBaZKHP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A2AF0-A961-4E58-933E-1EE96F1E7D82}">
  <sheetPr>
    <tabColor rgb="FFFFFF00"/>
  </sheetPr>
  <dimension ref="A1:L5"/>
  <sheetViews>
    <sheetView workbookViewId="0">
      <selection activeCell="H6" sqref="H6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9"/>
      <c r="B1" s="99"/>
      <c r="C1" s="99"/>
      <c r="D1" s="99"/>
      <c r="E1" s="99"/>
      <c r="F1" s="99"/>
      <c r="G1" s="99"/>
      <c r="H1" s="99"/>
      <c r="I1" s="99"/>
      <c r="J1" s="101"/>
      <c r="K1" s="101"/>
      <c r="L1" s="101"/>
    </row>
    <row r="2" spans="1:12">
      <c r="A2" s="167" t="s">
        <v>233</v>
      </c>
      <c r="B2" s="168">
        <v>45331</v>
      </c>
      <c r="C2" s="168">
        <v>45338</v>
      </c>
      <c r="D2" s="168">
        <v>45345</v>
      </c>
      <c r="E2" s="168">
        <v>45352</v>
      </c>
      <c r="F2" s="168">
        <v>45359</v>
      </c>
      <c r="G2" s="168">
        <v>45366</v>
      </c>
      <c r="H2" s="168">
        <v>45373</v>
      </c>
      <c r="I2" s="168">
        <v>45379</v>
      </c>
      <c r="J2" s="101"/>
      <c r="K2" s="101"/>
      <c r="L2" s="101"/>
    </row>
    <row r="3" spans="1:12">
      <c r="A3" s="167" t="s">
        <v>267</v>
      </c>
      <c r="B3" s="169">
        <f t="shared" ref="B3:I3" si="0">B4</f>
        <v>13.28720353778923</v>
      </c>
      <c r="C3" s="169">
        <f t="shared" si="0"/>
        <v>14.091854833619999</v>
      </c>
      <c r="D3" s="169">
        <f t="shared" si="0"/>
        <v>13.721097407254545</v>
      </c>
      <c r="E3" s="169">
        <f t="shared" si="0"/>
        <v>13.410122858662769</v>
      </c>
      <c r="F3" s="169">
        <f t="shared" si="0"/>
        <v>13.60527981782986</v>
      </c>
      <c r="G3" s="169">
        <f t="shared" si="0"/>
        <v>13.749994436969999</v>
      </c>
      <c r="H3" s="169">
        <f t="shared" si="0"/>
        <v>13.611683369310001</v>
      </c>
      <c r="I3" s="169">
        <f t="shared" si="0"/>
        <v>13.637941626835818</v>
      </c>
      <c r="J3" s="101"/>
      <c r="K3" s="101"/>
      <c r="L3" s="101"/>
    </row>
    <row r="4" spans="1:12">
      <c r="A4" s="99"/>
      <c r="B4" s="170">
        <f>'NAV Trend'!C16/1000000000</f>
        <v>13.28720353778923</v>
      </c>
      <c r="C4" s="170">
        <f>'NAV Trend'!D16/1000000000</f>
        <v>14.091854833619999</v>
      </c>
      <c r="D4" s="170">
        <f>'NAV Trend'!E16/1000000000</f>
        <v>13.721097407254545</v>
      </c>
      <c r="E4" s="170">
        <f>'NAV Trend'!F16/1000000000</f>
        <v>13.410122858662769</v>
      </c>
      <c r="F4" s="170">
        <f>'NAV Trend'!G16/1000000000</f>
        <v>13.60527981782986</v>
      </c>
      <c r="G4" s="170">
        <f>'NAV Trend'!H16/1000000000</f>
        <v>13.749994436969999</v>
      </c>
      <c r="H4" s="170">
        <f>'NAV Trend'!I16/1000000000</f>
        <v>13.611683369310001</v>
      </c>
      <c r="I4" s="171">
        <f>'NAV Trend'!J16/1000000000</f>
        <v>13.637941626835818</v>
      </c>
      <c r="J4" s="101"/>
      <c r="K4" s="101"/>
      <c r="L4" s="101"/>
    </row>
    <row r="5" spans="1:12">
      <c r="A5" s="99"/>
      <c r="B5" s="99"/>
      <c r="C5" s="99"/>
      <c r="D5" s="99"/>
      <c r="E5" s="99"/>
      <c r="F5" s="99"/>
      <c r="G5" s="99"/>
      <c r="H5" s="99"/>
      <c r="I5" s="99"/>
    </row>
  </sheetData>
  <sheetProtection algorithmName="SHA-512" hashValue="vzfkuJv85mO+GTDSGLM/R+qvOaVEhsbCEEjawB6J9mHPltgDZZzWiyLChG6OafMpHvECSjQyBqnMyk9mXt6iDA==" saltValue="FDows+x14DpUcSSHsTruV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45324</v>
      </c>
      <c r="C1" s="45">
        <v>45331</v>
      </c>
      <c r="D1" s="45">
        <v>45338</v>
      </c>
      <c r="E1" s="45">
        <v>45345</v>
      </c>
      <c r="F1" s="45">
        <v>45352</v>
      </c>
      <c r="G1" s="45">
        <v>45359</v>
      </c>
      <c r="H1" s="45">
        <v>45366</v>
      </c>
      <c r="I1" s="45">
        <v>45373</v>
      </c>
      <c r="J1" s="45">
        <v>45379</v>
      </c>
    </row>
    <row r="2" spans="1:11" ht="16.5">
      <c r="A2" s="46" t="s">
        <v>15</v>
      </c>
      <c r="B2" s="47">
        <v>31133318704.695301</v>
      </c>
      <c r="C2" s="47">
        <v>29773154676.329697</v>
      </c>
      <c r="D2" s="47">
        <v>29579029239.597099</v>
      </c>
      <c r="E2" s="47">
        <v>28192321561.754601</v>
      </c>
      <c r="F2" s="47">
        <v>27345380292.449997</v>
      </c>
      <c r="G2" s="47">
        <v>27049856478.8204</v>
      </c>
      <c r="H2" s="47">
        <v>28276421739.200005</v>
      </c>
      <c r="I2" s="47">
        <v>28214914152.029099</v>
      </c>
      <c r="J2" s="47">
        <v>28499552255.214199</v>
      </c>
    </row>
    <row r="3" spans="1:11" ht="16.5">
      <c r="A3" s="46" t="s">
        <v>47</v>
      </c>
      <c r="B3" s="48">
        <v>962897181294.703</v>
      </c>
      <c r="C3" s="48">
        <v>965954238325.48999</v>
      </c>
      <c r="D3" s="48">
        <v>966685157443.69678</v>
      </c>
      <c r="E3" s="48">
        <v>949382861578.85535</v>
      </c>
      <c r="F3" s="48">
        <v>959419740927.82495</v>
      </c>
      <c r="G3" s="48">
        <v>920625552385.95117</v>
      </c>
      <c r="H3" s="48">
        <v>923190562024.35754</v>
      </c>
      <c r="I3" s="48">
        <v>920023842595.84558</v>
      </c>
      <c r="J3" s="48">
        <v>919496006574.40955</v>
      </c>
    </row>
    <row r="4" spans="1:11" ht="16.5">
      <c r="A4" s="46" t="s">
        <v>223</v>
      </c>
      <c r="B4" s="47">
        <v>285837472467.20758</v>
      </c>
      <c r="C4" s="47">
        <v>284109657368.59705</v>
      </c>
      <c r="D4" s="47">
        <v>283536298257.91882</v>
      </c>
      <c r="E4" s="47">
        <v>281780566180.14624</v>
      </c>
      <c r="F4" s="47">
        <v>282274672291.84991</v>
      </c>
      <c r="G4" s="47">
        <v>279125520198.89612</v>
      </c>
      <c r="H4" s="47">
        <v>278795170732.32147</v>
      </c>
      <c r="I4" s="47">
        <v>270220925639.65829</v>
      </c>
      <c r="J4" s="47">
        <v>271658696513.58481</v>
      </c>
    </row>
    <row r="5" spans="1:11" ht="16.5">
      <c r="A5" s="46" t="s">
        <v>128</v>
      </c>
      <c r="B5" s="48">
        <v>1213277971788.4419</v>
      </c>
      <c r="C5" s="48">
        <v>1237172786827.9678</v>
      </c>
      <c r="D5" s="48">
        <v>1318494922122.7168</v>
      </c>
      <c r="E5" s="48">
        <v>1354299215906.8804</v>
      </c>
      <c r="F5" s="48">
        <v>1370513862524.3679</v>
      </c>
      <c r="G5" s="48">
        <v>1459704501021.9133</v>
      </c>
      <c r="H5" s="48">
        <v>1165595130957.3054</v>
      </c>
      <c r="I5" s="48">
        <v>1304383952109.4192</v>
      </c>
      <c r="J5" s="48">
        <v>1220986424851.5159</v>
      </c>
    </row>
    <row r="6" spans="1:11" ht="16.5">
      <c r="A6" s="46" t="s">
        <v>224</v>
      </c>
      <c r="B6" s="47">
        <v>100225758223.61491</v>
      </c>
      <c r="C6" s="47">
        <v>99671501901.347351</v>
      </c>
      <c r="D6" s="47">
        <v>99704526748.85936</v>
      </c>
      <c r="E6" s="47">
        <v>99722351454.056747</v>
      </c>
      <c r="F6" s="47">
        <v>99747815398.121429</v>
      </c>
      <c r="G6" s="47">
        <v>99778864135.110001</v>
      </c>
      <c r="H6" s="47">
        <v>99792663694.00943</v>
      </c>
      <c r="I6" s="47">
        <v>99828191215.146545</v>
      </c>
      <c r="J6" s="47">
        <v>99892436477.227188</v>
      </c>
    </row>
    <row r="7" spans="1:11" ht="16.5">
      <c r="A7" s="46" t="s">
        <v>154</v>
      </c>
      <c r="B7" s="49">
        <v>51726288214.56089</v>
      </c>
      <c r="C7" s="49">
        <v>50580214127.421928</v>
      </c>
      <c r="D7" s="49">
        <v>50622521144.020866</v>
      </c>
      <c r="E7" s="49">
        <v>49943289569.649658</v>
      </c>
      <c r="F7" s="49">
        <v>48445217858.992096</v>
      </c>
      <c r="G7" s="49">
        <v>48553395375.67646</v>
      </c>
      <c r="H7" s="49">
        <v>50020197377.86998</v>
      </c>
      <c r="I7" s="49">
        <v>49695302922.37442</v>
      </c>
      <c r="J7" s="49">
        <v>49905453494.100525</v>
      </c>
    </row>
    <row r="8" spans="1:11" ht="16.5">
      <c r="A8" s="46" t="s">
        <v>178</v>
      </c>
      <c r="B8" s="47">
        <v>5492189675.5599995</v>
      </c>
      <c r="C8" s="47">
        <v>5371622450.7000008</v>
      </c>
      <c r="D8" s="47">
        <v>5382185314.8400002</v>
      </c>
      <c r="E8" s="47">
        <v>5257385484.9699993</v>
      </c>
      <c r="F8" s="47">
        <v>5112400375.6199999</v>
      </c>
      <c r="G8" s="47">
        <v>5090348734.1000004</v>
      </c>
      <c r="H8" s="47">
        <v>5200581697.7199993</v>
      </c>
      <c r="I8" s="47">
        <v>5194175729.4800005</v>
      </c>
      <c r="J8" s="47">
        <v>5216241473.6000004</v>
      </c>
    </row>
    <row r="9" spans="1:11" ht="16.5">
      <c r="A9" s="46" t="s">
        <v>225</v>
      </c>
      <c r="B9" s="47">
        <v>49968633652.242981</v>
      </c>
      <c r="C9" s="47">
        <v>49899185767.63131</v>
      </c>
      <c r="D9" s="47">
        <v>50009391470.574211</v>
      </c>
      <c r="E9" s="47">
        <v>49520617624.730827</v>
      </c>
      <c r="F9" s="47">
        <v>49267826292.249893</v>
      </c>
      <c r="G9" s="47">
        <v>49747304277.79908</v>
      </c>
      <c r="H9" s="47">
        <v>49249384208.9645</v>
      </c>
      <c r="I9" s="47">
        <v>49029010570.445801</v>
      </c>
      <c r="J9" s="47">
        <v>49193398720.121994</v>
      </c>
    </row>
    <row r="10" spans="1:11" ht="15.75">
      <c r="A10" s="50" t="s">
        <v>226</v>
      </c>
      <c r="B10" s="51">
        <f t="shared" ref="B10:J10" si="0">SUM(B2:B9)</f>
        <v>2700558814021.0269</v>
      </c>
      <c r="C10" s="51">
        <f t="shared" si="0"/>
        <v>2722532361445.4854</v>
      </c>
      <c r="D10" s="51">
        <f t="shared" si="0"/>
        <v>2804014031742.2241</v>
      </c>
      <c r="E10" s="51">
        <f t="shared" si="0"/>
        <v>2818098609361.0439</v>
      </c>
      <c r="F10" s="51">
        <f t="shared" si="0"/>
        <v>2842126915961.4766</v>
      </c>
      <c r="G10" s="51">
        <f t="shared" si="0"/>
        <v>2889675342608.2666</v>
      </c>
      <c r="H10" s="51">
        <f t="shared" si="0"/>
        <v>2600120112431.7485</v>
      </c>
      <c r="I10" s="51">
        <f t="shared" si="0"/>
        <v>2726590314934.3989</v>
      </c>
      <c r="J10" s="51">
        <f t="shared" si="0"/>
        <v>2644848210359.7744</v>
      </c>
    </row>
    <row r="11" spans="1:11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1" ht="15.75">
      <c r="A12" s="54" t="s">
        <v>227</v>
      </c>
      <c r="B12" s="55" t="s">
        <v>228</v>
      </c>
      <c r="C12" s="56">
        <f>(B10+C10)/2</f>
        <v>2711545587733.2559</v>
      </c>
      <c r="D12" s="57">
        <f t="shared" ref="D12:J12" si="1">(C10+D10)/2</f>
        <v>2763273196593.8545</v>
      </c>
      <c r="E12" s="57">
        <f t="shared" si="1"/>
        <v>2811056320551.6338</v>
      </c>
      <c r="F12" s="57">
        <f t="shared" si="1"/>
        <v>2830112762661.2603</v>
      </c>
      <c r="G12" s="57">
        <f>(F10+G10)/2</f>
        <v>2865901129284.8716</v>
      </c>
      <c r="H12" s="57">
        <f t="shared" si="1"/>
        <v>2744897727520.0078</v>
      </c>
      <c r="I12" s="57">
        <f t="shared" si="1"/>
        <v>2663355213683.0737</v>
      </c>
      <c r="J12" s="57">
        <f t="shared" si="1"/>
        <v>2685719262647.0869</v>
      </c>
    </row>
    <row r="13" spans="1:11"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 ht="16.5">
      <c r="A15" s="101"/>
      <c r="B15" s="45">
        <v>45324</v>
      </c>
      <c r="C15" s="45">
        <v>45331</v>
      </c>
      <c r="D15" s="45">
        <v>45338</v>
      </c>
      <c r="E15" s="45">
        <v>45345</v>
      </c>
      <c r="F15" s="45">
        <v>45352</v>
      </c>
      <c r="G15" s="45">
        <v>45359</v>
      </c>
      <c r="H15" s="45">
        <v>45366</v>
      </c>
      <c r="I15" s="45">
        <v>45373</v>
      </c>
      <c r="J15" s="45">
        <v>45379</v>
      </c>
      <c r="K15" s="101"/>
    </row>
    <row r="16" spans="1:11" ht="16.5">
      <c r="A16" s="131" t="s">
        <v>266</v>
      </c>
      <c r="B16" s="134">
        <v>14018009281.411669</v>
      </c>
      <c r="C16" s="134">
        <v>13287203537.78923</v>
      </c>
      <c r="D16" s="134">
        <v>14091854833.619999</v>
      </c>
      <c r="E16" s="134">
        <v>13721097407.254545</v>
      </c>
      <c r="F16" s="134">
        <v>13410122858.662769</v>
      </c>
      <c r="G16" s="134">
        <v>13605279817.829861</v>
      </c>
      <c r="H16" s="134">
        <v>13749994436.969999</v>
      </c>
      <c r="I16" s="134">
        <v>13611683369.310001</v>
      </c>
      <c r="J16" s="134">
        <v>13637941626.835819</v>
      </c>
      <c r="K16" s="101"/>
    </row>
    <row r="17" spans="1:11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</row>
    <row r="18" spans="1:11">
      <c r="A18" s="101"/>
      <c r="B18" s="101"/>
      <c r="C18" s="133"/>
      <c r="D18" s="133"/>
      <c r="E18" s="133"/>
      <c r="F18" s="133"/>
      <c r="G18" s="133"/>
      <c r="H18" s="133"/>
      <c r="I18" s="133"/>
      <c r="J18" s="133"/>
      <c r="K18" s="101"/>
    </row>
    <row r="19" spans="1:11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</row>
    <row r="20" spans="1:11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>
      <c r="B22" s="101"/>
      <c r="C22" s="101"/>
      <c r="D22" s="101"/>
      <c r="E22" s="101"/>
      <c r="F22" s="101"/>
      <c r="G22" s="101"/>
      <c r="H22" s="101"/>
      <c r="I22" s="101"/>
      <c r="J22" s="101"/>
      <c r="K22" s="99"/>
    </row>
  </sheetData>
  <sheetProtection algorithmName="SHA-512" hashValue="W5iGs+bBzsOURDtXNN6F3frG9y1FbO6SL3r+I4NgiMBQnFIjl/i4ymykuHHQCDYxCk0dVPR2QK8LX1Jd2kenAg==" saltValue="sZgPq1GiQ6PUV6sGRVVeGg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I10:J10 G10:H10 B10: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2024-04-04T10:18:36Z</dcterms:modified>
</cp:coreProperties>
</file>