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3D19DF57-0BE4-41C5-BD0E-01BA955379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5" l="1"/>
  <c r="J16" i="4"/>
  <c r="C6" i="2"/>
  <c r="K103" i="1"/>
  <c r="L172" i="1"/>
  <c r="L173" i="1"/>
  <c r="L174" i="1"/>
  <c r="L175" i="1"/>
  <c r="L176" i="1"/>
  <c r="L177" i="1"/>
  <c r="L178" i="1"/>
  <c r="L179" i="1"/>
  <c r="L180" i="1"/>
  <c r="L181" i="1"/>
  <c r="C10" i="2"/>
  <c r="C9" i="2"/>
  <c r="C8" i="2"/>
  <c r="C7" i="2"/>
  <c r="C5" i="2"/>
  <c r="C4" i="2"/>
  <c r="C3" i="2"/>
  <c r="H3" i="5"/>
  <c r="G3" i="5"/>
  <c r="F3" i="5"/>
  <c r="E3" i="5"/>
  <c r="D3" i="5"/>
  <c r="C3" i="5"/>
  <c r="B3" i="5"/>
  <c r="I16" i="4"/>
  <c r="H16" i="4"/>
  <c r="G16" i="4"/>
  <c r="F16" i="4"/>
  <c r="E16" i="4"/>
  <c r="D16" i="4"/>
  <c r="C16" i="4"/>
  <c r="R173" i="1"/>
  <c r="N98" i="1"/>
  <c r="M98" i="1"/>
  <c r="K98" i="1"/>
  <c r="B10" i="2" l="1"/>
  <c r="B9" i="2"/>
  <c r="B8" i="2"/>
  <c r="B7" i="2"/>
  <c r="B6" i="2"/>
  <c r="B5" i="2"/>
  <c r="B4" i="2"/>
  <c r="B3" i="2"/>
  <c r="R134" i="1" l="1"/>
  <c r="N103" i="1"/>
  <c r="M103" i="1"/>
  <c r="N113" i="1"/>
  <c r="M113" i="1"/>
  <c r="M119" i="1" l="1"/>
  <c r="N119" i="1"/>
  <c r="K114" i="1" l="1"/>
  <c r="N114" i="1"/>
  <c r="M114" i="1"/>
  <c r="N104" i="1"/>
  <c r="M104" i="1"/>
  <c r="K104" i="1"/>
  <c r="N97" i="1"/>
  <c r="M97" i="1"/>
  <c r="K97" i="1"/>
  <c r="N105" i="1"/>
  <c r="M105" i="1"/>
  <c r="K105" i="1"/>
  <c r="G95" i="1"/>
  <c r="F95" i="1"/>
  <c r="N95" i="1"/>
  <c r="M95" i="1"/>
  <c r="N96" i="1"/>
  <c r="M96" i="1"/>
  <c r="K96" i="1"/>
  <c r="N102" i="1"/>
  <c r="M102" i="1"/>
  <c r="K102" i="1"/>
  <c r="N110" i="1"/>
  <c r="M110" i="1"/>
  <c r="K110" i="1"/>
  <c r="N116" i="1"/>
  <c r="M116" i="1"/>
  <c r="N115" i="1" l="1"/>
  <c r="M115" i="1"/>
  <c r="G119" i="1" l="1"/>
  <c r="F119" i="1"/>
  <c r="G116" i="1"/>
  <c r="F116" i="1"/>
  <c r="G115" i="1"/>
  <c r="F115" i="1"/>
  <c r="G114" i="1"/>
  <c r="F114" i="1"/>
  <c r="G113" i="1"/>
  <c r="F113" i="1"/>
  <c r="G110" i="1"/>
  <c r="F110" i="1"/>
  <c r="D114" i="1"/>
  <c r="D110" i="1"/>
  <c r="G105" i="1"/>
  <c r="F105" i="1"/>
  <c r="G104" i="1"/>
  <c r="F104" i="1"/>
  <c r="G103" i="1"/>
  <c r="F103" i="1"/>
  <c r="G102" i="1"/>
  <c r="F102" i="1"/>
  <c r="G98" i="1"/>
  <c r="F98" i="1"/>
  <c r="G97" i="1"/>
  <c r="F97" i="1"/>
  <c r="G96" i="1"/>
  <c r="F96" i="1"/>
  <c r="D105" i="1"/>
  <c r="D104" i="1"/>
  <c r="D103" i="1"/>
  <c r="D102" i="1"/>
  <c r="D98" i="1"/>
  <c r="D97" i="1"/>
  <c r="D96" i="1"/>
  <c r="R114" i="1" l="1"/>
  <c r="S114" i="1"/>
  <c r="T114" i="1"/>
  <c r="U114" i="1"/>
  <c r="V114" i="1"/>
  <c r="R76" i="1"/>
  <c r="S76" i="1"/>
  <c r="T76" i="1"/>
  <c r="U76" i="1"/>
  <c r="V76" i="1"/>
  <c r="V187" i="1" l="1"/>
  <c r="T150" i="1"/>
  <c r="S150" i="1"/>
  <c r="R117" i="1" l="1"/>
  <c r="V146" i="1" l="1"/>
  <c r="T138" i="1" l="1"/>
  <c r="R132" i="1"/>
  <c r="S132" i="1"/>
  <c r="T132" i="1"/>
  <c r="U132" i="1"/>
  <c r="V132" i="1"/>
  <c r="R152" i="1"/>
  <c r="S152" i="1"/>
  <c r="T152" i="1"/>
  <c r="U152" i="1"/>
  <c r="V152" i="1"/>
  <c r="R113" i="1" l="1"/>
  <c r="S113" i="1"/>
  <c r="S174" i="1" l="1"/>
  <c r="V113" i="1"/>
  <c r="U113" i="1"/>
  <c r="T113" i="1"/>
  <c r="R193" i="1" l="1"/>
  <c r="R194" i="1"/>
  <c r="R65" i="1" l="1"/>
  <c r="V73" i="1" l="1"/>
  <c r="U73" i="1"/>
  <c r="T73" i="1"/>
  <c r="S73" i="1"/>
  <c r="R73" i="1"/>
  <c r="V79" i="1" l="1"/>
  <c r="U79" i="1"/>
  <c r="T79" i="1"/>
  <c r="S79" i="1"/>
  <c r="R79" i="1"/>
  <c r="I10" i="4" l="1"/>
  <c r="H10" i="4"/>
  <c r="G10" i="4"/>
  <c r="F10" i="4"/>
  <c r="E10" i="4"/>
  <c r="D10" i="4"/>
  <c r="C10" i="4"/>
  <c r="B10" i="4"/>
  <c r="V175" i="1" l="1"/>
  <c r="U175" i="1"/>
  <c r="T175" i="1"/>
  <c r="S175" i="1"/>
  <c r="R175" i="1"/>
  <c r="T32" i="1" l="1"/>
  <c r="S21" i="1" l="1"/>
  <c r="T21" i="1"/>
  <c r="V97" i="1" l="1"/>
  <c r="R97" i="1"/>
  <c r="S97" i="1"/>
  <c r="T97" i="1"/>
  <c r="U97" i="1"/>
  <c r="R12" i="1" l="1"/>
  <c r="R48" i="1" l="1"/>
  <c r="V48" i="1"/>
  <c r="U48" i="1"/>
  <c r="T48" i="1"/>
  <c r="S48" i="1"/>
  <c r="V98" i="1" l="1"/>
  <c r="U98" i="1"/>
  <c r="T98" i="1"/>
  <c r="S98" i="1"/>
  <c r="R98" i="1"/>
  <c r="V124" i="1" l="1"/>
  <c r="U124" i="1"/>
  <c r="T124" i="1"/>
  <c r="S124" i="1"/>
  <c r="R124" i="1"/>
  <c r="R70" i="1" l="1"/>
  <c r="V180" i="1" l="1"/>
  <c r="U180" i="1"/>
  <c r="T180" i="1"/>
  <c r="S180" i="1"/>
  <c r="R180" i="1"/>
  <c r="S168" i="1" l="1"/>
  <c r="D163" i="1" l="1"/>
  <c r="D120" i="1"/>
  <c r="E110" i="1" l="1"/>
  <c r="E114" i="1"/>
  <c r="E98" i="1"/>
  <c r="E113" i="1"/>
  <c r="R89" i="1"/>
  <c r="S89" i="1"/>
  <c r="T89" i="1"/>
  <c r="U89" i="1"/>
  <c r="V89" i="1"/>
  <c r="D203" i="1"/>
  <c r="D182" i="1"/>
  <c r="D128" i="1"/>
  <c r="E124" i="1" s="1"/>
  <c r="D55" i="1"/>
  <c r="E172" i="1" l="1"/>
  <c r="E173" i="1"/>
  <c r="E174" i="1"/>
  <c r="E175" i="1"/>
  <c r="E176" i="1"/>
  <c r="E177" i="1"/>
  <c r="E178" i="1"/>
  <c r="E179" i="1"/>
  <c r="E180" i="1"/>
  <c r="E181" i="1"/>
  <c r="R161" i="1"/>
  <c r="R81" i="1" l="1"/>
  <c r="S81" i="1"/>
  <c r="T81" i="1"/>
  <c r="V81" i="1"/>
  <c r="U81" i="1"/>
  <c r="D22" i="1" l="1"/>
  <c r="R111" i="1" l="1"/>
  <c r="R19" i="1" l="1"/>
  <c r="R192" i="1" l="1"/>
  <c r="S192" i="1"/>
  <c r="T192" i="1"/>
  <c r="U192" i="1"/>
  <c r="V192" i="1"/>
  <c r="S193" i="1"/>
  <c r="T193" i="1"/>
  <c r="U193" i="1"/>
  <c r="V193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R197" i="1"/>
  <c r="S197" i="1"/>
  <c r="T197" i="1"/>
  <c r="U197" i="1"/>
  <c r="V197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R201" i="1"/>
  <c r="S201" i="1"/>
  <c r="T201" i="1"/>
  <c r="U201" i="1"/>
  <c r="V201" i="1"/>
  <c r="R202" i="1"/>
  <c r="S202" i="1"/>
  <c r="T202" i="1"/>
  <c r="U202" i="1"/>
  <c r="V202" i="1"/>
  <c r="S203" i="1"/>
  <c r="U203" i="1"/>
  <c r="V203" i="1"/>
  <c r="V191" i="1"/>
  <c r="U191" i="1"/>
  <c r="T191" i="1"/>
  <c r="S191" i="1"/>
  <c r="R191" i="1"/>
  <c r="U187" i="1"/>
  <c r="T187" i="1"/>
  <c r="S187" i="1"/>
  <c r="R187" i="1"/>
  <c r="V186" i="1"/>
  <c r="U186" i="1"/>
  <c r="T186" i="1"/>
  <c r="S186" i="1"/>
  <c r="R186" i="1"/>
  <c r="R172" i="1"/>
  <c r="S172" i="1"/>
  <c r="T172" i="1"/>
  <c r="U172" i="1"/>
  <c r="V172" i="1"/>
  <c r="S173" i="1"/>
  <c r="T173" i="1"/>
  <c r="U173" i="1"/>
  <c r="V173" i="1"/>
  <c r="R174" i="1"/>
  <c r="T174" i="1"/>
  <c r="U174" i="1"/>
  <c r="V174" i="1"/>
  <c r="R176" i="1"/>
  <c r="S176" i="1"/>
  <c r="T176" i="1"/>
  <c r="U176" i="1"/>
  <c r="V176" i="1"/>
  <c r="R177" i="1"/>
  <c r="S177" i="1"/>
  <c r="T177" i="1"/>
  <c r="U177" i="1"/>
  <c r="V177" i="1"/>
  <c r="R178" i="1"/>
  <c r="S178" i="1"/>
  <c r="T178" i="1"/>
  <c r="U178" i="1"/>
  <c r="V178" i="1"/>
  <c r="R179" i="1"/>
  <c r="S179" i="1"/>
  <c r="T179" i="1"/>
  <c r="U179" i="1"/>
  <c r="V179" i="1"/>
  <c r="R181" i="1"/>
  <c r="S181" i="1"/>
  <c r="T181" i="1"/>
  <c r="U181" i="1"/>
  <c r="V181" i="1"/>
  <c r="S182" i="1"/>
  <c r="U182" i="1"/>
  <c r="V182" i="1"/>
  <c r="V171" i="1"/>
  <c r="U171" i="1"/>
  <c r="T171" i="1"/>
  <c r="S171" i="1"/>
  <c r="R171" i="1"/>
  <c r="V168" i="1"/>
  <c r="U168" i="1"/>
  <c r="T168" i="1"/>
  <c r="R168" i="1"/>
  <c r="V167" i="1"/>
  <c r="U167" i="1"/>
  <c r="T167" i="1"/>
  <c r="S167" i="1"/>
  <c r="R167" i="1"/>
  <c r="S161" i="1"/>
  <c r="T161" i="1"/>
  <c r="U161" i="1"/>
  <c r="V161" i="1"/>
  <c r="R162" i="1"/>
  <c r="S162" i="1"/>
  <c r="T162" i="1"/>
  <c r="U162" i="1"/>
  <c r="V162" i="1"/>
  <c r="S163" i="1"/>
  <c r="U163" i="1"/>
  <c r="V163" i="1"/>
  <c r="V160" i="1"/>
  <c r="U160" i="1"/>
  <c r="T160" i="1"/>
  <c r="S160" i="1"/>
  <c r="R160" i="1"/>
  <c r="R133" i="1"/>
  <c r="S133" i="1"/>
  <c r="T133" i="1"/>
  <c r="U133" i="1"/>
  <c r="V133" i="1"/>
  <c r="S134" i="1"/>
  <c r="T134" i="1"/>
  <c r="U134" i="1"/>
  <c r="V134" i="1"/>
  <c r="R135" i="1"/>
  <c r="S135" i="1"/>
  <c r="T135" i="1"/>
  <c r="U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T146" i="1"/>
  <c r="U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R150" i="1"/>
  <c r="U150" i="1"/>
  <c r="V150" i="1"/>
  <c r="R151" i="1"/>
  <c r="S151" i="1"/>
  <c r="T151" i="1"/>
  <c r="U151" i="1"/>
  <c r="V151" i="1"/>
  <c r="R153" i="1"/>
  <c r="S153" i="1"/>
  <c r="T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S157" i="1"/>
  <c r="U157" i="1"/>
  <c r="V157" i="1"/>
  <c r="V131" i="1"/>
  <c r="U131" i="1"/>
  <c r="T131" i="1"/>
  <c r="S131" i="1"/>
  <c r="R131" i="1"/>
  <c r="R125" i="1"/>
  <c r="S125" i="1"/>
  <c r="T125" i="1"/>
  <c r="U125" i="1"/>
  <c r="V125" i="1"/>
  <c r="R126" i="1"/>
  <c r="S126" i="1"/>
  <c r="T126" i="1"/>
  <c r="U126" i="1"/>
  <c r="V126" i="1"/>
  <c r="R127" i="1"/>
  <c r="S127" i="1"/>
  <c r="T127" i="1"/>
  <c r="U127" i="1"/>
  <c r="V127" i="1"/>
  <c r="S128" i="1"/>
  <c r="U128" i="1"/>
  <c r="V128" i="1"/>
  <c r="V123" i="1"/>
  <c r="U123" i="1"/>
  <c r="T123" i="1"/>
  <c r="S123" i="1"/>
  <c r="R123" i="1"/>
  <c r="R110" i="1"/>
  <c r="S110" i="1"/>
  <c r="T110" i="1"/>
  <c r="U110" i="1"/>
  <c r="V110" i="1"/>
  <c r="S111" i="1"/>
  <c r="T111" i="1"/>
  <c r="U111" i="1"/>
  <c r="V111" i="1"/>
  <c r="R112" i="1"/>
  <c r="S112" i="1"/>
  <c r="T112" i="1"/>
  <c r="U112" i="1"/>
  <c r="V112" i="1"/>
  <c r="R115" i="1"/>
  <c r="S115" i="1"/>
  <c r="T115" i="1"/>
  <c r="U115" i="1"/>
  <c r="V115" i="1"/>
  <c r="R116" i="1"/>
  <c r="S116" i="1"/>
  <c r="T116" i="1"/>
  <c r="U116" i="1"/>
  <c r="V116" i="1"/>
  <c r="S117" i="1"/>
  <c r="T117" i="1"/>
  <c r="U117" i="1"/>
  <c r="V117" i="1"/>
  <c r="R118" i="1"/>
  <c r="S118" i="1"/>
  <c r="T118" i="1"/>
  <c r="U118" i="1"/>
  <c r="V118" i="1"/>
  <c r="R119" i="1"/>
  <c r="S119" i="1"/>
  <c r="T119" i="1"/>
  <c r="U119" i="1"/>
  <c r="V119" i="1"/>
  <c r="S120" i="1"/>
  <c r="U120" i="1"/>
  <c r="V120" i="1"/>
  <c r="V109" i="1"/>
  <c r="U109" i="1"/>
  <c r="T109" i="1"/>
  <c r="S109" i="1"/>
  <c r="R109" i="1"/>
  <c r="R96" i="1"/>
  <c r="S96" i="1"/>
  <c r="T96" i="1"/>
  <c r="U96" i="1"/>
  <c r="V96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R106" i="1"/>
  <c r="S106" i="1"/>
  <c r="T106" i="1"/>
  <c r="U106" i="1"/>
  <c r="V106" i="1"/>
  <c r="V95" i="1"/>
  <c r="U95" i="1"/>
  <c r="T95" i="1"/>
  <c r="S95" i="1"/>
  <c r="R95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R63" i="1"/>
  <c r="S63" i="1"/>
  <c r="T63" i="1"/>
  <c r="U63" i="1"/>
  <c r="R64" i="1"/>
  <c r="S64" i="1"/>
  <c r="T64" i="1"/>
  <c r="U64" i="1"/>
  <c r="V64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4" i="1"/>
  <c r="S74" i="1"/>
  <c r="T74" i="1"/>
  <c r="U74" i="1"/>
  <c r="V74" i="1"/>
  <c r="R75" i="1"/>
  <c r="S75" i="1"/>
  <c r="T75" i="1"/>
  <c r="U75" i="1"/>
  <c r="V75" i="1"/>
  <c r="R77" i="1"/>
  <c r="S77" i="1"/>
  <c r="T77" i="1"/>
  <c r="U77" i="1"/>
  <c r="V77" i="1"/>
  <c r="R78" i="1"/>
  <c r="S78" i="1"/>
  <c r="T78" i="1"/>
  <c r="U78" i="1"/>
  <c r="V78" i="1"/>
  <c r="R80" i="1"/>
  <c r="S80" i="1"/>
  <c r="T80" i="1"/>
  <c r="U80" i="1"/>
  <c r="V80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8" i="1"/>
  <c r="S88" i="1"/>
  <c r="T88" i="1"/>
  <c r="U88" i="1"/>
  <c r="V88" i="1"/>
  <c r="R90" i="1"/>
  <c r="S90" i="1"/>
  <c r="T90" i="1"/>
  <c r="U90" i="1"/>
  <c r="V90" i="1"/>
  <c r="S91" i="1"/>
  <c r="U91" i="1"/>
  <c r="V91" i="1"/>
  <c r="V58" i="1"/>
  <c r="U58" i="1"/>
  <c r="T58" i="1"/>
  <c r="S58" i="1"/>
  <c r="R58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55" i="1"/>
  <c r="U55" i="1"/>
  <c r="V55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3" i="1" l="1"/>
  <c r="V135" i="1"/>
  <c r="O182" i="1" l="1"/>
  <c r="O203" i="1"/>
  <c r="K203" i="1"/>
  <c r="H203" i="1"/>
  <c r="K188" i="1"/>
  <c r="H188" i="1"/>
  <c r="D188" i="1"/>
  <c r="H182" i="1"/>
  <c r="K182" i="1"/>
  <c r="H163" i="1"/>
  <c r="O163" i="1"/>
  <c r="K163" i="1"/>
  <c r="O157" i="1"/>
  <c r="K157" i="1"/>
  <c r="H157" i="1"/>
  <c r="D157" i="1"/>
  <c r="O128" i="1"/>
  <c r="K128" i="1"/>
  <c r="L124" i="1" s="1"/>
  <c r="H128" i="1"/>
  <c r="T128" i="1" s="1"/>
  <c r="H120" i="1"/>
  <c r="O120" i="1"/>
  <c r="K120" i="1"/>
  <c r="O91" i="1"/>
  <c r="K91" i="1"/>
  <c r="L76" i="1" s="1"/>
  <c r="H91" i="1"/>
  <c r="D91" i="1"/>
  <c r="O55" i="1"/>
  <c r="K55" i="1"/>
  <c r="H55" i="1"/>
  <c r="O22" i="1"/>
  <c r="H22" i="1"/>
  <c r="L113" i="1" l="1"/>
  <c r="L114" i="1"/>
  <c r="E73" i="1"/>
  <c r="E76" i="1"/>
  <c r="E151" i="1"/>
  <c r="E152" i="1"/>
  <c r="L83" i="1"/>
  <c r="L90" i="1"/>
  <c r="L73" i="1"/>
  <c r="L132" i="1"/>
  <c r="L152" i="1"/>
  <c r="E132" i="1"/>
  <c r="L98" i="1"/>
  <c r="L111" i="1"/>
  <c r="L171" i="1"/>
  <c r="E79" i="1"/>
  <c r="L79" i="1"/>
  <c r="L52" i="1"/>
  <c r="L35" i="1"/>
  <c r="L201" i="1"/>
  <c r="L202" i="1"/>
  <c r="E48" i="1"/>
  <c r="L47" i="1"/>
  <c r="L49" i="1"/>
  <c r="L48" i="1"/>
  <c r="L50" i="1"/>
  <c r="L95" i="1"/>
  <c r="L109" i="1"/>
  <c r="L147" i="1"/>
  <c r="L153" i="1"/>
  <c r="L84" i="1"/>
  <c r="L61" i="1"/>
  <c r="L151" i="1"/>
  <c r="L97" i="1"/>
  <c r="L25" i="1"/>
  <c r="L38" i="1"/>
  <c r="T182" i="1"/>
  <c r="L88" i="1"/>
  <c r="L89" i="1"/>
  <c r="E81" i="1"/>
  <c r="E89" i="1"/>
  <c r="T203" i="1"/>
  <c r="L81" i="1"/>
  <c r="T55" i="1"/>
  <c r="T163" i="1"/>
  <c r="R163" i="1"/>
  <c r="T91" i="1"/>
  <c r="T157" i="1"/>
  <c r="T22" i="1"/>
  <c r="R128" i="1"/>
  <c r="R203" i="1"/>
  <c r="T120" i="1"/>
  <c r="O183" i="1"/>
  <c r="O204" i="1" s="1"/>
  <c r="R157" i="1"/>
  <c r="L146" i="1"/>
  <c r="R120" i="1"/>
  <c r="R91" i="1"/>
  <c r="L60" i="1"/>
  <c r="L62" i="1"/>
  <c r="L64" i="1"/>
  <c r="L66" i="1"/>
  <c r="L68" i="1"/>
  <c r="L70" i="1"/>
  <c r="L72" i="1"/>
  <c r="L75" i="1"/>
  <c r="L78" i="1"/>
  <c r="L82" i="1"/>
  <c r="L86" i="1"/>
  <c r="L59" i="1"/>
  <c r="L63" i="1"/>
  <c r="L65" i="1"/>
  <c r="L67" i="1"/>
  <c r="L69" i="1"/>
  <c r="L71" i="1"/>
  <c r="L74" i="1"/>
  <c r="L77" i="1"/>
  <c r="L80" i="1"/>
  <c r="L85" i="1"/>
  <c r="L87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R182" i="1"/>
  <c r="H183" i="1"/>
  <c r="H204" i="1" s="1"/>
  <c r="J10" i="4"/>
  <c r="J12" i="4" s="1"/>
  <c r="I12" i="4"/>
  <c r="H12" i="4"/>
  <c r="G12" i="4"/>
  <c r="F12" i="4"/>
  <c r="E12" i="4"/>
  <c r="C12" i="4"/>
  <c r="E199" i="1"/>
  <c r="L200" i="1"/>
  <c r="L199" i="1"/>
  <c r="L197" i="1"/>
  <c r="L196" i="1"/>
  <c r="L195" i="1"/>
  <c r="L193" i="1"/>
  <c r="L192" i="1"/>
  <c r="L191" i="1"/>
  <c r="V188" i="1"/>
  <c r="U188" i="1"/>
  <c r="L186" i="1"/>
  <c r="E186" i="1"/>
  <c r="L168" i="1"/>
  <c r="L160" i="1"/>
  <c r="E162" i="1"/>
  <c r="E156" i="1"/>
  <c r="E153" i="1"/>
  <c r="L145" i="1"/>
  <c r="L143" i="1"/>
  <c r="L140" i="1"/>
  <c r="L137" i="1"/>
  <c r="L135" i="1"/>
  <c r="L131" i="1"/>
  <c r="L126" i="1"/>
  <c r="E127" i="1"/>
  <c r="L127" i="1"/>
  <c r="E88" i="1"/>
  <c r="E87" i="1"/>
  <c r="E85" i="1"/>
  <c r="E83" i="1"/>
  <c r="E80" i="1"/>
  <c r="E77" i="1"/>
  <c r="E74" i="1"/>
  <c r="E71" i="1"/>
  <c r="E69" i="1"/>
  <c r="E67" i="1"/>
  <c r="E65" i="1"/>
  <c r="E63" i="1"/>
  <c r="E61" i="1"/>
  <c r="E59" i="1"/>
  <c r="L51" i="1"/>
  <c r="R55" i="1"/>
  <c r="L32" i="1"/>
  <c r="K22" i="1"/>
  <c r="E14" i="1"/>
  <c r="S6" i="1"/>
  <c r="R6" i="1"/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E8" i="1"/>
  <c r="E6" i="1"/>
  <c r="E10" i="1"/>
  <c r="E9" i="1"/>
  <c r="E19" i="1"/>
  <c r="R22" i="1"/>
  <c r="L6" i="1"/>
  <c r="L40" i="1"/>
  <c r="L123" i="1"/>
  <c r="L133" i="1"/>
  <c r="L136" i="1"/>
  <c r="L139" i="1"/>
  <c r="L141" i="1"/>
  <c r="L144" i="1"/>
  <c r="L148" i="1"/>
  <c r="E18" i="1"/>
  <c r="L58" i="1"/>
  <c r="E62" i="1"/>
  <c r="E123" i="1"/>
  <c r="E131" i="1"/>
  <c r="E133" i="1"/>
  <c r="E134" i="1"/>
  <c r="E139" i="1"/>
  <c r="E140" i="1"/>
  <c r="E141" i="1"/>
  <c r="E142" i="1"/>
  <c r="E147" i="1"/>
  <c r="E150" i="1"/>
  <c r="E155" i="1"/>
  <c r="E11" i="1"/>
  <c r="E13" i="1"/>
  <c r="E16" i="1"/>
  <c r="E20" i="1"/>
  <c r="L29" i="1"/>
  <c r="L37" i="1"/>
  <c r="L43" i="1"/>
  <c r="K183" i="1"/>
  <c r="L125" i="1"/>
  <c r="E135" i="1"/>
  <c r="E136" i="1"/>
  <c r="E137" i="1"/>
  <c r="E138" i="1"/>
  <c r="E143" i="1"/>
  <c r="E144" i="1"/>
  <c r="E145" i="1"/>
  <c r="E146" i="1"/>
  <c r="E148" i="1"/>
  <c r="E149" i="1"/>
  <c r="E154" i="1"/>
  <c r="L167" i="1"/>
  <c r="L102" i="1"/>
  <c r="L101" i="1"/>
  <c r="L33" i="1"/>
  <c r="L44" i="1"/>
  <c r="L53" i="1"/>
  <c r="E126" i="1"/>
  <c r="L150" i="1"/>
  <c r="L155" i="1"/>
  <c r="L162" i="1"/>
  <c r="E194" i="1"/>
  <c r="E198" i="1"/>
  <c r="E202" i="1"/>
  <c r="D12" i="4"/>
  <c r="E96" i="1"/>
  <c r="L36" i="1"/>
  <c r="L39" i="1"/>
  <c r="L30" i="1"/>
  <c r="L41" i="1"/>
  <c r="L134" i="1"/>
  <c r="L138" i="1"/>
  <c r="L142" i="1"/>
  <c r="E161" i="1"/>
  <c r="E171" i="1"/>
  <c r="E187" i="1"/>
  <c r="L194" i="1"/>
  <c r="L198" i="1"/>
  <c r="L28" i="1"/>
  <c r="E7" i="1"/>
  <c r="E17" i="1"/>
  <c r="E21" i="1"/>
  <c r="L27" i="1"/>
  <c r="L46" i="1"/>
  <c r="E58" i="1"/>
  <c r="E66" i="1"/>
  <c r="E70" i="1"/>
  <c r="E75" i="1"/>
  <c r="E82" i="1"/>
  <c r="E86" i="1"/>
  <c r="E90" i="1"/>
  <c r="E125" i="1"/>
  <c r="L149" i="1"/>
  <c r="L154" i="1"/>
  <c r="L161" i="1"/>
  <c r="L187" i="1"/>
  <c r="R188" i="1"/>
  <c r="E193" i="1"/>
  <c r="E197" i="1"/>
  <c r="E201" i="1"/>
  <c r="E160" i="1"/>
  <c r="E168" i="1"/>
  <c r="E192" i="1"/>
  <c r="E196" i="1"/>
  <c r="E200" i="1"/>
  <c r="L45" i="1"/>
  <c r="L54" i="1"/>
  <c r="L26" i="1"/>
  <c r="L34" i="1"/>
  <c r="E167" i="1"/>
  <c r="E12" i="1"/>
  <c r="E15" i="1"/>
  <c r="L31" i="1"/>
  <c r="L42" i="1"/>
  <c r="E60" i="1"/>
  <c r="E64" i="1"/>
  <c r="E68" i="1"/>
  <c r="E72" i="1"/>
  <c r="E78" i="1"/>
  <c r="E84" i="1"/>
  <c r="L156" i="1"/>
  <c r="E191" i="1"/>
  <c r="E195" i="1"/>
  <c r="L112" i="1" l="1"/>
  <c r="L96" i="1"/>
  <c r="L99" i="1"/>
  <c r="L105" i="1"/>
  <c r="L116" i="1"/>
  <c r="L100" i="1"/>
  <c r="K204" i="1"/>
  <c r="L22" i="1"/>
  <c r="L157" i="1"/>
  <c r="L55" i="1"/>
  <c r="L128" i="1"/>
  <c r="L91" i="1"/>
  <c r="L120" i="1"/>
  <c r="L182" i="1"/>
  <c r="L163" i="1"/>
  <c r="L104" i="1"/>
  <c r="L103" i="1"/>
  <c r="L119" i="1"/>
  <c r="L115" i="1"/>
  <c r="L117" i="1"/>
  <c r="L106" i="1"/>
  <c r="L118" i="1"/>
  <c r="L110" i="1"/>
  <c r="E118" i="1"/>
  <c r="E115" i="1"/>
  <c r="E106" i="1"/>
  <c r="E103" i="1"/>
  <c r="E100" i="1"/>
  <c r="E105" i="1"/>
  <c r="E101" i="1"/>
  <c r="E111" i="1"/>
  <c r="E102" i="1"/>
  <c r="D183" i="1"/>
  <c r="E119" i="1"/>
  <c r="E95" i="1"/>
  <c r="E104" i="1"/>
  <c r="E99" i="1"/>
  <c r="E117" i="1"/>
  <c r="E116" i="1"/>
  <c r="E112" i="1"/>
  <c r="E109" i="1"/>
  <c r="E120" i="1" l="1"/>
  <c r="R183" i="1"/>
  <c r="E55" i="1"/>
  <c r="E157" i="1"/>
  <c r="D204" i="1"/>
  <c r="E91" i="1"/>
  <c r="E22" i="1"/>
  <c r="E182" i="1"/>
  <c r="E128" i="1"/>
  <c r="E163" i="1"/>
</calcChain>
</file>

<file path=xl/sharedStrings.xml><?xml version="1.0" encoding="utf-8"?>
<sst xmlns="http://schemas.openxmlformats.org/spreadsheetml/2006/main" count="420" uniqueCount="271">
  <si>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</si>
  <si>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</si>
  <si>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</si>
  <si>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</si>
  <si>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</si>
  <si>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</si>
  <si>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</si>
  <si>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</si>
  <si>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</si>
  <si>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</si>
  <si>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</si>
  <si>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</si>
  <si>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</si>
  <si>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</si>
  <si>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</si>
  <si>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</si>
  <si>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</si>
  <si>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</si>
  <si>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</si>
  <si>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</si>
  <si>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</si>
  <si>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</si>
  <si>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</si>
  <si>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</si>
  <si>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</si>
  <si>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</si>
  <si>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</si>
  <si>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</si>
  <si>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</si>
  <si>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</si>
  <si>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</si>
  <si>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</si>
  <si>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</si>
  <si>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</si>
  <si>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</si>
  <si>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</si>
  <si>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</si>
  <si>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</si>
  <si>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</si>
  <si>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</si>
  <si>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</si>
  <si>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</si>
  <si>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</si>
  <si>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</si>
  <si>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</si>
  <si>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</si>
  <si>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</si>
  <si>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</si>
  <si>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</si>
  <si>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</si>
  <si>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</si>
  <si>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</si>
  <si>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</si>
  <si>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</si>
  <si>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</si>
  <si>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</si>
  <si>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</si>
  <si>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</si>
  <si>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</si>
  <si>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</si>
  <si>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</si>
  <si>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</si>
  <si>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</si>
  <si>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</si>
  <si>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</si>
  <si>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</si>
  <si>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</si>
  <si>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</si>
  <si>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</si>
  <si>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</si>
  <si>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</si>
  <si>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</si>
  <si>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</si>
  <si>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</si>
  <si>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</si>
  <si>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</si>
  <si>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</si>
  <si>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</si>
  <si>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</si>
  <si>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</si>
  <si>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</si>
  <si>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</si>
  <si>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</si>
  <si>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</si>
  <si>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</si>
  <si>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</si>
  <si>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</si>
  <si>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</si>
  <si>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</si>
  <si>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</si>
  <si>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</si>
  <si>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</si>
  <si>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</si>
  <si>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</si>
  <si>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</si>
  <si>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</si>
  <si>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</si>
  <si>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</si>
  <si>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</si>
  <si>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</si>
  <si>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</si>
  <si>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</si>
  <si>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</si>
  <si>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</si>
  <si>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</si>
  <si>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</si>
  <si>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</si>
  <si>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</si>
  <si>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</si>
  <si>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</si>
  <si>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</si>
  <si>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</si>
  <si>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</si>
  <si>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</si>
  <si>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</si>
  <si>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</si>
  <si>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</si>
  <si>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</si>
  <si>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</si>
  <si>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</si>
  <si>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</si>
  <si>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</si>
  <si>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</si>
  <si>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</si>
  <si>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</si>
  <si>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</si>
  <si>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</si>
  <si>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</si>
  <si>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</si>
  <si>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</si>
  <si>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</si>
  <si>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</si>
  <si>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</si>
  <si>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</si>
  <si>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</si>
  <si>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</si>
  <si>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</si>
  <si>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</si>
  <si>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</si>
  <si>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</si>
  <si>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</si>
  <si>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</si>
  <si>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</si>
  <si>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</si>
  <si>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</si>
  <si>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</si>
  <si>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</si>
  <si>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</si>
  <si>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</si>
  <si>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</si>
  <si>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</si>
  <si>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</si>
  <si>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</si>
  <si>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</si>
  <si>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</si>
  <si>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</si>
  <si>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</si>
  <si>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</si>
  <si>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</si>
  <si>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</si>
  <si>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</si>
  <si>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</si>
  <si>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</si>
  <si>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</si>
  <si>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</si>
  <si>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</si>
  <si>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</si>
  <si>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</si>
  <si>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</si>
  <si>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</si>
  <si>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</si>
  <si>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</si>
  <si>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</si>
  <si>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</si>
  <si>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</si>
  <si>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</si>
  <si>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</si>
  <si>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</si>
  <si>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</si>
  <si>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</si>
  <si>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</si>
  <si>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</si>
  <si>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</si>
  <si>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</si>
  <si>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</si>
  <si>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</si>
  <si>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</si>
  <si>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</si>
  <si>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</si>
  <si>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</si>
  <si>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</si>
  <si>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</si>
  <si>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</si>
  <si>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</si>
  <si>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</si>
  <si>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</si>
  <si>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</si>
  <si>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</si>
  <si>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</si>
  <si>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</si>
  <si>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</si>
  <si>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</si>
  <si>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</si>
  <si>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</si>
  <si>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</si>
  <si>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</si>
  <si>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</si>
  <si>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</si>
  <si>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</si>
  <si>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</si>
  <si>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</si>
  <si>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</si>
  <si>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</si>
  <si>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</si>
  <si>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</si>
  <si>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</si>
  <si>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</si>
  <si>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</si>
  <si>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</si>
  <si>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</si>
  <si>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</si>
  <si>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</si>
  <si>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</si>
  <si>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</si>
  <si>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</si>
  <si>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</si>
  <si>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</si>
  <si>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</si>
  <si>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</si>
  <si>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</si>
  <si>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</si>
  <si>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</si>
  <si>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</si>
  <si>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</si>
  <si>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</si>
  <si>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</si>
  <si>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</si>
  <si>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</si>
  <si>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</si>
  <si>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</si>
  <si>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</si>
  <si>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</si>
  <si>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</si>
  <si>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</si>
  <si>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</si>
  <si>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</si>
  <si>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</si>
  <si>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</si>
  <si>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</si>
  <si>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</si>
  <si>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</si>
  <si>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</si>
  <si>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</si>
  <si>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</si>
  <si>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</si>
  <si>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</si>
  <si>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</si>
  <si>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</si>
  <si>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</si>
  <si>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</si>
  <si>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NAV, Unit Price and Yield as at Week Ended March 1, 2024</t>
  </si>
  <si>
    <t>Week Ended March 1, 2024</t>
  </si>
  <si>
    <t>WEEKLY VALUATION REPORT OF COLLECTIVE INVESTMENT SCHEMES AS AT WEEK ENDED FRIDAY, MARCH 8, 2024</t>
  </si>
  <si>
    <t>NAV, Unit Price and Yield as at Week Ended March 8, 2024</t>
  </si>
  <si>
    <t> 1.6019</t>
  </si>
  <si>
    <t> 0.0340</t>
  </si>
  <si>
    <t>                 587</t>
  </si>
  <si>
    <t>                 146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</si>
  <si>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8th March, 2024 = </t>
    </r>
    <r>
      <rPr>
        <strike/>
        <sz val="6"/>
        <color theme="0"/>
        <rFont val="Times New Roman"/>
        <family val="1"/>
      </rPr>
      <t>N1,625</t>
    </r>
    <r>
      <rPr>
        <sz val="6"/>
        <color theme="0"/>
        <rFont val="Times New Roman"/>
        <family val="1"/>
      </rPr>
      <t>.232</t>
    </r>
  </si>
  <si>
    <t>Week Ended March 8, 2024</t>
  </si>
  <si>
    <t>The chart above shows that the Dollar Fund category (Eurobonds and Fixed Income) has the highest share of the Aggregate Net Asset Value (NAV) at 50.51%, followed by Money Market Fund with 31.86%, Bond/Fixed Income Fund at 9.66%, Real Estate Investment Trust at 3.45%.  Next is Shari'ah Compliant Fund at 1.72%, Balanced Fund at 1.68%, Equity Fund at 0.94% and Ethical Fund at 0.18%.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</si>
</sst>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sz val="6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Arial Narrow"/>
      <family val="2"/>
    </font>
    <font>
      <b/>
      <sz val="12"/>
      <color theme="0"/>
      <name val="Arial Narrow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14" borderId="0" applyNumberFormat="0" applyBorder="0" applyAlignment="0" applyProtection="0"/>
    <xf numFmtId="0" fontId="36" fillId="15" borderId="0" applyNumberFormat="0" applyBorder="0" applyAlignment="0" applyProtection="0"/>
    <xf numFmtId="0" fontId="37" fillId="17" borderId="14" applyNumberFormat="0" applyAlignment="0" applyProtection="0"/>
    <xf numFmtId="0" fontId="38" fillId="18" borderId="15" applyNumberFormat="0" applyAlignment="0" applyProtection="0"/>
    <xf numFmtId="0" fontId="39" fillId="18" borderId="14" applyNumberFormat="0" applyAlignment="0" applyProtection="0"/>
    <xf numFmtId="0" fontId="40" fillId="0" borderId="16" applyNumberFormat="0" applyFill="0" applyAlignment="0" applyProtection="0"/>
    <xf numFmtId="0" fontId="41" fillId="19" borderId="17" applyNumberFormat="0" applyAlignment="0" applyProtection="0"/>
    <xf numFmtId="0" fontId="42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162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0" fontId="30" fillId="0" borderId="0" xfId="0" applyFont="1" applyAlignment="1">
      <alignment horizontal="right"/>
    </xf>
    <xf numFmtId="164" fontId="31" fillId="3" borderId="0" xfId="1" applyFont="1" applyFill="1" applyBorder="1" applyAlignment="1">
      <alignment horizontal="right" vertical="top" wrapText="1"/>
    </xf>
    <xf numFmtId="4" fontId="31" fillId="3" borderId="0" xfId="0" applyNumberFormat="1" applyFont="1" applyFill="1"/>
    <xf numFmtId="4" fontId="0" fillId="0" borderId="0" xfId="0" applyNumberFormat="1"/>
    <xf numFmtId="0" fontId="47" fillId="0" borderId="0" xfId="0" applyFont="1" applyAlignment="1">
      <alignment horizontal="right"/>
    </xf>
    <xf numFmtId="166" fontId="0" fillId="0" borderId="0" xfId="0" applyNumberFormat="1"/>
    <xf numFmtId="4" fontId="48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9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0" fontId="19" fillId="3" borderId="5" xfId="0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165" fontId="6" fillId="5" borderId="5" xfId="2" applyNumberFormat="1" applyFont="1" applyFill="1" applyBorder="1" applyAlignment="1">
      <alignment horizontal="center"/>
    </xf>
    <xf numFmtId="164" fontId="50" fillId="0" borderId="0" xfId="1" applyFont="1"/>
    <xf numFmtId="164" fontId="18" fillId="0" borderId="0" xfId="1" applyFont="1"/>
    <xf numFmtId="49" fontId="6" fillId="0" borderId="5" xfId="0" applyNumberFormat="1" applyFont="1" applyBorder="1" applyAlignment="1">
      <alignment wrapText="1"/>
    </xf>
    <xf numFmtId="164" fontId="51" fillId="0" borderId="0" xfId="1" applyFont="1"/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0" fontId="41" fillId="0" borderId="0" xfId="0" applyFont="1"/>
    <xf numFmtId="16" fontId="52" fillId="3" borderId="0" xfId="0" applyNumberFormat="1" applyFont="1" applyFill="1"/>
    <xf numFmtId="0" fontId="53" fillId="0" borderId="5" xfId="0" applyFont="1" applyBorder="1" applyAlignment="1">
      <alignment horizontal="right"/>
    </xf>
    <xf numFmtId="16" fontId="30" fillId="3" borderId="5" xfId="0" applyNumberFormat="1" applyFont="1" applyFill="1" applyBorder="1" applyAlignment="1">
      <alignment wrapText="1"/>
    </xf>
    <xf numFmtId="0" fontId="30" fillId="0" borderId="5" xfId="0" applyFont="1" applyBorder="1" applyAlignment="1">
      <alignment horizontal="right" wrapText="1"/>
    </xf>
    <xf numFmtId="4" fontId="31" fillId="3" borderId="5" xfId="0" applyNumberFormat="1" applyFont="1" applyFill="1" applyBorder="1"/>
    <xf numFmtId="0" fontId="30" fillId="0" borderId="5" xfId="0" applyFont="1" applyBorder="1" applyAlignment="1">
      <alignment horizontal="right"/>
    </xf>
    <xf numFmtId="4" fontId="31" fillId="3" borderId="5" xfId="0" applyNumberFormat="1" applyFont="1" applyFill="1" applyBorder="1" applyAlignment="1">
      <alignment horizontal="right"/>
    </xf>
    <xf numFmtId="164" fontId="31" fillId="3" borderId="5" xfId="1" applyFont="1" applyFill="1" applyBorder="1" applyAlignment="1">
      <alignment horizontal="right" vertical="top" wrapText="1"/>
    </xf>
    <xf numFmtId="16" fontId="30" fillId="3" borderId="0" xfId="0" applyNumberFormat="1" applyFont="1" applyFill="1"/>
    <xf numFmtId="0" fontId="53" fillId="0" borderId="0" xfId="0" applyFont="1" applyAlignment="1">
      <alignment horizontal="right"/>
    </xf>
    <xf numFmtId="4" fontId="31" fillId="3" borderId="0" xfId="0" applyNumberFormat="1" applyFont="1" applyFill="1" applyAlignment="1">
      <alignment horizontal="right"/>
    </xf>
    <xf numFmtId="16" fontId="30" fillId="3" borderId="5" xfId="0" applyNumberFormat="1" applyFont="1" applyFill="1" applyBorder="1"/>
    <xf numFmtId="4" fontId="31" fillId="3" borderId="10" xfId="0" applyNumberFormat="1" applyFont="1" applyFill="1" applyBorder="1" applyAlignment="1">
      <alignment horizontal="right"/>
    </xf>
  </cellXfs>
  <cellStyles count="59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March 1,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27.345380292450002</c:v>
                </c:pt>
                <c:pt idx="1">
                  <c:v>959.41974092782493</c:v>
                </c:pt>
                <c:pt idx="2">
                  <c:v>282.27467229184998</c:v>
                </c:pt>
                <c:pt idx="3">
                  <c:v>1370.5138625243701</c:v>
                </c:pt>
                <c:pt idx="4">
                  <c:v>99.747815398121404</c:v>
                </c:pt>
                <c:pt idx="5" formatCode="_-* #,##0.00_-;\-* #,##0.00_-;_-* &quot;-&quot;??_-;_-@_-">
                  <c:v>48.445217858992102</c:v>
                </c:pt>
                <c:pt idx="6">
                  <c:v>5.11240037562</c:v>
                </c:pt>
                <c:pt idx="7">
                  <c:v>49.2678262922499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March 8,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27.049856478820399</c:v>
                </c:pt>
                <c:pt idx="1">
                  <c:v>920.6255523859511</c:v>
                </c:pt>
                <c:pt idx="2">
                  <c:v>279.12552019889597</c:v>
                </c:pt>
                <c:pt idx="3">
                  <c:v>1459.7045010219099</c:v>
                </c:pt>
                <c:pt idx="4">
                  <c:v>99.778864135109998</c:v>
                </c:pt>
                <c:pt idx="5" formatCode="_-* #,##0.00_-;\-* #,##0.00_-;_-* &quot;-&quot;??_-;_-@_-">
                  <c:v>48.553395375676502</c:v>
                </c:pt>
                <c:pt idx="6">
                  <c:v>5.0903487341</c:v>
                </c:pt>
                <c:pt idx="7">
                  <c:v>49.747304277799103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8TH MARCH,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8-Mar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5090348734.1000004</c:v>
                </c:pt>
                <c:pt idx="1">
                  <c:v>27049856478.8204</c:v>
                </c:pt>
                <c:pt idx="2" formatCode="_-* #,##0.00_-;\-* #,##0.00_-;_-* &quot;-&quot;??_-;_-@_-">
                  <c:v>48553395375.67646</c:v>
                </c:pt>
                <c:pt idx="3">
                  <c:v>49747304277.79908</c:v>
                </c:pt>
                <c:pt idx="4">
                  <c:v>99778864135.110001</c:v>
                </c:pt>
                <c:pt idx="5">
                  <c:v>279125520198.89612</c:v>
                </c:pt>
                <c:pt idx="6">
                  <c:v>920625552385.95117</c:v>
                </c:pt>
                <c:pt idx="7">
                  <c:v>1459704501021.9133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'NAV Movement'!$B$2:$I$2</c:f>
              <c:numCache>
                <c:formatCode>d\-mmm</c:formatCode>
                <c:ptCount val="8"/>
                <c:pt idx="0">
                  <c:v>45310</c:v>
                </c:pt>
                <c:pt idx="1">
                  <c:v>45317</c:v>
                </c:pt>
                <c:pt idx="2">
                  <c:v>45324</c:v>
                </c:pt>
                <c:pt idx="3">
                  <c:v>45331</c:v>
                </c:pt>
                <c:pt idx="4">
                  <c:v>45338</c:v>
                </c:pt>
                <c:pt idx="5">
                  <c:v>45345</c:v>
                </c:pt>
                <c:pt idx="6">
                  <c:v>45352</c:v>
                </c:pt>
                <c:pt idx="7">
                  <c:v>45359</c:v>
                </c:pt>
              </c:numCache>
            </c:numRef>
          </c:cat>
          <c:val>
            <c:numRef>
              <c:f>'NAV Movement'!$B$3:$I$3</c:f>
              <c:numCache>
                <c:formatCode>_-* #,##0.00_-;\-* #,##0.00_-;_-* "-"??_-;_-@_-</c:formatCode>
                <c:ptCount val="8"/>
                <c:pt idx="0">
                  <c:v>2215.4714039116297</c:v>
                </c:pt>
                <c:pt idx="1">
                  <c:v>2278.1721966806804</c:v>
                </c:pt>
                <c:pt idx="2">
                  <c:v>2700.5588140210298</c:v>
                </c:pt>
                <c:pt idx="3">
                  <c:v>2722.5323614454901</c:v>
                </c:pt>
                <c:pt idx="4">
                  <c:v>2804.0140317422201</c:v>
                </c:pt>
                <c:pt idx="5">
                  <c:v>2818.09860936104</c:v>
                </c:pt>
                <c:pt idx="6">
                  <c:v>2842.1269159614799</c:v>
                </c:pt>
                <c:pt idx="7">
                  <c:v>2889.6753426082701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396240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0</xdr:row>
      <xdr:rowOff>0</xdr:rowOff>
    </xdr:from>
    <xdr:to>
      <xdr:col>15</xdr:col>
      <xdr:colOff>571501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21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8"/>
  <sheetViews>
    <sheetView tabSelected="1" zoomScaleNormal="100" workbookViewId="0">
      <pane ySplit="3" topLeftCell="A4" activePane="bottomLeft" state="frozen"/>
      <selection activeCell="P12" sqref="P12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1.140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34" t="s">
        <v>262</v>
      </c>
      <c r="B1" s="135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7"/>
    </row>
    <row r="2" spans="1:25" ht="15" customHeight="1">
      <c r="A2" s="1"/>
      <c r="B2" s="1"/>
      <c r="C2" s="1"/>
      <c r="D2" s="141" t="s">
        <v>260</v>
      </c>
      <c r="E2" s="142"/>
      <c r="F2" s="142"/>
      <c r="G2" s="142"/>
      <c r="H2" s="142"/>
      <c r="I2" s="142"/>
      <c r="J2" s="143"/>
      <c r="K2" s="141" t="s">
        <v>263</v>
      </c>
      <c r="L2" s="142"/>
      <c r="M2" s="142"/>
      <c r="N2" s="142"/>
      <c r="O2" s="142"/>
      <c r="P2" s="142"/>
      <c r="Q2" s="143"/>
      <c r="R2" s="141" t="s">
        <v>0</v>
      </c>
      <c r="S2" s="142"/>
      <c r="T2" s="143"/>
      <c r="U2" s="138" t="s">
        <v>1</v>
      </c>
      <c r="V2" s="138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</row>
    <row r="5" spans="1:25" ht="15" customHeight="1">
      <c r="A5" s="140" t="s">
        <v>15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</row>
    <row r="6" spans="1:25">
      <c r="A6" s="75">
        <v>1</v>
      </c>
      <c r="B6" s="125" t="s">
        <v>16</v>
      </c>
      <c r="C6" s="126" t="s">
        <v>17</v>
      </c>
      <c r="D6" s="2">
        <v>1205608278.1800001</v>
      </c>
      <c r="E6" s="3">
        <f t="shared" ref="E6:E21" si="0">(D6/$D$22)</f>
        <v>4.4088188399152232E-2</v>
      </c>
      <c r="F6" s="8">
        <v>338.40870000000001</v>
      </c>
      <c r="G6" s="8">
        <v>338.40870000000001</v>
      </c>
      <c r="H6" s="60">
        <v>1731</v>
      </c>
      <c r="I6" s="5">
        <v>-3.3799999999999997E-2</v>
      </c>
      <c r="J6" s="5">
        <v>9.2100000000000001E-2</v>
      </c>
      <c r="K6" s="2">
        <v>1192742925.48</v>
      </c>
      <c r="L6" s="3">
        <f>(K6/$K$22)</f>
        <v>4.4094242289747392E-2</v>
      </c>
      <c r="M6" s="8">
        <v>337.86439999999999</v>
      </c>
      <c r="N6" s="8">
        <v>337.86439999999999</v>
      </c>
      <c r="O6" s="60">
        <v>1736</v>
      </c>
      <c r="P6" s="5">
        <v>-1.6000000000000001E-3</v>
      </c>
      <c r="Q6" s="5">
        <v>9.0300000000000005E-2</v>
      </c>
      <c r="R6" s="80">
        <f>((K6-D6)/D6)</f>
        <v>-1.0671254447109247E-2</v>
      </c>
      <c r="S6" s="80">
        <f>((N6-G6)/G6)</f>
        <v>-1.6084101856720027E-3</v>
      </c>
      <c r="T6" s="80">
        <f>((O6-H6)/H6)</f>
        <v>2.8885037550548816E-3</v>
      </c>
      <c r="U6" s="81">
        <f>P6-I6</f>
        <v>3.2199999999999999E-2</v>
      </c>
      <c r="V6" s="83">
        <f>Q6-J6</f>
        <v>-1.799999999999996E-3</v>
      </c>
    </row>
    <row r="7" spans="1:25">
      <c r="A7" s="75">
        <v>2</v>
      </c>
      <c r="B7" s="125" t="s">
        <v>18</v>
      </c>
      <c r="C7" s="126" t="s">
        <v>19</v>
      </c>
      <c r="D7" s="4">
        <v>604494154.22000003</v>
      </c>
      <c r="E7" s="3">
        <f t="shared" si="0"/>
        <v>2.2105896782386298E-2</v>
      </c>
      <c r="F7" s="4">
        <v>221.4076</v>
      </c>
      <c r="G7" s="4">
        <v>223.8135</v>
      </c>
      <c r="H7" s="60">
        <v>385</v>
      </c>
      <c r="I7" s="5">
        <v>-5.5199999999999997E-4</v>
      </c>
      <c r="J7" s="5">
        <v>0.14449999999999999</v>
      </c>
      <c r="K7" s="4">
        <v>608396373.51999998</v>
      </c>
      <c r="L7" s="3">
        <f t="shared" ref="L7:L21" si="1">(K7/$K$22)</f>
        <v>2.2491667340134115E-2</v>
      </c>
      <c r="M7" s="4">
        <v>222.8503</v>
      </c>
      <c r="N7" s="4">
        <v>225.29859999999999</v>
      </c>
      <c r="O7" s="60">
        <v>388</v>
      </c>
      <c r="P7" s="5" t="s">
        <v>264</v>
      </c>
      <c r="Q7" s="5">
        <v>0.152</v>
      </c>
      <c r="R7" s="80">
        <f t="shared" ref="R7:R22" si="2">((K7-D7)/D7)</f>
        <v>6.4553466278513853E-3</v>
      </c>
      <c r="S7" s="80">
        <f t="shared" ref="S7:S22" si="3">((N7-G7)/G7)</f>
        <v>6.6354353066280115E-3</v>
      </c>
      <c r="T7" s="80">
        <f t="shared" ref="T7:T22" si="4">((O7-H7)/H7)</f>
        <v>7.7922077922077922E-3</v>
      </c>
      <c r="U7" s="81" t="e">
        <f t="shared" ref="U7:U22" si="5">P7-I7</f>
        <v>#VALUE!</v>
      </c>
      <c r="V7" s="83">
        <f t="shared" ref="V7:V22" si="6">Q7-J7</f>
        <v>7.5000000000000067E-3</v>
      </c>
    </row>
    <row r="8" spans="1:25">
      <c r="A8" s="75">
        <v>3</v>
      </c>
      <c r="B8" s="125" t="s">
        <v>20</v>
      </c>
      <c r="C8" s="126" t="s">
        <v>21</v>
      </c>
      <c r="D8" s="4">
        <v>3911495046.5300002</v>
      </c>
      <c r="E8" s="3">
        <f t="shared" si="0"/>
        <v>0.1430404333272321</v>
      </c>
      <c r="F8" s="4">
        <v>36.610900000000001</v>
      </c>
      <c r="G8" s="4">
        <v>37.714799999999997</v>
      </c>
      <c r="H8" s="62">
        <v>6382</v>
      </c>
      <c r="I8" s="6">
        <v>1.1906000000000001</v>
      </c>
      <c r="J8" s="6">
        <v>-1.2551000000000001</v>
      </c>
      <c r="K8" s="4">
        <v>3981508093.2600002</v>
      </c>
      <c r="L8" s="3">
        <f t="shared" si="1"/>
        <v>0.14719146833098565</v>
      </c>
      <c r="M8" s="4">
        <v>37.247900000000001</v>
      </c>
      <c r="N8" s="4">
        <v>38.371000000000002</v>
      </c>
      <c r="O8" s="62">
        <v>6389</v>
      </c>
      <c r="P8" s="6">
        <v>0.90969999999999995</v>
      </c>
      <c r="Q8" s="6">
        <v>1.1801999999999999</v>
      </c>
      <c r="R8" s="80">
        <f t="shared" si="2"/>
        <v>1.7899305993525572E-2</v>
      </c>
      <c r="S8" s="80">
        <f t="shared" si="3"/>
        <v>1.7399005165081229E-2</v>
      </c>
      <c r="T8" s="80">
        <f t="shared" si="4"/>
        <v>1.0968348480100282E-3</v>
      </c>
      <c r="U8" s="81">
        <f t="shared" si="5"/>
        <v>-0.28090000000000015</v>
      </c>
      <c r="V8" s="83">
        <f t="shared" si="6"/>
        <v>2.4352999999999998</v>
      </c>
      <c r="X8" s="102"/>
      <c r="Y8" s="102"/>
    </row>
    <row r="9" spans="1:25">
      <c r="A9" s="75">
        <v>4</v>
      </c>
      <c r="B9" s="125" t="s">
        <v>22</v>
      </c>
      <c r="C9" s="126" t="s">
        <v>23</v>
      </c>
      <c r="D9" s="4">
        <v>717262387.99000001</v>
      </c>
      <c r="E9" s="3">
        <f t="shared" si="0"/>
        <v>2.6229746316164222E-2</v>
      </c>
      <c r="F9" s="4">
        <v>228.85</v>
      </c>
      <c r="G9" s="4">
        <v>228.85</v>
      </c>
      <c r="H9" s="60">
        <v>1769</v>
      </c>
      <c r="I9" s="5">
        <v>-4.8500000000000001E-2</v>
      </c>
      <c r="J9" s="5">
        <v>0.1232</v>
      </c>
      <c r="K9" s="4">
        <v>677050428.03999996</v>
      </c>
      <c r="L9" s="3">
        <f t="shared" si="1"/>
        <v>2.5029723487446948E-2</v>
      </c>
      <c r="M9" s="4">
        <v>231.09</v>
      </c>
      <c r="N9" s="4">
        <v>231.09</v>
      </c>
      <c r="O9" s="60">
        <v>1771</v>
      </c>
      <c r="P9" s="5">
        <v>9.7999999999999997E-3</v>
      </c>
      <c r="Q9" s="5">
        <v>0.13420000000000001</v>
      </c>
      <c r="R9" s="80">
        <f t="shared" si="2"/>
        <v>-5.6063109711756806E-2</v>
      </c>
      <c r="S9" s="80">
        <f t="shared" si="3"/>
        <v>9.7880707887262799E-3</v>
      </c>
      <c r="T9" s="80">
        <f t="shared" si="4"/>
        <v>1.1305822498586771E-3</v>
      </c>
      <c r="U9" s="81">
        <f t="shared" si="5"/>
        <v>5.8300000000000005E-2</v>
      </c>
      <c r="V9" s="83">
        <f t="shared" si="6"/>
        <v>1.100000000000001E-2</v>
      </c>
    </row>
    <row r="10" spans="1:25">
      <c r="A10" s="75">
        <v>5</v>
      </c>
      <c r="B10" s="125" t="s">
        <v>24</v>
      </c>
      <c r="C10" s="126" t="s">
        <v>25</v>
      </c>
      <c r="D10" s="7">
        <v>98439326.930000007</v>
      </c>
      <c r="E10" s="3">
        <f t="shared" si="0"/>
        <v>3.5998521826071991E-3</v>
      </c>
      <c r="F10" s="4">
        <v>153.74170000000001</v>
      </c>
      <c r="G10" s="4">
        <v>154.1292</v>
      </c>
      <c r="H10" s="62">
        <v>87</v>
      </c>
      <c r="I10" s="6">
        <v>-1.4232E-2</v>
      </c>
      <c r="J10" s="6">
        <v>0.32819999999999999</v>
      </c>
      <c r="K10" s="7">
        <v>88563009.159999996</v>
      </c>
      <c r="L10" s="3">
        <f t="shared" si="1"/>
        <v>3.2740657692340584E-3</v>
      </c>
      <c r="M10" s="4">
        <v>154.20070000000001</v>
      </c>
      <c r="N10" s="4">
        <v>154.6412</v>
      </c>
      <c r="O10" s="62">
        <v>87</v>
      </c>
      <c r="P10" s="6">
        <v>2.6510000000000001E-3</v>
      </c>
      <c r="Q10" s="6">
        <v>0.32979999999999998</v>
      </c>
      <c r="R10" s="80">
        <f t="shared" si="2"/>
        <v>-0.10032898515268231</v>
      </c>
      <c r="S10" s="80">
        <f t="shared" si="3"/>
        <v>3.3218883897405582E-3</v>
      </c>
      <c r="T10" s="80">
        <f t="shared" si="4"/>
        <v>0</v>
      </c>
      <c r="U10" s="81">
        <f t="shared" si="5"/>
        <v>1.6882999999999999E-2</v>
      </c>
      <c r="V10" s="83">
        <f t="shared" si="6"/>
        <v>1.5999999999999903E-3</v>
      </c>
    </row>
    <row r="11" spans="1:25">
      <c r="A11" s="75">
        <v>6</v>
      </c>
      <c r="B11" s="125" t="s">
        <v>26</v>
      </c>
      <c r="C11" s="126" t="s">
        <v>27</v>
      </c>
      <c r="D11" s="4">
        <v>1062359912.67</v>
      </c>
      <c r="E11" s="3">
        <f t="shared" si="0"/>
        <v>3.8849703361533261E-2</v>
      </c>
      <c r="F11" s="4">
        <v>258.92</v>
      </c>
      <c r="G11" s="4">
        <v>262.51</v>
      </c>
      <c r="H11" s="62">
        <v>1620</v>
      </c>
      <c r="I11" s="6">
        <v>-2.12E-2</v>
      </c>
      <c r="J11" s="6">
        <v>4.1200000000000001E-2</v>
      </c>
      <c r="K11" s="4">
        <v>999845269.00999999</v>
      </c>
      <c r="L11" s="3">
        <f t="shared" si="1"/>
        <v>3.6963052642917445E-2</v>
      </c>
      <c r="M11" s="4">
        <v>256.35000000000002</v>
      </c>
      <c r="N11" s="4">
        <v>260.08999999999997</v>
      </c>
      <c r="O11" s="62">
        <v>1621</v>
      </c>
      <c r="P11" s="6">
        <v>-9.5999999999999992E-3</v>
      </c>
      <c r="Q11" s="6">
        <v>3.09E-2</v>
      </c>
      <c r="R11" s="80">
        <f t="shared" si="2"/>
        <v>-5.8845070220019537E-2</v>
      </c>
      <c r="S11" s="80">
        <f t="shared" si="3"/>
        <v>-9.2186964306122283E-3</v>
      </c>
      <c r="T11" s="80">
        <f t="shared" si="4"/>
        <v>6.1728395061728394E-4</v>
      </c>
      <c r="U11" s="81">
        <f t="shared" si="5"/>
        <v>1.1600000000000001E-2</v>
      </c>
      <c r="V11" s="83">
        <f t="shared" si="6"/>
        <v>-1.03E-2</v>
      </c>
    </row>
    <row r="12" spans="1:25">
      <c r="A12" s="75">
        <v>7</v>
      </c>
      <c r="B12" s="125" t="s">
        <v>28</v>
      </c>
      <c r="C12" s="126" t="s">
        <v>29</v>
      </c>
      <c r="D12" s="2">
        <v>317037897.69</v>
      </c>
      <c r="E12" s="3">
        <f t="shared" si="0"/>
        <v>1.1593837580585175E-2</v>
      </c>
      <c r="F12" s="4">
        <v>159.47</v>
      </c>
      <c r="G12" s="4">
        <v>162.07</v>
      </c>
      <c r="H12" s="60">
        <v>2379</v>
      </c>
      <c r="I12" s="5">
        <v>-1.042E-2</v>
      </c>
      <c r="J12" s="5">
        <v>-4.9584999999999997E-2</v>
      </c>
      <c r="K12" s="2">
        <v>318414006.45999998</v>
      </c>
      <c r="L12" s="3">
        <f t="shared" si="1"/>
        <v>1.1771375079542954E-2</v>
      </c>
      <c r="M12" s="4">
        <v>160.16999999999999</v>
      </c>
      <c r="N12" s="4">
        <v>162.78</v>
      </c>
      <c r="O12" s="60">
        <v>2379</v>
      </c>
      <c r="P12" s="5">
        <v>4.3889999999999997E-3</v>
      </c>
      <c r="Q12" s="5">
        <v>-4.5414000000000003E-2</v>
      </c>
      <c r="R12" s="80">
        <f t="shared" si="2"/>
        <v>4.3405182157293431E-3</v>
      </c>
      <c r="S12" s="80">
        <f t="shared" si="3"/>
        <v>4.3808231011291908E-3</v>
      </c>
      <c r="T12" s="80">
        <f t="shared" si="4"/>
        <v>0</v>
      </c>
      <c r="U12" s="81">
        <f t="shared" si="5"/>
        <v>1.4808999999999999E-2</v>
      </c>
      <c r="V12" s="83">
        <f t="shared" si="6"/>
        <v>4.1709999999999942E-3</v>
      </c>
    </row>
    <row r="13" spans="1:25">
      <c r="A13" s="75">
        <v>8</v>
      </c>
      <c r="B13" s="125" t="s">
        <v>30</v>
      </c>
      <c r="C13" s="126" t="s">
        <v>31</v>
      </c>
      <c r="D13" s="7">
        <v>40753369.060000002</v>
      </c>
      <c r="E13" s="3">
        <f t="shared" si="0"/>
        <v>1.4903200695750398E-3</v>
      </c>
      <c r="F13" s="4">
        <v>147.4</v>
      </c>
      <c r="G13" s="4">
        <v>152.47999999999999</v>
      </c>
      <c r="H13" s="60">
        <v>7</v>
      </c>
      <c r="I13" s="5">
        <v>-0.2092</v>
      </c>
      <c r="J13" s="5">
        <v>-0.25769999999999998</v>
      </c>
      <c r="K13" s="7">
        <v>40753369.060000002</v>
      </c>
      <c r="L13" s="3">
        <f t="shared" si="1"/>
        <v>1.5066020439668223E-3</v>
      </c>
      <c r="M13" s="4">
        <v>147.4</v>
      </c>
      <c r="N13" s="4">
        <v>152.47999999999999</v>
      </c>
      <c r="O13" s="60">
        <v>7</v>
      </c>
      <c r="P13" s="5">
        <v>-0.2092</v>
      </c>
      <c r="Q13" s="5">
        <v>-0.25769999999999998</v>
      </c>
      <c r="R13" s="80">
        <f t="shared" si="2"/>
        <v>0</v>
      </c>
      <c r="S13" s="80">
        <f t="shared" si="3"/>
        <v>0</v>
      </c>
      <c r="T13" s="80">
        <f t="shared" si="4"/>
        <v>0</v>
      </c>
      <c r="U13" s="81">
        <f t="shared" si="5"/>
        <v>0</v>
      </c>
      <c r="V13" s="83">
        <f t="shared" si="6"/>
        <v>0</v>
      </c>
    </row>
    <row r="14" spans="1:25" ht="14.25" customHeight="1">
      <c r="A14" s="75">
        <v>9</v>
      </c>
      <c r="B14" s="125" t="s">
        <v>238</v>
      </c>
      <c r="C14" s="126" t="s">
        <v>32</v>
      </c>
      <c r="D14" s="2">
        <v>451509996.52999997</v>
      </c>
      <c r="E14" s="3">
        <f t="shared" si="0"/>
        <v>1.6511381143770779E-2</v>
      </c>
      <c r="F14" s="4">
        <v>1.4520999999999999</v>
      </c>
      <c r="G14" s="4">
        <v>1.5005999999999999</v>
      </c>
      <c r="H14" s="60">
        <v>435</v>
      </c>
      <c r="I14" s="5">
        <v>-0.10153446355649065</v>
      </c>
      <c r="J14" s="5">
        <v>-0.14315218032690158</v>
      </c>
      <c r="K14" s="2">
        <v>446479500.6304</v>
      </c>
      <c r="L14" s="3">
        <f t="shared" si="1"/>
        <v>1.6505799244442801E-2</v>
      </c>
      <c r="M14" s="4">
        <v>1.4272</v>
      </c>
      <c r="N14" s="4">
        <v>1.4743999999999999</v>
      </c>
      <c r="O14" s="60">
        <v>436</v>
      </c>
      <c r="P14" s="5">
        <v>-1.7147579367812082E-2</v>
      </c>
      <c r="Q14" s="5">
        <v>-0.15784504632088281</v>
      </c>
      <c r="R14" s="80">
        <f t="shared" si="2"/>
        <v>-1.1141493960844618E-2</v>
      </c>
      <c r="S14" s="80">
        <f t="shared" si="3"/>
        <v>-1.7459682793549248E-2</v>
      </c>
      <c r="T14" s="80">
        <f t="shared" si="4"/>
        <v>2.2988505747126436E-3</v>
      </c>
      <c r="U14" s="81">
        <f t="shared" si="5"/>
        <v>8.4386884188678568E-2</v>
      </c>
      <c r="V14" s="83">
        <f t="shared" si="6"/>
        <v>-1.469286599398123E-2</v>
      </c>
    </row>
    <row r="15" spans="1:25">
      <c r="A15" s="75">
        <v>10</v>
      </c>
      <c r="B15" s="125" t="s">
        <v>33</v>
      </c>
      <c r="C15" s="126" t="s">
        <v>34</v>
      </c>
      <c r="D15" s="2">
        <v>1617008706.1500001</v>
      </c>
      <c r="E15" s="3">
        <f t="shared" si="0"/>
        <v>5.9132792773646407E-2</v>
      </c>
      <c r="F15" s="4">
        <v>3.14</v>
      </c>
      <c r="G15" s="4">
        <v>3.19</v>
      </c>
      <c r="H15" s="60">
        <v>3668</v>
      </c>
      <c r="I15" s="5">
        <v>-4.7E-2</v>
      </c>
      <c r="J15" s="5">
        <v>0.13039999999999999</v>
      </c>
      <c r="K15" s="2">
        <v>1549777338.77</v>
      </c>
      <c r="L15" s="3">
        <f t="shared" si="1"/>
        <v>5.7293366417062161E-2</v>
      </c>
      <c r="M15" s="4">
        <v>3.13</v>
      </c>
      <c r="N15" s="4">
        <v>3.18</v>
      </c>
      <c r="O15" s="60">
        <v>3670</v>
      </c>
      <c r="P15" s="5">
        <v>-1.18E-2</v>
      </c>
      <c r="Q15" s="5">
        <v>0.1268</v>
      </c>
      <c r="R15" s="80">
        <f t="shared" si="2"/>
        <v>-4.1577616202249111E-2</v>
      </c>
      <c r="S15" s="80">
        <f t="shared" si="3"/>
        <v>-3.1347962382444472E-3</v>
      </c>
      <c r="T15" s="80">
        <f t="shared" si="4"/>
        <v>5.4525627044711017E-4</v>
      </c>
      <c r="U15" s="81">
        <f t="shared" si="5"/>
        <v>3.5200000000000002E-2</v>
      </c>
      <c r="V15" s="83">
        <f t="shared" si="6"/>
        <v>-3.5999999999999921E-3</v>
      </c>
    </row>
    <row r="16" spans="1:25">
      <c r="A16" s="75">
        <v>11</v>
      </c>
      <c r="B16" s="125" t="s">
        <v>35</v>
      </c>
      <c r="C16" s="126" t="s">
        <v>36</v>
      </c>
      <c r="D16" s="4">
        <v>611529487.30999994</v>
      </c>
      <c r="E16" s="3">
        <f t="shared" si="0"/>
        <v>2.2363173624571679E-2</v>
      </c>
      <c r="F16" s="4">
        <v>18.359683</v>
      </c>
      <c r="G16" s="4">
        <v>18.52732</v>
      </c>
      <c r="H16" s="60">
        <v>324</v>
      </c>
      <c r="I16" s="5">
        <v>-4.0927756479203881E-2</v>
      </c>
      <c r="J16" s="5">
        <v>0</v>
      </c>
      <c r="K16" s="4">
        <v>617149796.10000002</v>
      </c>
      <c r="L16" s="3">
        <f t="shared" si="1"/>
        <v>2.2815270631221955E-2</v>
      </c>
      <c r="M16" s="4">
        <v>18.793859000000001</v>
      </c>
      <c r="N16" s="4">
        <v>18.908609999999999</v>
      </c>
      <c r="O16" s="60">
        <v>325</v>
      </c>
      <c r="P16" s="5">
        <v>2.3648338590595452E-2</v>
      </c>
      <c r="Q16" s="5">
        <v>2.3648338590595452E-2</v>
      </c>
      <c r="R16" s="80">
        <f t="shared" si="2"/>
        <v>9.1905769167775278E-3</v>
      </c>
      <c r="S16" s="80">
        <f t="shared" si="3"/>
        <v>2.0579878795206209E-2</v>
      </c>
      <c r="T16" s="80">
        <f t="shared" si="4"/>
        <v>3.0864197530864196E-3</v>
      </c>
      <c r="U16" s="81">
        <f t="shared" si="5"/>
        <v>6.4576095069799333E-2</v>
      </c>
      <c r="V16" s="83">
        <f t="shared" si="6"/>
        <v>2.3648338590595452E-2</v>
      </c>
    </row>
    <row r="17" spans="1:22">
      <c r="A17" s="75">
        <v>12</v>
      </c>
      <c r="B17" s="125" t="s">
        <v>37</v>
      </c>
      <c r="C17" s="126" t="s">
        <v>38</v>
      </c>
      <c r="D17" s="4">
        <v>331461439.70999998</v>
      </c>
      <c r="E17" s="3">
        <f t="shared" si="0"/>
        <v>1.2121295669145103E-2</v>
      </c>
      <c r="F17" s="4">
        <v>2.3880340000000002</v>
      </c>
      <c r="G17" s="4">
        <v>2.4207860000000001</v>
      </c>
      <c r="H17" s="60">
        <v>20</v>
      </c>
      <c r="I17" s="5">
        <v>-2.7900000000000001E-2</v>
      </c>
      <c r="J17" s="5">
        <v>0.1077</v>
      </c>
      <c r="K17" s="4">
        <v>335912046.07999998</v>
      </c>
      <c r="L17" s="3">
        <f t="shared" si="1"/>
        <v>1.2418256131710484E-2</v>
      </c>
      <c r="M17" s="4">
        <v>2.42</v>
      </c>
      <c r="N17" s="4">
        <v>2.4500000000000002</v>
      </c>
      <c r="O17" s="60">
        <v>20</v>
      </c>
      <c r="P17" s="5">
        <v>1.3599999999999999E-2</v>
      </c>
      <c r="Q17" s="5">
        <v>0.1229</v>
      </c>
      <c r="R17" s="80">
        <f t="shared" si="2"/>
        <v>1.342722210430842E-2</v>
      </c>
      <c r="S17" s="80">
        <f t="shared" si="3"/>
        <v>1.2067981225932433E-2</v>
      </c>
      <c r="T17" s="80">
        <f t="shared" si="4"/>
        <v>0</v>
      </c>
      <c r="U17" s="81">
        <f t="shared" si="5"/>
        <v>4.1500000000000002E-2</v>
      </c>
      <c r="V17" s="83">
        <f t="shared" si="6"/>
        <v>1.5199999999999991E-2</v>
      </c>
    </row>
    <row r="18" spans="1:22">
      <c r="A18" s="75">
        <v>13</v>
      </c>
      <c r="B18" s="125" t="s">
        <v>39</v>
      </c>
      <c r="C18" s="126" t="s">
        <v>40</v>
      </c>
      <c r="D18" s="2">
        <v>1127949729.3199999</v>
      </c>
      <c r="E18" s="3">
        <f t="shared" si="0"/>
        <v>4.1248273648307042E-2</v>
      </c>
      <c r="F18" s="4">
        <v>25.13</v>
      </c>
      <c r="G18" s="4">
        <v>25.71</v>
      </c>
      <c r="H18" s="60">
        <v>8834</v>
      </c>
      <c r="I18" s="5">
        <v>-4.1300000000000003E-2</v>
      </c>
      <c r="J18" s="5">
        <v>0</v>
      </c>
      <c r="K18" s="2">
        <v>1109328002.77</v>
      </c>
      <c r="L18" s="3">
        <f t="shared" si="1"/>
        <v>4.1010494959135398E-2</v>
      </c>
      <c r="M18" s="4">
        <v>24.72</v>
      </c>
      <c r="N18" s="4">
        <v>25.29</v>
      </c>
      <c r="O18" s="60">
        <v>8834</v>
      </c>
      <c r="P18" s="5">
        <v>-1.5100000000000001E-2</v>
      </c>
      <c r="Q18" s="5">
        <v>-1.6500000000000001E-2</v>
      </c>
      <c r="R18" s="80">
        <f t="shared" si="2"/>
        <v>-1.6509358587484493E-2</v>
      </c>
      <c r="S18" s="80">
        <f t="shared" si="3"/>
        <v>-1.6336056009334955E-2</v>
      </c>
      <c r="T18" s="80">
        <f t="shared" si="4"/>
        <v>0</v>
      </c>
      <c r="U18" s="81">
        <f t="shared" si="5"/>
        <v>2.6200000000000001E-2</v>
      </c>
      <c r="V18" s="83">
        <f t="shared" si="6"/>
        <v>-1.6500000000000001E-2</v>
      </c>
    </row>
    <row r="19" spans="1:22" ht="12.75" customHeight="1">
      <c r="A19" s="75">
        <v>14</v>
      </c>
      <c r="B19" s="125" t="s">
        <v>41</v>
      </c>
      <c r="C19" s="126" t="s">
        <v>42</v>
      </c>
      <c r="D19" s="2">
        <v>575596087.13</v>
      </c>
      <c r="E19" s="3">
        <f t="shared" si="0"/>
        <v>2.1049116193455203E-2</v>
      </c>
      <c r="F19" s="4">
        <v>5711.67</v>
      </c>
      <c r="G19" s="4">
        <v>5784.08</v>
      </c>
      <c r="H19" s="60">
        <v>21</v>
      </c>
      <c r="I19" s="5">
        <v>-7.0000000000000001E-3</v>
      </c>
      <c r="J19" s="5">
        <v>6.1800000000000001E-2</v>
      </c>
      <c r="K19" s="2">
        <v>567153417.09000003</v>
      </c>
      <c r="L19" s="3">
        <f t="shared" si="1"/>
        <v>2.0966965851891745E-2</v>
      </c>
      <c r="M19" s="4">
        <v>5618.34</v>
      </c>
      <c r="N19" s="4">
        <v>5688.93</v>
      </c>
      <c r="O19" s="60">
        <v>22</v>
      </c>
      <c r="P19" s="5">
        <v>-1.6500000000000001E-2</v>
      </c>
      <c r="Q19" s="5">
        <v>4.4299999999999999E-2</v>
      </c>
      <c r="R19" s="80">
        <f t="shared" si="2"/>
        <v>-1.4667698806112907E-2</v>
      </c>
      <c r="S19" s="80">
        <f t="shared" si="3"/>
        <v>-1.6450325721635874E-2</v>
      </c>
      <c r="T19" s="80">
        <f t="shared" si="4"/>
        <v>4.7619047619047616E-2</v>
      </c>
      <c r="U19" s="81">
        <f t="shared" si="5"/>
        <v>-9.5000000000000015E-3</v>
      </c>
      <c r="V19" s="83">
        <f t="shared" si="6"/>
        <v>-1.7500000000000002E-2</v>
      </c>
    </row>
    <row r="20" spans="1:22">
      <c r="A20" s="75">
        <v>15</v>
      </c>
      <c r="B20" s="125" t="s">
        <v>43</v>
      </c>
      <c r="C20" s="126" t="s">
        <v>42</v>
      </c>
      <c r="D20" s="4">
        <v>11453953116.52</v>
      </c>
      <c r="E20" s="3">
        <f t="shared" si="0"/>
        <v>0.41886245479213224</v>
      </c>
      <c r="F20" s="4">
        <v>19016.48</v>
      </c>
      <c r="G20" s="4">
        <v>19230.57</v>
      </c>
      <c r="H20" s="60">
        <v>17364</v>
      </c>
      <c r="I20" s="5">
        <v>-1.8100000000000002E-2</v>
      </c>
      <c r="J20" s="5">
        <v>4.7199999999999999E-2</v>
      </c>
      <c r="K20" s="4">
        <v>11322875915.91</v>
      </c>
      <c r="L20" s="3">
        <f t="shared" si="1"/>
        <v>0.41859282783166069</v>
      </c>
      <c r="M20" s="4">
        <v>18818.939999999999</v>
      </c>
      <c r="N20" s="4">
        <v>19030.04</v>
      </c>
      <c r="O20" s="60">
        <v>17367</v>
      </c>
      <c r="P20" s="5">
        <v>-1.04E-2</v>
      </c>
      <c r="Q20" s="5">
        <v>3.6299999999999999E-2</v>
      </c>
      <c r="R20" s="80">
        <f t="shared" si="2"/>
        <v>-1.1443839456698E-2</v>
      </c>
      <c r="S20" s="80">
        <f t="shared" si="3"/>
        <v>-1.0427668030640738E-2</v>
      </c>
      <c r="T20" s="80">
        <f t="shared" si="4"/>
        <v>1.7277125086385625E-4</v>
      </c>
      <c r="U20" s="81">
        <f t="shared" si="5"/>
        <v>7.700000000000002E-3</v>
      </c>
      <c r="V20" s="83">
        <f t="shared" si="6"/>
        <v>-1.09E-2</v>
      </c>
    </row>
    <row r="21" spans="1:22">
      <c r="A21" s="75">
        <v>16</v>
      </c>
      <c r="B21" s="126" t="s">
        <v>44</v>
      </c>
      <c r="C21" s="126" t="s">
        <v>45</v>
      </c>
      <c r="D21" s="4">
        <v>3218921356.5100002</v>
      </c>
      <c r="E21" s="3">
        <f t="shared" si="0"/>
        <v>0.11771353413573618</v>
      </c>
      <c r="F21" s="4">
        <v>1.6420999999999999</v>
      </c>
      <c r="G21" s="8">
        <v>1.5419</v>
      </c>
      <c r="H21" s="60">
        <v>3693</v>
      </c>
      <c r="I21" s="5">
        <v>-2.3E-2</v>
      </c>
      <c r="J21" s="5">
        <v>0.13450000000000001</v>
      </c>
      <c r="K21" s="4">
        <v>3193906987.48</v>
      </c>
      <c r="L21" s="3">
        <f t="shared" si="1"/>
        <v>0.11807482194889934</v>
      </c>
      <c r="M21" s="4">
        <v>1.5356000000000001</v>
      </c>
      <c r="N21" s="8">
        <v>1.5519000000000001</v>
      </c>
      <c r="O21" s="60">
        <v>3705</v>
      </c>
      <c r="P21" s="5">
        <v>-4.1000000000000003E-3</v>
      </c>
      <c r="Q21" s="5">
        <v>0.13</v>
      </c>
      <c r="R21" s="80">
        <f t="shared" si="2"/>
        <v>-7.7710407492282262E-3</v>
      </c>
      <c r="S21" s="80">
        <f t="shared" si="3"/>
        <v>6.4855048965562021E-3</v>
      </c>
      <c r="T21" s="80">
        <f t="shared" si="4"/>
        <v>3.249390739236393E-3</v>
      </c>
      <c r="U21" s="81">
        <f t="shared" si="5"/>
        <v>1.89E-2</v>
      </c>
      <c r="V21" s="83">
        <f t="shared" si="6"/>
        <v>-4.500000000000004E-3</v>
      </c>
    </row>
    <row r="22" spans="1:22">
      <c r="A22" s="75"/>
      <c r="B22" s="19"/>
      <c r="C22" s="71" t="s">
        <v>46</v>
      </c>
      <c r="D22" s="58">
        <f>SUM(D6:D21)</f>
        <v>27345380292.449997</v>
      </c>
      <c r="E22" s="100">
        <f>(D22/$D$183)</f>
        <v>9.621449393718999E-3</v>
      </c>
      <c r="F22" s="30"/>
      <c r="G22" s="31"/>
      <c r="H22" s="65">
        <f>SUM(H6:H21)</f>
        <v>48719</v>
      </c>
      <c r="I22" s="28"/>
      <c r="J22" s="60">
        <v>0</v>
      </c>
      <c r="K22" s="58">
        <f>SUM(K6:K21)</f>
        <v>27049856478.8204</v>
      </c>
      <c r="L22" s="100">
        <f>(K22/$K$183)</f>
        <v>9.3608635129248715E-3</v>
      </c>
      <c r="M22" s="30"/>
      <c r="N22" s="31"/>
      <c r="O22" s="65">
        <f>SUM(O6:O21)</f>
        <v>48757</v>
      </c>
      <c r="P22" s="28"/>
      <c r="Q22" s="65"/>
      <c r="R22" s="80">
        <f t="shared" si="2"/>
        <v>-1.080708370002776E-2</v>
      </c>
      <c r="S22" s="80" t="e">
        <f t="shared" si="3"/>
        <v>#DIV/0!</v>
      </c>
      <c r="T22" s="80">
        <f t="shared" si="4"/>
        <v>7.7998316878425257E-4</v>
      </c>
      <c r="U22" s="81">
        <f t="shared" si="5"/>
        <v>0</v>
      </c>
      <c r="V22" s="83">
        <f t="shared" si="6"/>
        <v>0</v>
      </c>
    </row>
    <row r="23" spans="1:22" ht="9" customHeight="1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</row>
    <row r="24" spans="1:22" ht="15" customHeight="1">
      <c r="A24" s="140" t="s">
        <v>47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</row>
    <row r="25" spans="1:22">
      <c r="A25" s="75">
        <v>17</v>
      </c>
      <c r="B25" s="125" t="s">
        <v>48</v>
      </c>
      <c r="C25" s="126" t="s">
        <v>17</v>
      </c>
      <c r="D25" s="9">
        <v>880860598.24000001</v>
      </c>
      <c r="E25" s="3">
        <f>(D25/$K$55)</f>
        <v>9.5680659303568776E-4</v>
      </c>
      <c r="F25" s="8">
        <v>100</v>
      </c>
      <c r="G25" s="8">
        <v>100</v>
      </c>
      <c r="H25" s="60">
        <v>756</v>
      </c>
      <c r="I25" s="5">
        <v>0.10290000000000001</v>
      </c>
      <c r="J25" s="5">
        <v>0.10290000000000001</v>
      </c>
      <c r="K25" s="9">
        <v>880158930.19000006</v>
      </c>
      <c r="L25" s="3">
        <f t="shared" ref="L25:L54" si="7">(K25/$K$55)</f>
        <v>9.560444286050118E-4</v>
      </c>
      <c r="M25" s="8">
        <v>100</v>
      </c>
      <c r="N25" s="8">
        <v>100</v>
      </c>
      <c r="O25" s="60">
        <v>761</v>
      </c>
      <c r="P25" s="5">
        <v>0.11899999999999999</v>
      </c>
      <c r="Q25" s="5">
        <v>0.11899999999999999</v>
      </c>
      <c r="R25" s="80">
        <f>((K25-D25)/D25)</f>
        <v>-7.9657104813396962E-4</v>
      </c>
      <c r="S25" s="80">
        <f>((N25-G25)/G25)</f>
        <v>0</v>
      </c>
      <c r="T25" s="80">
        <f>((O25-H25)/H25)</f>
        <v>6.6137566137566134E-3</v>
      </c>
      <c r="U25" s="81">
        <f>P25-I25</f>
        <v>1.6099999999999989E-2</v>
      </c>
      <c r="V25" s="83">
        <f>Q25-J25</f>
        <v>1.6099999999999989E-2</v>
      </c>
    </row>
    <row r="26" spans="1:22">
      <c r="A26" s="75">
        <v>18</v>
      </c>
      <c r="B26" s="125" t="s">
        <v>49</v>
      </c>
      <c r="C26" s="126" t="s">
        <v>50</v>
      </c>
      <c r="D26" s="9">
        <v>5189692110.2700005</v>
      </c>
      <c r="E26" s="3">
        <f t="shared" ref="E26:E54" si="8">(D26/$K$55)</f>
        <v>5.637136723850503E-3</v>
      </c>
      <c r="F26" s="8">
        <v>100</v>
      </c>
      <c r="G26" s="8">
        <v>100</v>
      </c>
      <c r="H26" s="60">
        <v>1245</v>
      </c>
      <c r="I26" s="5">
        <v>3.4E-5</v>
      </c>
      <c r="J26" s="5">
        <v>9.7439999999999992E-3</v>
      </c>
      <c r="K26" s="9">
        <v>5177872921.1000004</v>
      </c>
      <c r="L26" s="3">
        <f t="shared" si="7"/>
        <v>5.6242985084225599E-3</v>
      </c>
      <c r="M26" s="8">
        <v>100</v>
      </c>
      <c r="N26" s="8">
        <v>100</v>
      </c>
      <c r="O26" s="60">
        <v>1252</v>
      </c>
      <c r="P26" s="5">
        <v>0.14021</v>
      </c>
      <c r="Q26" s="5">
        <v>0.14021</v>
      </c>
      <c r="R26" s="80">
        <f t="shared" ref="R26:R55" si="9">((K26-D26)/D26)</f>
        <v>-2.2774355238937608E-3</v>
      </c>
      <c r="S26" s="80">
        <f t="shared" ref="S26:S55" si="10">((N26-G26)/G26)</f>
        <v>0</v>
      </c>
      <c r="T26" s="80">
        <f t="shared" ref="T26:T55" si="11">((O26-H26)/H26)</f>
        <v>5.6224899598393578E-3</v>
      </c>
      <c r="U26" s="81">
        <f t="shared" ref="U26:U55" si="12">P26-I26</f>
        <v>0.140176</v>
      </c>
      <c r="V26" s="83">
        <f t="shared" ref="V26:V55" si="13">Q26-J26</f>
        <v>0.130466</v>
      </c>
    </row>
    <row r="27" spans="1:22">
      <c r="A27" s="75">
        <v>19</v>
      </c>
      <c r="B27" s="125" t="s">
        <v>51</v>
      </c>
      <c r="C27" s="126" t="s">
        <v>19</v>
      </c>
      <c r="D27" s="9">
        <v>311946370.06999999</v>
      </c>
      <c r="E27" s="3">
        <f t="shared" si="8"/>
        <v>3.3884174652934641E-4</v>
      </c>
      <c r="F27" s="8">
        <v>100</v>
      </c>
      <c r="G27" s="8">
        <v>100</v>
      </c>
      <c r="H27" s="60">
        <v>1373</v>
      </c>
      <c r="I27" s="5">
        <v>0.1313</v>
      </c>
      <c r="J27" s="5">
        <v>0.1313</v>
      </c>
      <c r="K27" s="9">
        <v>305569423.42000002</v>
      </c>
      <c r="L27" s="3">
        <f t="shared" si="7"/>
        <v>3.3191499261351921E-4</v>
      </c>
      <c r="M27" s="8">
        <v>100</v>
      </c>
      <c r="N27" s="8">
        <v>100</v>
      </c>
      <c r="O27" s="60">
        <v>1375</v>
      </c>
      <c r="P27" s="5">
        <v>0.13170000000000001</v>
      </c>
      <c r="Q27" s="5">
        <v>0.13170000000000001</v>
      </c>
      <c r="R27" s="80">
        <f t="shared" si="9"/>
        <v>-2.0442445438839392E-2</v>
      </c>
      <c r="S27" s="80">
        <f t="shared" si="10"/>
        <v>0</v>
      </c>
      <c r="T27" s="80">
        <f t="shared" si="11"/>
        <v>1.4566642388929353E-3</v>
      </c>
      <c r="U27" s="81">
        <f t="shared" si="12"/>
        <v>4.0000000000001146E-4</v>
      </c>
      <c r="V27" s="83">
        <f t="shared" si="13"/>
        <v>4.0000000000001146E-4</v>
      </c>
    </row>
    <row r="28" spans="1:22">
      <c r="A28" s="75">
        <v>20</v>
      </c>
      <c r="B28" s="125" t="s">
        <v>52</v>
      </c>
      <c r="C28" s="126" t="s">
        <v>21</v>
      </c>
      <c r="D28" s="9">
        <v>85074285366.389999</v>
      </c>
      <c r="E28" s="3">
        <f t="shared" si="8"/>
        <v>9.2409215827114644E-2</v>
      </c>
      <c r="F28" s="8">
        <v>1</v>
      </c>
      <c r="G28" s="8">
        <v>1</v>
      </c>
      <c r="H28" s="60">
        <v>56261</v>
      </c>
      <c r="I28" s="5">
        <v>0.11509999999999999</v>
      </c>
      <c r="J28" s="5">
        <v>0.11509999999999999</v>
      </c>
      <c r="K28" s="9">
        <v>84515668332.110001</v>
      </c>
      <c r="L28" s="3">
        <f t="shared" si="7"/>
        <v>9.1802435977443669E-2</v>
      </c>
      <c r="M28" s="8">
        <v>1</v>
      </c>
      <c r="N28" s="8">
        <v>1</v>
      </c>
      <c r="O28" s="60">
        <v>56399</v>
      </c>
      <c r="P28" s="5">
        <v>0.1249</v>
      </c>
      <c r="Q28" s="5">
        <v>0.1249</v>
      </c>
      <c r="R28" s="80">
        <f t="shared" si="9"/>
        <v>-6.5662265850861866E-3</v>
      </c>
      <c r="S28" s="80">
        <f t="shared" si="10"/>
        <v>0</v>
      </c>
      <c r="T28" s="80">
        <f t="shared" si="11"/>
        <v>2.4528536641723396E-3</v>
      </c>
      <c r="U28" s="81">
        <f t="shared" si="12"/>
        <v>9.8000000000000032E-3</v>
      </c>
      <c r="V28" s="83">
        <f t="shared" si="13"/>
        <v>9.8000000000000032E-3</v>
      </c>
    </row>
    <row r="29" spans="1:22">
      <c r="A29" s="75">
        <v>21</v>
      </c>
      <c r="B29" s="125" t="s">
        <v>53</v>
      </c>
      <c r="C29" s="126" t="s">
        <v>23</v>
      </c>
      <c r="D29" s="9">
        <v>49986309926.370003</v>
      </c>
      <c r="E29" s="3">
        <f t="shared" si="8"/>
        <v>5.4296027083782686E-2</v>
      </c>
      <c r="F29" s="8">
        <v>1</v>
      </c>
      <c r="G29" s="8">
        <v>1</v>
      </c>
      <c r="H29" s="60">
        <v>26806</v>
      </c>
      <c r="I29" s="5">
        <v>0.1231</v>
      </c>
      <c r="J29" s="5">
        <v>0.1231</v>
      </c>
      <c r="K29" s="9">
        <v>49042367242.660004</v>
      </c>
      <c r="L29" s="3">
        <f t="shared" si="7"/>
        <v>5.3270699597201834E-2</v>
      </c>
      <c r="M29" s="8">
        <v>1</v>
      </c>
      <c r="N29" s="8">
        <v>1</v>
      </c>
      <c r="O29" s="60">
        <v>26870</v>
      </c>
      <c r="P29" s="5">
        <v>0.1338</v>
      </c>
      <c r="Q29" s="5">
        <v>0.1338</v>
      </c>
      <c r="R29" s="80">
        <f t="shared" si="9"/>
        <v>-1.8884024147820269E-2</v>
      </c>
      <c r="S29" s="80">
        <f t="shared" si="10"/>
        <v>0</v>
      </c>
      <c r="T29" s="80">
        <f t="shared" si="11"/>
        <v>2.3875251809296425E-3</v>
      </c>
      <c r="U29" s="81">
        <f t="shared" si="12"/>
        <v>1.0700000000000001E-2</v>
      </c>
      <c r="V29" s="83">
        <f t="shared" si="13"/>
        <v>1.0700000000000001E-2</v>
      </c>
    </row>
    <row r="30" spans="1:22" ht="15" customHeight="1">
      <c r="A30" s="75">
        <v>22</v>
      </c>
      <c r="B30" s="125" t="s">
        <v>54</v>
      </c>
      <c r="C30" s="126" t="s">
        <v>40</v>
      </c>
      <c r="D30" s="9">
        <v>8542663857.1400003</v>
      </c>
      <c r="E30" s="3">
        <f t="shared" si="8"/>
        <v>9.2791948203048407E-3</v>
      </c>
      <c r="F30" s="8">
        <v>100</v>
      </c>
      <c r="G30" s="8">
        <v>100</v>
      </c>
      <c r="H30" s="60">
        <v>2881</v>
      </c>
      <c r="I30" s="5">
        <v>0.13400000000000001</v>
      </c>
      <c r="J30" s="5">
        <v>0.13400000000000001</v>
      </c>
      <c r="K30" s="9">
        <v>8796084535.4400005</v>
      </c>
      <c r="L30" s="3">
        <f t="shared" si="7"/>
        <v>9.5544649099120853E-3</v>
      </c>
      <c r="M30" s="8">
        <v>100</v>
      </c>
      <c r="N30" s="8">
        <v>100</v>
      </c>
      <c r="O30" s="60">
        <v>2892</v>
      </c>
      <c r="P30" s="5">
        <v>0.14299999999999999</v>
      </c>
      <c r="Q30" s="5">
        <v>0.14299999999999999</v>
      </c>
      <c r="R30" s="80">
        <f t="shared" si="9"/>
        <v>2.9665299084452437E-2</v>
      </c>
      <c r="S30" s="80">
        <f t="shared" si="10"/>
        <v>0</v>
      </c>
      <c r="T30" s="80">
        <f t="shared" si="11"/>
        <v>3.8181187087816732E-3</v>
      </c>
      <c r="U30" s="81">
        <f t="shared" si="12"/>
        <v>8.9999999999999802E-3</v>
      </c>
      <c r="V30" s="83">
        <f t="shared" si="13"/>
        <v>8.9999999999999802E-3</v>
      </c>
    </row>
    <row r="31" spans="1:22">
      <c r="A31" s="75">
        <v>23</v>
      </c>
      <c r="B31" s="125" t="s">
        <v>55</v>
      </c>
      <c r="C31" s="126" t="s">
        <v>56</v>
      </c>
      <c r="D31" s="9">
        <v>14967223153.290001</v>
      </c>
      <c r="E31" s="3">
        <f t="shared" si="8"/>
        <v>1.6257666447015297E-2</v>
      </c>
      <c r="F31" s="8">
        <v>100</v>
      </c>
      <c r="G31" s="8">
        <v>100</v>
      </c>
      <c r="H31" s="60">
        <v>2008</v>
      </c>
      <c r="I31" s="5">
        <v>0.12849452769917899</v>
      </c>
      <c r="J31" s="5">
        <v>0.12849452769917899</v>
      </c>
      <c r="K31" s="9">
        <v>14649981142.35</v>
      </c>
      <c r="L31" s="3">
        <f t="shared" si="7"/>
        <v>1.5913072480317526E-2</v>
      </c>
      <c r="M31" s="8">
        <v>100</v>
      </c>
      <c r="N31" s="8">
        <v>100</v>
      </c>
      <c r="O31" s="60">
        <v>2033</v>
      </c>
      <c r="P31" s="5">
        <v>0.13775058625730499</v>
      </c>
      <c r="Q31" s="5">
        <v>0.13775058625730499</v>
      </c>
      <c r="R31" s="80">
        <f t="shared" si="9"/>
        <v>-2.1195782790895745E-2</v>
      </c>
      <c r="S31" s="80">
        <f t="shared" si="10"/>
        <v>0</v>
      </c>
      <c r="T31" s="80">
        <f t="shared" si="11"/>
        <v>1.245019920318725E-2</v>
      </c>
      <c r="U31" s="81">
        <f t="shared" si="12"/>
        <v>9.2560585581260013E-3</v>
      </c>
      <c r="V31" s="83">
        <f t="shared" si="13"/>
        <v>9.2560585581260013E-3</v>
      </c>
    </row>
    <row r="32" spans="1:22">
      <c r="A32" s="75">
        <v>24</v>
      </c>
      <c r="B32" s="125" t="s">
        <v>57</v>
      </c>
      <c r="C32" s="126" t="s">
        <v>58</v>
      </c>
      <c r="D32" s="9">
        <v>5654579908.3400002</v>
      </c>
      <c r="E32" s="3">
        <f t="shared" si="8"/>
        <v>6.142106194733825E-3</v>
      </c>
      <c r="F32" s="8">
        <v>100</v>
      </c>
      <c r="G32" s="8">
        <v>100</v>
      </c>
      <c r="H32" s="60">
        <v>5817</v>
      </c>
      <c r="I32" s="5">
        <v>0.12839999999999999</v>
      </c>
      <c r="J32" s="5">
        <v>0.12839999999999999</v>
      </c>
      <c r="K32" s="9">
        <v>5635614975.7700005</v>
      </c>
      <c r="L32" s="3">
        <f t="shared" si="7"/>
        <v>6.1215061445604952E-3</v>
      </c>
      <c r="M32" s="8">
        <v>100</v>
      </c>
      <c r="N32" s="8">
        <v>100</v>
      </c>
      <c r="O32" s="60">
        <v>5827</v>
      </c>
      <c r="P32" s="5">
        <v>0.1333</v>
      </c>
      <c r="Q32" s="5">
        <v>0.1333</v>
      </c>
      <c r="R32" s="80">
        <f t="shared" si="9"/>
        <v>-3.3539065460951598E-3</v>
      </c>
      <c r="S32" s="80">
        <f t="shared" si="10"/>
        <v>0</v>
      </c>
      <c r="T32" s="80">
        <f t="shared" si="11"/>
        <v>1.7190991920233798E-3</v>
      </c>
      <c r="U32" s="81">
        <f t="shared" si="12"/>
        <v>4.9000000000000155E-3</v>
      </c>
      <c r="V32" s="83">
        <f t="shared" si="13"/>
        <v>4.9000000000000155E-3</v>
      </c>
    </row>
    <row r="33" spans="1:22">
      <c r="A33" s="75">
        <v>25</v>
      </c>
      <c r="B33" s="125" t="s">
        <v>59</v>
      </c>
      <c r="C33" s="126" t="s">
        <v>60</v>
      </c>
      <c r="D33" s="9">
        <v>44514190.369999997</v>
      </c>
      <c r="E33" s="3">
        <f t="shared" si="8"/>
        <v>4.8352112598476347E-5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7"/>
        <v>4.8352112598476347E-5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9"/>
        <v>0</v>
      </c>
      <c r="S33" s="80">
        <f t="shared" si="10"/>
        <v>0</v>
      </c>
      <c r="T33" s="80" t="e">
        <f t="shared" si="11"/>
        <v>#DIV/0!</v>
      </c>
      <c r="U33" s="81">
        <f t="shared" si="12"/>
        <v>0</v>
      </c>
      <c r="V33" s="83">
        <f t="shared" si="13"/>
        <v>0</v>
      </c>
    </row>
    <row r="34" spans="1:22">
      <c r="A34" s="75">
        <v>26</v>
      </c>
      <c r="B34" s="125" t="s">
        <v>61</v>
      </c>
      <c r="C34" s="126" t="s">
        <v>62</v>
      </c>
      <c r="D34" s="9">
        <v>5441424193.5900002</v>
      </c>
      <c r="E34" s="3">
        <f t="shared" si="8"/>
        <v>5.9105726312806139E-3</v>
      </c>
      <c r="F34" s="8">
        <v>1</v>
      </c>
      <c r="G34" s="8">
        <v>1</v>
      </c>
      <c r="H34" s="60">
        <v>2145</v>
      </c>
      <c r="I34" s="5">
        <v>0.114</v>
      </c>
      <c r="J34" s="5">
        <v>0.114</v>
      </c>
      <c r="K34" s="9">
        <v>5459527313.9799995</v>
      </c>
      <c r="L34" s="3">
        <f t="shared" si="7"/>
        <v>5.9302365655947136E-3</v>
      </c>
      <c r="M34" s="8">
        <v>1</v>
      </c>
      <c r="N34" s="8">
        <v>1</v>
      </c>
      <c r="O34" s="60">
        <v>2153</v>
      </c>
      <c r="P34" s="5">
        <v>0.1147</v>
      </c>
      <c r="Q34" s="5">
        <v>0.1147</v>
      </c>
      <c r="R34" s="80">
        <f t="shared" si="9"/>
        <v>3.3269084978386492E-3</v>
      </c>
      <c r="S34" s="80">
        <f t="shared" si="10"/>
        <v>0</v>
      </c>
      <c r="T34" s="80">
        <f t="shared" si="11"/>
        <v>3.7296037296037296E-3</v>
      </c>
      <c r="U34" s="81">
        <f t="shared" si="12"/>
        <v>6.999999999999923E-4</v>
      </c>
      <c r="V34" s="83">
        <f t="shared" si="13"/>
        <v>6.999999999999923E-4</v>
      </c>
    </row>
    <row r="35" spans="1:22">
      <c r="A35" s="75">
        <v>27</v>
      </c>
      <c r="B35" s="125" t="s">
        <v>63</v>
      </c>
      <c r="C35" s="126" t="s">
        <v>64</v>
      </c>
      <c r="D35" s="9">
        <v>13423993298.559999</v>
      </c>
      <c r="E35" s="3">
        <f t="shared" si="8"/>
        <v>1.45813824782177E-2</v>
      </c>
      <c r="F35" s="11">
        <v>100</v>
      </c>
      <c r="G35" s="11">
        <v>100</v>
      </c>
      <c r="H35" s="60">
        <v>2617</v>
      </c>
      <c r="I35" s="5">
        <v>0.1105</v>
      </c>
      <c r="J35" s="5">
        <v>0.1105</v>
      </c>
      <c r="K35" s="9">
        <v>13137108112.379999</v>
      </c>
      <c r="L35" s="3">
        <f t="shared" si="7"/>
        <v>1.4269762639471653E-2</v>
      </c>
      <c r="M35" s="11">
        <v>100</v>
      </c>
      <c r="N35" s="11">
        <v>100</v>
      </c>
      <c r="O35" s="60">
        <v>2619</v>
      </c>
      <c r="P35" s="5">
        <v>0.10970000000000001</v>
      </c>
      <c r="Q35" s="5">
        <v>0.10970000000000001</v>
      </c>
      <c r="R35" s="80">
        <f t="shared" si="9"/>
        <v>-2.1371076385353578E-2</v>
      </c>
      <c r="S35" s="80">
        <f t="shared" si="10"/>
        <v>0</v>
      </c>
      <c r="T35" s="80">
        <f t="shared" si="11"/>
        <v>7.6423385555980129E-4</v>
      </c>
      <c r="U35" s="81">
        <f t="shared" si="12"/>
        <v>-7.9999999999999516E-4</v>
      </c>
      <c r="V35" s="83">
        <f t="shared" si="13"/>
        <v>-7.9999999999999516E-4</v>
      </c>
    </row>
    <row r="36" spans="1:22">
      <c r="A36" s="75">
        <v>28</v>
      </c>
      <c r="B36" s="125" t="s">
        <v>65</v>
      </c>
      <c r="C36" s="126" t="s">
        <v>64</v>
      </c>
      <c r="D36" s="9">
        <v>1157325622.78</v>
      </c>
      <c r="E36" s="3">
        <f t="shared" si="8"/>
        <v>1.2571078651690711E-3</v>
      </c>
      <c r="F36" s="11">
        <v>1000000</v>
      </c>
      <c r="G36" s="11">
        <v>1000000</v>
      </c>
      <c r="H36" s="60">
        <v>6</v>
      </c>
      <c r="I36" s="5">
        <v>0.11550000000000001</v>
      </c>
      <c r="J36" s="5">
        <v>0.11550000000000001</v>
      </c>
      <c r="K36" s="9">
        <v>1134260848.5699999</v>
      </c>
      <c r="L36" s="3">
        <f t="shared" si="7"/>
        <v>1.2320544934152414E-3</v>
      </c>
      <c r="M36" s="11">
        <v>1000000</v>
      </c>
      <c r="N36" s="11">
        <v>1000000</v>
      </c>
      <c r="O36" s="60">
        <v>6</v>
      </c>
      <c r="P36" s="5">
        <v>0.1159</v>
      </c>
      <c r="Q36" s="5">
        <v>0.1159</v>
      </c>
      <c r="R36" s="80">
        <f t="shared" si="9"/>
        <v>-1.9929373165174017E-2</v>
      </c>
      <c r="S36" s="80">
        <f t="shared" si="10"/>
        <v>0</v>
      </c>
      <c r="T36" s="80">
        <f t="shared" si="11"/>
        <v>0</v>
      </c>
      <c r="U36" s="81">
        <f t="shared" si="12"/>
        <v>3.9999999999999758E-4</v>
      </c>
      <c r="V36" s="83">
        <f t="shared" si="13"/>
        <v>3.9999999999999758E-4</v>
      </c>
    </row>
    <row r="37" spans="1:22">
      <c r="A37" s="75">
        <v>29</v>
      </c>
      <c r="B37" s="125" t="s">
        <v>66</v>
      </c>
      <c r="C37" s="126" t="s">
        <v>67</v>
      </c>
      <c r="D37" s="9">
        <v>3089753423.5999999</v>
      </c>
      <c r="E37" s="3">
        <f t="shared" si="8"/>
        <v>3.3561456290154019E-3</v>
      </c>
      <c r="F37" s="8">
        <v>1</v>
      </c>
      <c r="G37" s="8">
        <v>1</v>
      </c>
      <c r="H37" s="60">
        <v>453</v>
      </c>
      <c r="I37" s="5">
        <v>0.14860000000000001</v>
      </c>
      <c r="J37" s="5">
        <v>0.14860000000000001</v>
      </c>
      <c r="K37" s="9">
        <v>3096703668.1199999</v>
      </c>
      <c r="L37" s="3">
        <f t="shared" si="7"/>
        <v>3.3636951093681763E-3</v>
      </c>
      <c r="M37" s="8">
        <v>1</v>
      </c>
      <c r="N37" s="8">
        <v>1</v>
      </c>
      <c r="O37" s="60">
        <v>462</v>
      </c>
      <c r="P37" s="5">
        <v>0.15640000000000001</v>
      </c>
      <c r="Q37" s="5">
        <v>0.15640000000000001</v>
      </c>
      <c r="R37" s="80">
        <f t="shared" si="9"/>
        <v>2.2494495731966734E-3</v>
      </c>
      <c r="S37" s="80">
        <f t="shared" si="10"/>
        <v>0</v>
      </c>
      <c r="T37" s="80">
        <f t="shared" si="11"/>
        <v>1.9867549668874173E-2</v>
      </c>
      <c r="U37" s="81">
        <f t="shared" si="12"/>
        <v>7.8000000000000014E-3</v>
      </c>
      <c r="V37" s="83">
        <f t="shared" si="13"/>
        <v>7.8000000000000014E-3</v>
      </c>
    </row>
    <row r="38" spans="1:22">
      <c r="A38" s="75">
        <v>30</v>
      </c>
      <c r="B38" s="125" t="s">
        <v>68</v>
      </c>
      <c r="C38" s="126" t="s">
        <v>27</v>
      </c>
      <c r="D38" s="9">
        <v>209016266006.04001</v>
      </c>
      <c r="E38" s="3">
        <f t="shared" si="8"/>
        <v>0.22703721992545209</v>
      </c>
      <c r="F38" s="8">
        <v>100</v>
      </c>
      <c r="G38" s="8">
        <v>100</v>
      </c>
      <c r="H38" s="60">
        <v>15277</v>
      </c>
      <c r="I38" s="5">
        <v>0.13400000000000001</v>
      </c>
      <c r="J38" s="5">
        <v>0.13400000000000001</v>
      </c>
      <c r="K38" s="9">
        <v>205288279518.70001</v>
      </c>
      <c r="L38" s="3">
        <f t="shared" si="7"/>
        <v>0.22298781408647844</v>
      </c>
      <c r="M38" s="8">
        <v>100</v>
      </c>
      <c r="N38" s="8">
        <v>100</v>
      </c>
      <c r="O38" s="60">
        <v>15298</v>
      </c>
      <c r="P38" s="5">
        <v>0.14050000000000001</v>
      </c>
      <c r="Q38" s="5">
        <v>0.14050000000000001</v>
      </c>
      <c r="R38" s="80">
        <f t="shared" si="9"/>
        <v>-1.7835867794290552E-2</v>
      </c>
      <c r="S38" s="80">
        <f t="shared" si="10"/>
        <v>0</v>
      </c>
      <c r="T38" s="80">
        <f t="shared" si="11"/>
        <v>1.3746154349675984E-3</v>
      </c>
      <c r="U38" s="81">
        <f t="shared" si="12"/>
        <v>6.5000000000000058E-3</v>
      </c>
      <c r="V38" s="83">
        <f t="shared" si="13"/>
        <v>6.5000000000000058E-3</v>
      </c>
    </row>
    <row r="39" spans="1:22">
      <c r="A39" s="75">
        <v>31</v>
      </c>
      <c r="B39" s="125" t="s">
        <v>69</v>
      </c>
      <c r="C39" s="126" t="s">
        <v>70</v>
      </c>
      <c r="D39" s="9">
        <v>286060625.35000002</v>
      </c>
      <c r="E39" s="3">
        <f t="shared" si="8"/>
        <v>3.1072418597183978E-4</v>
      </c>
      <c r="F39" s="8">
        <v>1</v>
      </c>
      <c r="G39" s="8">
        <v>1</v>
      </c>
      <c r="H39" s="61">
        <v>455</v>
      </c>
      <c r="I39" s="12">
        <v>0.1101</v>
      </c>
      <c r="J39" s="12">
        <v>0.1101</v>
      </c>
      <c r="K39" s="9">
        <v>286620695.30000001</v>
      </c>
      <c r="L39" s="3">
        <f t="shared" si="7"/>
        <v>3.1133254400464531E-4</v>
      </c>
      <c r="M39" s="8">
        <v>1</v>
      </c>
      <c r="N39" s="8">
        <v>1</v>
      </c>
      <c r="O39" s="61">
        <v>460</v>
      </c>
      <c r="P39" s="12">
        <v>0.1043</v>
      </c>
      <c r="Q39" s="12">
        <v>0.1043</v>
      </c>
      <c r="R39" s="80">
        <f t="shared" si="9"/>
        <v>1.9578715152242048E-3</v>
      </c>
      <c r="S39" s="80">
        <f t="shared" si="10"/>
        <v>0</v>
      </c>
      <c r="T39" s="80">
        <f t="shared" si="11"/>
        <v>1.098901098901099E-2</v>
      </c>
      <c r="U39" s="81">
        <f t="shared" si="12"/>
        <v>-5.7999999999999996E-3</v>
      </c>
      <c r="V39" s="83">
        <f t="shared" si="13"/>
        <v>-5.7999999999999996E-3</v>
      </c>
    </row>
    <row r="40" spans="1:22">
      <c r="A40" s="75">
        <v>32</v>
      </c>
      <c r="B40" s="125" t="s">
        <v>71</v>
      </c>
      <c r="C40" s="126" t="s">
        <v>72</v>
      </c>
      <c r="D40" s="9">
        <v>686252255.61000001</v>
      </c>
      <c r="E40" s="3">
        <f t="shared" si="8"/>
        <v>7.4541951809991094E-4</v>
      </c>
      <c r="F40" s="8">
        <v>10</v>
      </c>
      <c r="G40" s="8">
        <v>10</v>
      </c>
      <c r="H40" s="60">
        <v>356</v>
      </c>
      <c r="I40" s="5">
        <v>0.10440000000000001</v>
      </c>
      <c r="J40" s="5">
        <v>0.10440000000000001</v>
      </c>
      <c r="K40" s="9">
        <v>654905184.17999995</v>
      </c>
      <c r="L40" s="3">
        <f t="shared" si="7"/>
        <v>7.1136976644055382E-4</v>
      </c>
      <c r="M40" s="8">
        <v>10</v>
      </c>
      <c r="N40" s="8">
        <v>10</v>
      </c>
      <c r="O40" s="60">
        <v>356</v>
      </c>
      <c r="P40" s="5">
        <v>0.105</v>
      </c>
      <c r="Q40" s="5">
        <v>0.105</v>
      </c>
      <c r="R40" s="80">
        <f t="shared" si="9"/>
        <v>-4.5678642472564396E-2</v>
      </c>
      <c r="S40" s="80">
        <f t="shared" si="10"/>
        <v>0</v>
      </c>
      <c r="T40" s="80">
        <f t="shared" si="11"/>
        <v>0</v>
      </c>
      <c r="U40" s="81">
        <f t="shared" si="12"/>
        <v>5.9999999999998943E-4</v>
      </c>
      <c r="V40" s="83">
        <f t="shared" si="13"/>
        <v>5.9999999999998943E-4</v>
      </c>
    </row>
    <row r="41" spans="1:22">
      <c r="A41" s="75">
        <v>33</v>
      </c>
      <c r="B41" s="125" t="s">
        <v>73</v>
      </c>
      <c r="C41" s="126" t="s">
        <v>74</v>
      </c>
      <c r="D41" s="9">
        <v>3282981162.1764174</v>
      </c>
      <c r="E41" s="3">
        <f t="shared" si="8"/>
        <v>3.56603306704668E-3</v>
      </c>
      <c r="F41" s="8">
        <v>100</v>
      </c>
      <c r="G41" s="8">
        <v>100</v>
      </c>
      <c r="H41" s="60">
        <v>1417</v>
      </c>
      <c r="I41" s="5">
        <v>0.11048380576075248</v>
      </c>
      <c r="J41" s="5">
        <v>0.11048380576075248</v>
      </c>
      <c r="K41" s="9">
        <v>3523696218.4404469</v>
      </c>
      <c r="L41" s="3">
        <f t="shared" si="7"/>
        <v>3.827502081935716E-3</v>
      </c>
      <c r="M41" s="8">
        <v>100</v>
      </c>
      <c r="N41" s="8">
        <v>100</v>
      </c>
      <c r="O41" s="60">
        <v>1417</v>
      </c>
      <c r="P41" s="5">
        <v>0.11883831956454431</v>
      </c>
      <c r="Q41" s="5">
        <v>0.11883831956454431</v>
      </c>
      <c r="R41" s="80">
        <f t="shared" si="9"/>
        <v>7.3322094880510988E-2</v>
      </c>
      <c r="S41" s="80">
        <f t="shared" si="10"/>
        <v>0</v>
      </c>
      <c r="T41" s="80">
        <f t="shared" si="11"/>
        <v>0</v>
      </c>
      <c r="U41" s="81">
        <f t="shared" si="12"/>
        <v>8.3545138037918326E-3</v>
      </c>
      <c r="V41" s="83">
        <f t="shared" si="13"/>
        <v>8.3545138037918326E-3</v>
      </c>
    </row>
    <row r="42" spans="1:22" ht="15.75" customHeight="1">
      <c r="A42" s="75">
        <v>34</v>
      </c>
      <c r="B42" s="125" t="s">
        <v>239</v>
      </c>
      <c r="C42" s="126" t="s">
        <v>32</v>
      </c>
      <c r="D42" s="9">
        <v>20493319982.948299</v>
      </c>
      <c r="E42" s="3">
        <f t="shared" si="8"/>
        <v>2.2260212015445934E-2</v>
      </c>
      <c r="F42" s="8">
        <v>1</v>
      </c>
      <c r="G42" s="8">
        <v>1</v>
      </c>
      <c r="H42" s="60">
        <v>11534</v>
      </c>
      <c r="I42" s="5">
        <v>0.11906740509561203</v>
      </c>
      <c r="J42" s="5">
        <v>0.11906740509561203</v>
      </c>
      <c r="K42" s="9">
        <v>20291362090.650799</v>
      </c>
      <c r="L42" s="3">
        <f t="shared" si="7"/>
        <v>2.2040841727738739E-2</v>
      </c>
      <c r="M42" s="8">
        <v>1</v>
      </c>
      <c r="N42" s="8">
        <v>1</v>
      </c>
      <c r="O42" s="60">
        <v>11617</v>
      </c>
      <c r="P42" s="5">
        <v>0.1205452747197075</v>
      </c>
      <c r="Q42" s="5">
        <v>0.1205452747197075</v>
      </c>
      <c r="R42" s="80">
        <f t="shared" si="9"/>
        <v>-9.8548157382767638E-3</v>
      </c>
      <c r="S42" s="80">
        <f t="shared" si="10"/>
        <v>0</v>
      </c>
      <c r="T42" s="80">
        <f t="shared" si="11"/>
        <v>7.1961158314548289E-3</v>
      </c>
      <c r="U42" s="81">
        <f t="shared" si="12"/>
        <v>1.4778696240954625E-3</v>
      </c>
      <c r="V42" s="83">
        <f t="shared" si="13"/>
        <v>1.4778696240954625E-3</v>
      </c>
    </row>
    <row r="43" spans="1:22">
      <c r="A43" s="75">
        <v>35</v>
      </c>
      <c r="B43" s="125" t="s">
        <v>75</v>
      </c>
      <c r="C43" s="126" t="s">
        <v>34</v>
      </c>
      <c r="D43" s="9">
        <v>3428875022.1399999</v>
      </c>
      <c r="E43" s="3">
        <f t="shared" si="8"/>
        <v>3.7245055964974156E-3</v>
      </c>
      <c r="F43" s="8">
        <v>1</v>
      </c>
      <c r="G43" s="8">
        <v>1</v>
      </c>
      <c r="H43" s="60">
        <v>845</v>
      </c>
      <c r="I43" s="5">
        <v>8.4900000000000003E-2</v>
      </c>
      <c r="J43" s="5">
        <v>8.4900000000000003E-2</v>
      </c>
      <c r="K43" s="9">
        <v>3373725594.75</v>
      </c>
      <c r="L43" s="3">
        <f t="shared" si="7"/>
        <v>3.6646012985479715E-3</v>
      </c>
      <c r="M43" s="8">
        <v>1</v>
      </c>
      <c r="N43" s="8">
        <v>1</v>
      </c>
      <c r="O43" s="60">
        <v>841</v>
      </c>
      <c r="P43" s="5">
        <v>8.6499999999999994E-2</v>
      </c>
      <c r="Q43" s="5">
        <v>8.6499999999999994E-2</v>
      </c>
      <c r="R43" s="80">
        <f t="shared" si="9"/>
        <v>-1.6083825462842469E-2</v>
      </c>
      <c r="S43" s="80">
        <f t="shared" si="10"/>
        <v>0</v>
      </c>
      <c r="T43" s="80">
        <f t="shared" si="11"/>
        <v>-4.7337278106508876E-3</v>
      </c>
      <c r="U43" s="81">
        <f t="shared" si="12"/>
        <v>1.5999999999999903E-3</v>
      </c>
      <c r="V43" s="83">
        <f t="shared" si="13"/>
        <v>1.5999999999999903E-3</v>
      </c>
    </row>
    <row r="44" spans="1:22">
      <c r="A44" s="75">
        <v>36</v>
      </c>
      <c r="B44" s="125" t="s">
        <v>76</v>
      </c>
      <c r="C44" s="126" t="s">
        <v>36</v>
      </c>
      <c r="D44" s="13">
        <v>3860175250.5700002</v>
      </c>
      <c r="E44" s="3">
        <f t="shared" si="8"/>
        <v>4.1929916463492971E-3</v>
      </c>
      <c r="F44" s="8">
        <v>10</v>
      </c>
      <c r="G44" s="8">
        <v>10</v>
      </c>
      <c r="H44" s="60">
        <v>1987</v>
      </c>
      <c r="I44" s="5">
        <v>0.1449</v>
      </c>
      <c r="J44" s="5">
        <v>0.1449</v>
      </c>
      <c r="K44" s="13">
        <v>3887864844.8600001</v>
      </c>
      <c r="L44" s="3">
        <f t="shared" si="7"/>
        <v>4.2230685806883862E-3</v>
      </c>
      <c r="M44" s="8">
        <v>10</v>
      </c>
      <c r="N44" s="8">
        <v>10</v>
      </c>
      <c r="O44" s="60">
        <v>1988</v>
      </c>
      <c r="P44" s="5">
        <v>0.15260000000000001</v>
      </c>
      <c r="Q44" s="5">
        <v>0.15260000000000001</v>
      </c>
      <c r="R44" s="80">
        <f t="shared" si="9"/>
        <v>7.1731443503533342E-3</v>
      </c>
      <c r="S44" s="80">
        <f t="shared" si="10"/>
        <v>0</v>
      </c>
      <c r="T44" s="80">
        <f t="shared" si="11"/>
        <v>5.0327126321087065E-4</v>
      </c>
      <c r="U44" s="81">
        <f t="shared" si="12"/>
        <v>7.7000000000000124E-3</v>
      </c>
      <c r="V44" s="83">
        <f t="shared" si="13"/>
        <v>7.7000000000000124E-3</v>
      </c>
    </row>
    <row r="45" spans="1:22">
      <c r="A45" s="75">
        <v>37</v>
      </c>
      <c r="B45" s="125" t="s">
        <v>77</v>
      </c>
      <c r="C45" s="126" t="s">
        <v>78</v>
      </c>
      <c r="D45" s="9">
        <v>4312189763.7799997</v>
      </c>
      <c r="E45" s="3">
        <f t="shared" si="8"/>
        <v>4.6839779241454431E-3</v>
      </c>
      <c r="F45" s="8">
        <v>100</v>
      </c>
      <c r="G45" s="8">
        <v>100</v>
      </c>
      <c r="H45" s="60">
        <v>2072</v>
      </c>
      <c r="I45" s="5">
        <v>0.1178</v>
      </c>
      <c r="J45" s="5">
        <v>0.1178</v>
      </c>
      <c r="K45" s="9">
        <v>4180795713.0999999</v>
      </c>
      <c r="L45" s="3">
        <f t="shared" si="7"/>
        <v>4.5412553478064851E-3</v>
      </c>
      <c r="M45" s="8">
        <v>100</v>
      </c>
      <c r="N45" s="8">
        <v>100</v>
      </c>
      <c r="O45" s="60">
        <v>2072</v>
      </c>
      <c r="P45" s="5">
        <v>0.125</v>
      </c>
      <c r="Q45" s="5">
        <v>0.125</v>
      </c>
      <c r="R45" s="80">
        <f t="shared" si="9"/>
        <v>-3.0470377668357019E-2</v>
      </c>
      <c r="S45" s="80">
        <f t="shared" si="10"/>
        <v>0</v>
      </c>
      <c r="T45" s="80">
        <f t="shared" si="11"/>
        <v>0</v>
      </c>
      <c r="U45" s="81">
        <f t="shared" si="12"/>
        <v>7.1999999999999981E-3</v>
      </c>
      <c r="V45" s="83">
        <f t="shared" si="13"/>
        <v>7.1999999999999981E-3</v>
      </c>
    </row>
    <row r="46" spans="1:22">
      <c r="A46" s="75">
        <v>38</v>
      </c>
      <c r="B46" s="125" t="s">
        <v>79</v>
      </c>
      <c r="C46" s="126" t="s">
        <v>80</v>
      </c>
      <c r="D46" s="9">
        <v>151294235.61000001</v>
      </c>
      <c r="E46" s="3">
        <f t="shared" si="8"/>
        <v>1.6433851441326644E-4</v>
      </c>
      <c r="F46" s="8">
        <v>1</v>
      </c>
      <c r="G46" s="8">
        <v>1</v>
      </c>
      <c r="H46" s="60">
        <v>61</v>
      </c>
      <c r="I46" s="5">
        <v>6.6900000000000001E-2</v>
      </c>
      <c r="J46" s="5">
        <v>6.6900000000000001E-2</v>
      </c>
      <c r="K46" s="9">
        <v>151294235.63999999</v>
      </c>
      <c r="L46" s="3">
        <f t="shared" si="7"/>
        <v>1.6433851444585295E-4</v>
      </c>
      <c r="M46" s="8">
        <v>1</v>
      </c>
      <c r="N46" s="8">
        <v>1</v>
      </c>
      <c r="O46" s="60">
        <v>61</v>
      </c>
      <c r="P46" s="5">
        <v>7.9000000000000001E-2</v>
      </c>
      <c r="Q46" s="5">
        <v>7.9000000000000001E-2</v>
      </c>
      <c r="R46" s="80">
        <f t="shared" si="9"/>
        <v>1.9828892534348227E-10</v>
      </c>
      <c r="S46" s="80">
        <f t="shared" si="10"/>
        <v>0</v>
      </c>
      <c r="T46" s="80">
        <f t="shared" si="11"/>
        <v>0</v>
      </c>
      <c r="U46" s="81">
        <f t="shared" si="12"/>
        <v>1.21E-2</v>
      </c>
      <c r="V46" s="83">
        <f t="shared" si="13"/>
        <v>1.21E-2</v>
      </c>
    </row>
    <row r="47" spans="1:22">
      <c r="A47" s="75">
        <v>39</v>
      </c>
      <c r="B47" s="125" t="s">
        <v>81</v>
      </c>
      <c r="C47" s="126" t="s">
        <v>38</v>
      </c>
      <c r="D47" s="13">
        <v>682917864.13</v>
      </c>
      <c r="E47" s="3">
        <f t="shared" si="8"/>
        <v>7.4179764222284184E-4</v>
      </c>
      <c r="F47" s="8">
        <v>10</v>
      </c>
      <c r="G47" s="8">
        <v>10</v>
      </c>
      <c r="H47" s="60">
        <v>654</v>
      </c>
      <c r="I47" s="5">
        <v>0</v>
      </c>
      <c r="J47" s="5">
        <v>0</v>
      </c>
      <c r="K47" s="13">
        <v>680560731.59000003</v>
      </c>
      <c r="L47" s="3">
        <f t="shared" si="7"/>
        <v>7.3923728254795444E-4</v>
      </c>
      <c r="M47" s="8">
        <v>10</v>
      </c>
      <c r="N47" s="8">
        <v>10</v>
      </c>
      <c r="O47" s="60">
        <v>654</v>
      </c>
      <c r="P47" s="5">
        <v>0</v>
      </c>
      <c r="Q47" s="5">
        <v>0</v>
      </c>
      <c r="R47" s="80">
        <f t="shared" si="9"/>
        <v>-3.4515608154471397E-3</v>
      </c>
      <c r="S47" s="80">
        <f t="shared" si="10"/>
        <v>0</v>
      </c>
      <c r="T47" s="80">
        <f t="shared" si="11"/>
        <v>0</v>
      </c>
      <c r="U47" s="81">
        <f t="shared" si="12"/>
        <v>0</v>
      </c>
      <c r="V47" s="83">
        <f t="shared" si="13"/>
        <v>0</v>
      </c>
    </row>
    <row r="48" spans="1:22">
      <c r="A48" s="75">
        <v>40</v>
      </c>
      <c r="B48" s="125" t="s">
        <v>247</v>
      </c>
      <c r="C48" s="126" t="s">
        <v>248</v>
      </c>
      <c r="D48" s="13">
        <v>600494109.63</v>
      </c>
      <c r="E48" s="3">
        <f t="shared" si="8"/>
        <v>6.5226748059916614E-4</v>
      </c>
      <c r="F48" s="8">
        <v>1</v>
      </c>
      <c r="G48" s="8">
        <v>1</v>
      </c>
      <c r="H48" s="60">
        <v>38</v>
      </c>
      <c r="I48" s="5">
        <v>0.1263</v>
      </c>
      <c r="J48" s="5">
        <v>0.1263</v>
      </c>
      <c r="K48" s="13">
        <v>601413027.23000002</v>
      </c>
      <c r="L48" s="3">
        <f t="shared" si="7"/>
        <v>6.5326562539062718E-4</v>
      </c>
      <c r="M48" s="8">
        <v>1</v>
      </c>
      <c r="N48" s="8">
        <v>1</v>
      </c>
      <c r="O48" s="60">
        <v>38</v>
      </c>
      <c r="P48" s="5">
        <v>0.14549999999999999</v>
      </c>
      <c r="Q48" s="5">
        <v>0.14549999999999999</v>
      </c>
      <c r="R48" s="80">
        <f t="shared" si="9"/>
        <v>1.5302691321422343E-3</v>
      </c>
      <c r="S48" s="80">
        <f t="shared" si="10"/>
        <v>0</v>
      </c>
      <c r="T48" s="80">
        <f t="shared" si="11"/>
        <v>0</v>
      </c>
      <c r="U48" s="81">
        <f t="shared" si="12"/>
        <v>1.9199999999999995E-2</v>
      </c>
      <c r="V48" s="83">
        <f t="shared" si="13"/>
        <v>1.9199999999999995E-2</v>
      </c>
    </row>
    <row r="49" spans="1:22">
      <c r="A49" s="75">
        <v>41</v>
      </c>
      <c r="B49" s="125" t="s">
        <v>82</v>
      </c>
      <c r="C49" s="126" t="s">
        <v>42</v>
      </c>
      <c r="D49" s="9">
        <v>440836352593.70001</v>
      </c>
      <c r="E49" s="3">
        <f t="shared" si="8"/>
        <v>0.4788443590895351</v>
      </c>
      <c r="F49" s="8">
        <v>100</v>
      </c>
      <c r="G49" s="8">
        <v>100</v>
      </c>
      <c r="H49" s="60">
        <v>115135</v>
      </c>
      <c r="I49" s="5">
        <v>0.12839999999999999</v>
      </c>
      <c r="J49" s="5">
        <v>0.12839999999999999</v>
      </c>
      <c r="K49" s="9">
        <v>414605437225.20001</v>
      </c>
      <c r="L49" s="3">
        <f t="shared" si="7"/>
        <v>0.45035186797790094</v>
      </c>
      <c r="M49" s="8">
        <v>100</v>
      </c>
      <c r="N49" s="8">
        <v>100</v>
      </c>
      <c r="O49" s="60">
        <v>115643</v>
      </c>
      <c r="P49" s="5">
        <v>0.1353</v>
      </c>
      <c r="Q49" s="5">
        <v>0.1353</v>
      </c>
      <c r="R49" s="80">
        <f t="shared" si="9"/>
        <v>-5.9502614097426562E-2</v>
      </c>
      <c r="S49" s="80">
        <f t="shared" si="10"/>
        <v>0</v>
      </c>
      <c r="T49" s="80">
        <f t="shared" si="11"/>
        <v>4.4122117514222431E-3</v>
      </c>
      <c r="U49" s="81">
        <f t="shared" si="12"/>
        <v>6.9000000000000172E-3</v>
      </c>
      <c r="V49" s="83">
        <f t="shared" si="13"/>
        <v>6.9000000000000172E-3</v>
      </c>
    </row>
    <row r="50" spans="1:22">
      <c r="A50" s="75">
        <v>42</v>
      </c>
      <c r="B50" s="125" t="s">
        <v>83</v>
      </c>
      <c r="C50" s="126" t="s">
        <v>84</v>
      </c>
      <c r="D50" s="9">
        <v>2957623517.2199998</v>
      </c>
      <c r="E50" s="3">
        <f t="shared" si="8"/>
        <v>3.2126237530066774E-3</v>
      </c>
      <c r="F50" s="8">
        <v>1</v>
      </c>
      <c r="G50" s="8">
        <v>1</v>
      </c>
      <c r="H50" s="60">
        <v>324</v>
      </c>
      <c r="I50" s="5">
        <v>0.14746806496928397</v>
      </c>
      <c r="J50" s="5">
        <v>0.14746806496928397</v>
      </c>
      <c r="K50" s="9">
        <v>2973296132.6100001</v>
      </c>
      <c r="L50" s="3">
        <f t="shared" si="7"/>
        <v>3.2296476291628217E-3</v>
      </c>
      <c r="M50" s="8">
        <v>1</v>
      </c>
      <c r="N50" s="8">
        <v>1</v>
      </c>
      <c r="O50" s="60">
        <v>326</v>
      </c>
      <c r="P50" s="5">
        <v>0.15366395715631156</v>
      </c>
      <c r="Q50" s="5">
        <v>0.15366395715631156</v>
      </c>
      <c r="R50" s="80">
        <f t="shared" si="9"/>
        <v>5.2990569282231441E-3</v>
      </c>
      <c r="S50" s="80">
        <f t="shared" si="10"/>
        <v>0</v>
      </c>
      <c r="T50" s="80">
        <f t="shared" si="11"/>
        <v>6.1728395061728392E-3</v>
      </c>
      <c r="U50" s="81">
        <f t="shared" si="12"/>
        <v>6.1958921870275963E-3</v>
      </c>
      <c r="V50" s="83">
        <f t="shared" si="13"/>
        <v>6.1958921870275963E-3</v>
      </c>
    </row>
    <row r="51" spans="1:22">
      <c r="A51" s="75">
        <v>43</v>
      </c>
      <c r="B51" s="125" t="s">
        <v>85</v>
      </c>
      <c r="C51" s="126" t="s">
        <v>45</v>
      </c>
      <c r="D51" s="9">
        <v>43086695255.650002</v>
      </c>
      <c r="E51" s="3">
        <f t="shared" si="8"/>
        <v>4.6801541782089152E-2</v>
      </c>
      <c r="F51" s="8">
        <v>1</v>
      </c>
      <c r="G51" s="8">
        <v>1</v>
      </c>
      <c r="H51" s="60">
        <v>19990</v>
      </c>
      <c r="I51" s="5">
        <v>0.1135</v>
      </c>
      <c r="J51" s="5">
        <v>0.1135</v>
      </c>
      <c r="K51" s="9">
        <v>37052538725.089996</v>
      </c>
      <c r="L51" s="3">
        <f t="shared" si="7"/>
        <v>4.0247132646994539E-2</v>
      </c>
      <c r="M51" s="8">
        <v>1</v>
      </c>
      <c r="N51" s="8">
        <v>1</v>
      </c>
      <c r="O51" s="60">
        <v>20190</v>
      </c>
      <c r="P51" s="5">
        <v>0.12939999999999999</v>
      </c>
      <c r="Q51" s="5">
        <v>0.12939999999999999</v>
      </c>
      <c r="R51" s="80">
        <f t="shared" si="9"/>
        <v>-0.14004686353309356</v>
      </c>
      <c r="S51" s="80">
        <f t="shared" si="10"/>
        <v>0</v>
      </c>
      <c r="T51" s="80">
        <f t="shared" si="11"/>
        <v>1.0005002501250625E-2</v>
      </c>
      <c r="U51" s="81">
        <f t="shared" si="12"/>
        <v>1.5899999999999984E-2</v>
      </c>
      <c r="V51" s="83">
        <f t="shared" si="13"/>
        <v>1.5899999999999984E-2</v>
      </c>
    </row>
    <row r="52" spans="1:22">
      <c r="A52" s="75">
        <v>44</v>
      </c>
      <c r="B52" s="125" t="s">
        <v>86</v>
      </c>
      <c r="C52" s="126" t="s">
        <v>87</v>
      </c>
      <c r="D52" s="9">
        <v>1367641363.4299998</v>
      </c>
      <c r="E52" s="3">
        <f t="shared" si="8"/>
        <v>1.4855565977780372E-3</v>
      </c>
      <c r="F52" s="8">
        <v>1</v>
      </c>
      <c r="G52" s="8">
        <v>1</v>
      </c>
      <c r="H52" s="60">
        <v>77</v>
      </c>
      <c r="I52" s="5">
        <v>0.1046</v>
      </c>
      <c r="J52" s="5">
        <v>0.1046</v>
      </c>
      <c r="K52" s="9">
        <v>1370390433.5699997</v>
      </c>
      <c r="L52" s="3">
        <f t="shared" si="7"/>
        <v>1.4885426871092265E-3</v>
      </c>
      <c r="M52" s="8">
        <v>1</v>
      </c>
      <c r="N52" s="8">
        <v>1</v>
      </c>
      <c r="O52" s="60">
        <v>77</v>
      </c>
      <c r="P52" s="5">
        <v>0.1152</v>
      </c>
      <c r="Q52" s="5">
        <v>0.1152</v>
      </c>
      <c r="R52" s="80">
        <f t="shared" si="9"/>
        <v>2.0100811612667876E-3</v>
      </c>
      <c r="S52" s="80">
        <f t="shared" si="10"/>
        <v>0</v>
      </c>
      <c r="T52" s="80">
        <f t="shared" si="11"/>
        <v>0</v>
      </c>
      <c r="U52" s="81">
        <f t="shared" si="12"/>
        <v>1.0599999999999998E-2</v>
      </c>
      <c r="V52" s="83">
        <f t="shared" si="13"/>
        <v>1.0599999999999998E-2</v>
      </c>
    </row>
    <row r="53" spans="1:22">
      <c r="A53" s="75">
        <v>45</v>
      </c>
      <c r="B53" s="125" t="s">
        <v>88</v>
      </c>
      <c r="C53" s="126" t="s">
        <v>89</v>
      </c>
      <c r="D53" s="9">
        <v>1020696373.04</v>
      </c>
      <c r="E53" s="3">
        <f t="shared" si="8"/>
        <v>1.1086987216406268E-3</v>
      </c>
      <c r="F53" s="8">
        <v>1</v>
      </c>
      <c r="G53" s="8">
        <v>1</v>
      </c>
      <c r="H53" s="60">
        <v>208</v>
      </c>
      <c r="I53" s="5">
        <v>0.1096</v>
      </c>
      <c r="J53" s="5">
        <v>0.1096</v>
      </c>
      <c r="K53" s="9">
        <v>968736237.37</v>
      </c>
      <c r="L53" s="3">
        <f t="shared" si="7"/>
        <v>1.0522586896044349E-3</v>
      </c>
      <c r="M53" s="8">
        <v>1</v>
      </c>
      <c r="N53" s="8">
        <v>1</v>
      </c>
      <c r="O53" s="60">
        <v>208</v>
      </c>
      <c r="P53" s="5">
        <v>0.1104</v>
      </c>
      <c r="Q53" s="5">
        <v>0.1104</v>
      </c>
      <c r="R53" s="80">
        <f t="shared" si="9"/>
        <v>-5.090655462529374E-2</v>
      </c>
      <c r="S53" s="80">
        <f t="shared" si="10"/>
        <v>0</v>
      </c>
      <c r="T53" s="80">
        <f t="shared" si="11"/>
        <v>0</v>
      </c>
      <c r="U53" s="81">
        <f t="shared" si="12"/>
        <v>7.9999999999999516E-4</v>
      </c>
      <c r="V53" s="83">
        <f t="shared" si="13"/>
        <v>7.9999999999999516E-4</v>
      </c>
    </row>
    <row r="54" spans="1:22">
      <c r="A54" s="75">
        <v>46</v>
      </c>
      <c r="B54" s="125" t="s">
        <v>90</v>
      </c>
      <c r="C54" s="126" t="s">
        <v>91</v>
      </c>
      <c r="D54" s="9">
        <v>29585333527.790001</v>
      </c>
      <c r="E54" s="3">
        <f t="shared" si="8"/>
        <v>3.2136120327221844E-2</v>
      </c>
      <c r="F54" s="8">
        <v>1</v>
      </c>
      <c r="G54" s="8">
        <v>1</v>
      </c>
      <c r="H54" s="60">
        <v>3298</v>
      </c>
      <c r="I54" s="5">
        <v>0.13009999999999999</v>
      </c>
      <c r="J54" s="5">
        <v>0.13009999999999999</v>
      </c>
      <c r="K54" s="9">
        <v>28859204141.209999</v>
      </c>
      <c r="L54" s="3">
        <f t="shared" si="7"/>
        <v>3.134738555367779E-2</v>
      </c>
      <c r="M54" s="8">
        <v>1</v>
      </c>
      <c r="N54" s="8">
        <v>1</v>
      </c>
      <c r="O54" s="60">
        <v>3320</v>
      </c>
      <c r="P54" s="5">
        <v>0.13700000000000001</v>
      </c>
      <c r="Q54" s="5">
        <v>0.13700000000000001</v>
      </c>
      <c r="R54" s="80">
        <f t="shared" si="9"/>
        <v>-2.4543559257087174E-2</v>
      </c>
      <c r="S54" s="80">
        <f t="shared" si="10"/>
        <v>0</v>
      </c>
      <c r="T54" s="80">
        <f t="shared" si="11"/>
        <v>6.6707095209217705E-3</v>
      </c>
      <c r="U54" s="81">
        <f t="shared" si="12"/>
        <v>6.9000000000000172E-3</v>
      </c>
      <c r="V54" s="83">
        <f t="shared" si="13"/>
        <v>6.9000000000000172E-3</v>
      </c>
    </row>
    <row r="55" spans="1:22">
      <c r="A55" s="75"/>
      <c r="B55" s="19"/>
      <c r="C55" s="71" t="s">
        <v>46</v>
      </c>
      <c r="D55" s="59">
        <f>SUM(D25:D54)</f>
        <v>959419740927.82495</v>
      </c>
      <c r="E55" s="100">
        <f>(D55/$D$183)</f>
        <v>0.33757104073702432</v>
      </c>
      <c r="F55" s="30"/>
      <c r="G55" s="11"/>
      <c r="H55" s="65">
        <f>SUM(H25:H54)</f>
        <v>276096</v>
      </c>
      <c r="I55" s="32"/>
      <c r="J55" s="32"/>
      <c r="K55" s="59">
        <f>SUM(K25:K54)</f>
        <v>920625552385.95117</v>
      </c>
      <c r="L55" s="100">
        <f>(K55/$K$183)</f>
        <v>0.31859134443628534</v>
      </c>
      <c r="M55" s="30"/>
      <c r="N55" s="11"/>
      <c r="O55" s="65">
        <f>SUM(O25:O54)</f>
        <v>277215</v>
      </c>
      <c r="P55" s="32"/>
      <c r="Q55" s="32"/>
      <c r="R55" s="80">
        <f t="shared" si="9"/>
        <v>-4.0435053488014669E-2</v>
      </c>
      <c r="S55" s="80" t="e">
        <f t="shared" si="10"/>
        <v>#DIV/0!</v>
      </c>
      <c r="T55" s="80">
        <f t="shared" si="11"/>
        <v>4.0529381084840055E-3</v>
      </c>
      <c r="U55" s="81">
        <f t="shared" si="12"/>
        <v>0</v>
      </c>
      <c r="V55" s="83">
        <f t="shared" si="13"/>
        <v>0</v>
      </c>
    </row>
    <row r="56" spans="1:22" ht="9" customHeight="1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</row>
    <row r="57" spans="1:22" ht="15" customHeight="1">
      <c r="A57" s="140" t="s">
        <v>92</v>
      </c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</row>
    <row r="58" spans="1:22">
      <c r="A58" s="75">
        <v>47</v>
      </c>
      <c r="B58" s="125" t="s">
        <v>93</v>
      </c>
      <c r="C58" s="126" t="s">
        <v>19</v>
      </c>
      <c r="D58" s="2">
        <v>438737296.27999997</v>
      </c>
      <c r="E58" s="3">
        <f>(D58/$D$91)</f>
        <v>1.5542921110059068E-3</v>
      </c>
      <c r="F58" s="14">
        <v>1.1942999999999999</v>
      </c>
      <c r="G58" s="14">
        <v>1.1942999999999999</v>
      </c>
      <c r="H58" s="60">
        <v>397</v>
      </c>
      <c r="I58" s="5">
        <v>3.3500000000000001E-4</v>
      </c>
      <c r="J58" s="5">
        <v>-6.7000000000000004E-2</v>
      </c>
      <c r="K58" s="2">
        <v>432424010.11000001</v>
      </c>
      <c r="L58" s="3">
        <f t="shared" ref="L58:L78" si="14">(K58/$K$91)</f>
        <v>1.5492098673094033E-3</v>
      </c>
      <c r="M58" s="14">
        <v>1.1766000000000001</v>
      </c>
      <c r="N58" s="14">
        <v>1.1766000000000001</v>
      </c>
      <c r="O58" s="60">
        <v>399</v>
      </c>
      <c r="P58" s="5" t="s">
        <v>265</v>
      </c>
      <c r="Q58" s="5">
        <v>-8.09E-2</v>
      </c>
      <c r="R58" s="80">
        <f>((K58-D58)/D58)</f>
        <v>-1.4389672871509992E-2</v>
      </c>
      <c r="S58" s="80">
        <f>((N58-G58)/G58)</f>
        <v>-1.4820396885204579E-2</v>
      </c>
      <c r="T58" s="80">
        <f>((O58-H58)/H58)</f>
        <v>5.0377833753148613E-3</v>
      </c>
      <c r="U58" s="81" t="e">
        <f>P58-I58</f>
        <v>#VALUE!</v>
      </c>
      <c r="V58" s="83">
        <f>Q58-J58</f>
        <v>-1.3899999999999996E-2</v>
      </c>
    </row>
    <row r="59" spans="1:22">
      <c r="A59" s="75">
        <v>48</v>
      </c>
      <c r="B59" s="125" t="s">
        <v>94</v>
      </c>
      <c r="C59" s="126" t="s">
        <v>21</v>
      </c>
      <c r="D59" s="2">
        <v>1371841959.73</v>
      </c>
      <c r="E59" s="3">
        <f>(D59/$D$91)</f>
        <v>4.8599541311720052E-3</v>
      </c>
      <c r="F59" s="14">
        <v>1.1012999999999999</v>
      </c>
      <c r="G59" s="14">
        <v>1.1012999999999999</v>
      </c>
      <c r="H59" s="60">
        <v>586</v>
      </c>
      <c r="I59" s="5">
        <v>1.4200000000000001E-2</v>
      </c>
      <c r="J59" s="5">
        <v>-0.30459999999999998</v>
      </c>
      <c r="K59" s="2">
        <v>1374215065.53</v>
      </c>
      <c r="L59" s="3">
        <f t="shared" si="14"/>
        <v>4.9232870736820381E-3</v>
      </c>
      <c r="M59" s="14">
        <v>1.1011</v>
      </c>
      <c r="N59" s="14">
        <v>1.1011</v>
      </c>
      <c r="O59" s="60" t="s">
        <v>266</v>
      </c>
      <c r="P59" s="5">
        <v>-9.4999999999999998E-3</v>
      </c>
      <c r="Q59" s="5">
        <v>-0.2742</v>
      </c>
      <c r="R59" s="80">
        <f t="shared" ref="R59:R91" si="15">((K59-D59)/D59)</f>
        <v>1.7298682134398459E-3</v>
      </c>
      <c r="S59" s="80">
        <f t="shared" ref="S59:S91" si="16">((N59-G59)/G59)</f>
        <v>-1.8160355942974484E-4</v>
      </c>
      <c r="T59" s="80" t="e">
        <f t="shared" ref="T59:T91" si="17">((O59-H59)/H59)</f>
        <v>#VALUE!</v>
      </c>
      <c r="U59" s="81">
        <f t="shared" ref="U59:U91" si="18">P59-I59</f>
        <v>-2.3699999999999999E-2</v>
      </c>
      <c r="V59" s="83">
        <f t="shared" ref="V59:V91" si="19">Q59-J59</f>
        <v>3.0399999999999983E-2</v>
      </c>
    </row>
    <row r="60" spans="1:22">
      <c r="A60" s="75">
        <v>49</v>
      </c>
      <c r="B60" s="125" t="s">
        <v>95</v>
      </c>
      <c r="C60" s="126" t="s">
        <v>21</v>
      </c>
      <c r="D60" s="2">
        <v>1018879640.78</v>
      </c>
      <c r="E60" s="3">
        <f>(D60/$D$91)</f>
        <v>3.6095326318422156E-3</v>
      </c>
      <c r="F60" s="14">
        <v>1.0178</v>
      </c>
      <c r="G60" s="14">
        <v>1.0178</v>
      </c>
      <c r="H60" s="60">
        <v>144</v>
      </c>
      <c r="I60" s="5">
        <v>9.2600000000000002E-2</v>
      </c>
      <c r="J60" s="5">
        <v>-0.29380000000000001</v>
      </c>
      <c r="K60" s="2">
        <v>1002169113.08</v>
      </c>
      <c r="L60" s="3">
        <f t="shared" si="14"/>
        <v>3.590388698123646E-3</v>
      </c>
      <c r="M60" s="14">
        <v>1.0195000000000001</v>
      </c>
      <c r="N60" s="14">
        <v>1.0195000000000001</v>
      </c>
      <c r="O60" s="60" t="s">
        <v>267</v>
      </c>
      <c r="P60" s="5">
        <v>8.7300000000000003E-2</v>
      </c>
      <c r="Q60" s="5">
        <v>-0.255</v>
      </c>
      <c r="R60" s="80">
        <f t="shared" si="15"/>
        <v>-1.6400884884898905E-2</v>
      </c>
      <c r="S60" s="80">
        <f t="shared" si="16"/>
        <v>1.6702692080959273E-3</v>
      </c>
      <c r="T60" s="80" t="e">
        <f t="shared" si="17"/>
        <v>#VALUE!</v>
      </c>
      <c r="U60" s="81">
        <f t="shared" si="18"/>
        <v>-5.2999999999999992E-3</v>
      </c>
      <c r="V60" s="83">
        <f t="shared" si="19"/>
        <v>3.8800000000000001E-2</v>
      </c>
    </row>
    <row r="61" spans="1:22">
      <c r="A61" s="75">
        <v>50</v>
      </c>
      <c r="B61" s="125" t="s">
        <v>96</v>
      </c>
      <c r="C61" s="126" t="s">
        <v>97</v>
      </c>
      <c r="D61" s="2">
        <v>268569354.38</v>
      </c>
      <c r="E61" s="3">
        <f>(D61/$D$91)</f>
        <v>9.5144687335716859E-4</v>
      </c>
      <c r="F61" s="7">
        <v>1122.8399999999999</v>
      </c>
      <c r="G61" s="7">
        <v>1122.8399999999999</v>
      </c>
      <c r="H61" s="60">
        <v>116</v>
      </c>
      <c r="I61" s="5">
        <v>-7.4000000000000003E-3</v>
      </c>
      <c r="J61" s="5">
        <v>1.9599999999999999E-2</v>
      </c>
      <c r="K61" s="2">
        <v>258079856.99000001</v>
      </c>
      <c r="L61" s="3">
        <f t="shared" si="14"/>
        <v>9.2460143668017308E-4</v>
      </c>
      <c r="M61" s="7">
        <v>1097.79</v>
      </c>
      <c r="N61" s="7">
        <v>1097.79</v>
      </c>
      <c r="O61" s="60">
        <v>113</v>
      </c>
      <c r="P61" s="5">
        <v>8.9999999999999993E-3</v>
      </c>
      <c r="Q61" s="5">
        <v>-1.8499999999999999E-2</v>
      </c>
      <c r="R61" s="80">
        <f t="shared" si="15"/>
        <v>-3.9056940856916786E-2</v>
      </c>
      <c r="S61" s="80">
        <f t="shared" si="16"/>
        <v>-2.2309500908410777E-2</v>
      </c>
      <c r="T61" s="80">
        <f t="shared" si="17"/>
        <v>-2.5862068965517241E-2</v>
      </c>
      <c r="U61" s="81">
        <f t="shared" si="18"/>
        <v>1.6399999999999998E-2</v>
      </c>
      <c r="V61" s="83">
        <f t="shared" si="19"/>
        <v>-3.8099999999999995E-2</v>
      </c>
    </row>
    <row r="62" spans="1:22" ht="15" customHeight="1">
      <c r="A62" s="75">
        <v>51</v>
      </c>
      <c r="B62" s="125" t="s">
        <v>98</v>
      </c>
      <c r="C62" s="126" t="s">
        <v>99</v>
      </c>
      <c r="D62" s="2">
        <v>1651991692.55</v>
      </c>
      <c r="E62" s="3">
        <f>(D62/$K$91)</f>
        <v>5.9184545052449605E-3</v>
      </c>
      <c r="F62" s="7">
        <v>1.0319</v>
      </c>
      <c r="G62" s="7">
        <v>1.0319</v>
      </c>
      <c r="H62" s="60">
        <v>827</v>
      </c>
      <c r="I62" s="5">
        <v>3.0000000000000001E-3</v>
      </c>
      <c r="J62" s="5">
        <v>1.4800000000000001E-2</v>
      </c>
      <c r="K62" s="2">
        <v>1683955624.6900001</v>
      </c>
      <c r="L62" s="3">
        <f t="shared" si="14"/>
        <v>6.0329690509490714E-3</v>
      </c>
      <c r="M62" s="7">
        <v>1.0344</v>
      </c>
      <c r="N62" s="7">
        <v>1.0344</v>
      </c>
      <c r="O62" s="60">
        <v>829</v>
      </c>
      <c r="P62" s="5">
        <v>2.3999999999999998E-3</v>
      </c>
      <c r="Q62" s="5">
        <v>1.72E-2</v>
      </c>
      <c r="R62" s="80">
        <f t="shared" si="15"/>
        <v>1.9348724502761185E-2</v>
      </c>
      <c r="S62" s="80">
        <f t="shared" si="16"/>
        <v>2.4227153793971766E-3</v>
      </c>
      <c r="T62" s="80">
        <f t="shared" si="17"/>
        <v>2.4183796856106408E-3</v>
      </c>
      <c r="U62" s="81">
        <f t="shared" si="18"/>
        <v>-6.0000000000000027E-4</v>
      </c>
      <c r="V62" s="83">
        <v>7.87</v>
      </c>
    </row>
    <row r="63" spans="1:22">
      <c r="A63" s="75">
        <v>52</v>
      </c>
      <c r="B63" s="125" t="s">
        <v>100</v>
      </c>
      <c r="C63" s="126" t="s">
        <v>101</v>
      </c>
      <c r="D63" s="2">
        <v>401022436.00999999</v>
      </c>
      <c r="E63" s="3">
        <f t="shared" ref="E63:E78" si="20">(D63/$D$91)</f>
        <v>1.4206816104116284E-3</v>
      </c>
      <c r="F63" s="7">
        <v>2.2747999999999999</v>
      </c>
      <c r="G63" s="7">
        <v>2.2747999999999999</v>
      </c>
      <c r="H63" s="60">
        <v>1398</v>
      </c>
      <c r="I63" s="5">
        <v>0.10829999999999999</v>
      </c>
      <c r="J63" s="5">
        <v>0.1011</v>
      </c>
      <c r="K63" s="2">
        <v>401804912.76556557</v>
      </c>
      <c r="L63" s="3">
        <f t="shared" si="14"/>
        <v>1.4395133504068419E-3</v>
      </c>
      <c r="M63" s="7">
        <v>2.2791999999999999</v>
      </c>
      <c r="N63" s="7">
        <v>2.2791999999999999</v>
      </c>
      <c r="O63" s="60">
        <v>1398</v>
      </c>
      <c r="P63" s="5">
        <v>0.1011</v>
      </c>
      <c r="Q63" s="5">
        <v>0.1013</v>
      </c>
      <c r="R63" s="80">
        <f t="shared" si="15"/>
        <v>1.9512044347216315E-3</v>
      </c>
      <c r="S63" s="80">
        <f t="shared" si="16"/>
        <v>1.9342359767891505E-3</v>
      </c>
      <c r="T63" s="80">
        <f t="shared" si="17"/>
        <v>0</v>
      </c>
      <c r="U63" s="81">
        <f t="shared" si="18"/>
        <v>-7.1999999999999981E-3</v>
      </c>
      <c r="V63" s="83">
        <f t="shared" si="19"/>
        <v>2.0000000000000573E-4</v>
      </c>
    </row>
    <row r="64" spans="1:22">
      <c r="A64" s="75">
        <v>53</v>
      </c>
      <c r="B64" s="125" t="s">
        <v>102</v>
      </c>
      <c r="C64" s="126" t="s">
        <v>56</v>
      </c>
      <c r="D64" s="2">
        <v>2609904166.2920899</v>
      </c>
      <c r="E64" s="3">
        <f t="shared" si="20"/>
        <v>9.2459735940943841E-3</v>
      </c>
      <c r="F64" s="2">
        <v>4051.92470591749</v>
      </c>
      <c r="G64" s="2">
        <v>4051.92470591749</v>
      </c>
      <c r="H64" s="60">
        <v>1049</v>
      </c>
      <c r="I64" s="5">
        <v>8.0416539912655724E-2</v>
      </c>
      <c r="J64" s="5">
        <v>7.9887498075794497E-2</v>
      </c>
      <c r="K64" s="2">
        <v>2613553878.33711</v>
      </c>
      <c r="L64" s="3">
        <f t="shared" si="14"/>
        <v>9.3633641111524786E-3</v>
      </c>
      <c r="M64" s="2">
        <v>4058.3218109928098</v>
      </c>
      <c r="N64" s="2">
        <v>4058.3218109928098</v>
      </c>
      <c r="O64" s="60">
        <v>1046</v>
      </c>
      <c r="P64" s="5">
        <v>8.2547735335602154E-2</v>
      </c>
      <c r="Q64" s="5">
        <v>8.0274487510221967E-2</v>
      </c>
      <c r="R64" s="80">
        <f t="shared" si="15"/>
        <v>1.3984084519874445E-3</v>
      </c>
      <c r="S64" s="80">
        <f t="shared" si="16"/>
        <v>1.5787818233585112E-3</v>
      </c>
      <c r="T64" s="80">
        <f t="shared" si="17"/>
        <v>-2.859866539561487E-3</v>
      </c>
      <c r="U64" s="81">
        <f t="shared" si="18"/>
        <v>2.1311954229464303E-3</v>
      </c>
      <c r="V64" s="83">
        <f t="shared" si="19"/>
        <v>3.8698943442747047E-4</v>
      </c>
    </row>
    <row r="65" spans="1:22">
      <c r="A65" s="75">
        <v>54</v>
      </c>
      <c r="B65" s="125" t="s">
        <v>103</v>
      </c>
      <c r="C65" s="126" t="s">
        <v>58</v>
      </c>
      <c r="D65" s="2">
        <v>345542239.49000001</v>
      </c>
      <c r="E65" s="3">
        <f t="shared" si="20"/>
        <v>1.2241347644989431E-3</v>
      </c>
      <c r="F65" s="14">
        <v>109.36</v>
      </c>
      <c r="G65" s="14">
        <v>109.36</v>
      </c>
      <c r="H65" s="60">
        <v>125</v>
      </c>
      <c r="I65" s="5">
        <v>1.9E-3</v>
      </c>
      <c r="J65" s="5">
        <v>0.10249999999999999</v>
      </c>
      <c r="K65" s="2">
        <v>350758070.12</v>
      </c>
      <c r="L65" s="3">
        <f t="shared" si="14"/>
        <v>1.2566320337533479E-3</v>
      </c>
      <c r="M65" s="14">
        <v>109.57</v>
      </c>
      <c r="N65" s="14">
        <v>109.57</v>
      </c>
      <c r="O65" s="60">
        <v>125</v>
      </c>
      <c r="P65" s="5">
        <v>1.9E-3</v>
      </c>
      <c r="Q65" s="5">
        <v>0.1022</v>
      </c>
      <c r="R65" s="80">
        <f t="shared" si="15"/>
        <v>1.5094625298771733E-2</v>
      </c>
      <c r="S65" s="80">
        <f t="shared" si="16"/>
        <v>1.9202633504022838E-3</v>
      </c>
      <c r="T65" s="80">
        <f t="shared" si="17"/>
        <v>0</v>
      </c>
      <c r="U65" s="81">
        <f t="shared" si="18"/>
        <v>0</v>
      </c>
      <c r="V65" s="83">
        <f t="shared" si="19"/>
        <v>-2.9999999999999472E-4</v>
      </c>
    </row>
    <row r="66" spans="1:22">
      <c r="A66" s="75">
        <v>55</v>
      </c>
      <c r="B66" s="125" t="s">
        <v>104</v>
      </c>
      <c r="C66" s="126" t="s">
        <v>105</v>
      </c>
      <c r="D66" s="2">
        <v>312552745.66000003</v>
      </c>
      <c r="E66" s="3">
        <f t="shared" si="20"/>
        <v>1.1072645771663316E-3</v>
      </c>
      <c r="F66" s="14">
        <v>1.3220000000000001</v>
      </c>
      <c r="G66" s="14">
        <v>1.3220000000000001</v>
      </c>
      <c r="H66" s="60">
        <v>316</v>
      </c>
      <c r="I66" s="5">
        <v>-7.8799249530956406E-3</v>
      </c>
      <c r="J66" s="5">
        <v>-8.677375087034922E-3</v>
      </c>
      <c r="K66" s="2">
        <v>310208092.44</v>
      </c>
      <c r="L66" s="3">
        <f t="shared" si="14"/>
        <v>1.1113569702224126E-3</v>
      </c>
      <c r="M66" s="14">
        <v>1.3220000000000001</v>
      </c>
      <c r="N66" s="14">
        <v>1.3220000000000001</v>
      </c>
      <c r="O66" s="60">
        <v>317</v>
      </c>
      <c r="P66" s="5">
        <v>-7.413010590015201E-3</v>
      </c>
      <c r="Q66" s="5">
        <v>-1.5701961138214093E-2</v>
      </c>
      <c r="R66" s="80">
        <f t="shared" si="15"/>
        <v>-7.5016241340288229E-3</v>
      </c>
      <c r="S66" s="80">
        <f t="shared" si="16"/>
        <v>0</v>
      </c>
      <c r="T66" s="80">
        <f t="shared" si="17"/>
        <v>3.1645569620253164E-3</v>
      </c>
      <c r="U66" s="81">
        <f t="shared" si="18"/>
        <v>4.6691436308043954E-4</v>
      </c>
      <c r="V66" s="83">
        <f t="shared" si="19"/>
        <v>-7.0245860511791713E-3</v>
      </c>
    </row>
    <row r="67" spans="1:22">
      <c r="A67" s="75">
        <v>56</v>
      </c>
      <c r="B67" s="125" t="s">
        <v>106</v>
      </c>
      <c r="C67" s="126" t="s">
        <v>25</v>
      </c>
      <c r="D67" s="2">
        <v>74576291.299999997</v>
      </c>
      <c r="E67" s="3">
        <f t="shared" si="20"/>
        <v>2.6419760120346167E-4</v>
      </c>
      <c r="F67" s="14">
        <v>114.48309999999999</v>
      </c>
      <c r="G67" s="14">
        <v>114.48309999999999</v>
      </c>
      <c r="H67" s="60">
        <v>93</v>
      </c>
      <c r="I67" s="5">
        <v>2.9799999999999998E-4</v>
      </c>
      <c r="J67" s="5">
        <v>0.13139999999999999</v>
      </c>
      <c r="K67" s="2">
        <v>75575120.209999993</v>
      </c>
      <c r="L67" s="3">
        <f t="shared" si="14"/>
        <v>2.7075675544159316E-4</v>
      </c>
      <c r="M67" s="14">
        <v>114.7197</v>
      </c>
      <c r="N67" s="14">
        <v>114.7197</v>
      </c>
      <c r="O67" s="60">
        <v>98</v>
      </c>
      <c r="P67" s="5">
        <v>2.99E-4</v>
      </c>
      <c r="Q67" s="5">
        <v>0.13750000000000001</v>
      </c>
      <c r="R67" s="80">
        <f t="shared" si="15"/>
        <v>1.3393384044561578E-2</v>
      </c>
      <c r="S67" s="80">
        <f t="shared" si="16"/>
        <v>2.0666805842959345E-3</v>
      </c>
      <c r="T67" s="80">
        <f t="shared" si="17"/>
        <v>5.3763440860215055E-2</v>
      </c>
      <c r="U67" s="81">
        <f t="shared" si="18"/>
        <v>1.0000000000000243E-6</v>
      </c>
      <c r="V67" s="83">
        <f t="shared" si="19"/>
        <v>6.1000000000000221E-3</v>
      </c>
    </row>
    <row r="68" spans="1:22">
      <c r="A68" s="75">
        <v>57</v>
      </c>
      <c r="B68" s="125" t="s">
        <v>107</v>
      </c>
      <c r="C68" s="126" t="s">
        <v>108</v>
      </c>
      <c r="D68" s="2">
        <v>1230307253.1300001</v>
      </c>
      <c r="E68" s="3">
        <f t="shared" si="20"/>
        <v>4.3585463872506374E-3</v>
      </c>
      <c r="F68" s="7">
        <v>1000</v>
      </c>
      <c r="G68" s="7">
        <v>1000</v>
      </c>
      <c r="H68" s="60">
        <v>286</v>
      </c>
      <c r="I68" s="5">
        <v>2.2870475254024701E-4</v>
      </c>
      <c r="J68" s="5">
        <v>0.14699999999999999</v>
      </c>
      <c r="K68" s="2">
        <v>1195424264.4000001</v>
      </c>
      <c r="L68" s="3">
        <f t="shared" si="14"/>
        <v>4.2827480036514692E-3</v>
      </c>
      <c r="M68" s="7">
        <v>1000</v>
      </c>
      <c r="N68" s="7">
        <v>1000</v>
      </c>
      <c r="O68" s="60">
        <v>288</v>
      </c>
      <c r="P68" s="5">
        <v>2.9180425534952798E-4</v>
      </c>
      <c r="Q68" s="5">
        <v>0.14699999999999999</v>
      </c>
      <c r="R68" s="80">
        <f t="shared" si="15"/>
        <v>-2.8353070861977692E-2</v>
      </c>
      <c r="S68" s="80">
        <f t="shared" si="16"/>
        <v>0</v>
      </c>
      <c r="T68" s="80">
        <f t="shared" si="17"/>
        <v>6.993006993006993E-3</v>
      </c>
      <c r="U68" s="81">
        <f t="shared" si="18"/>
        <v>6.3099502809280973E-5</v>
      </c>
      <c r="V68" s="83">
        <f t="shared" si="19"/>
        <v>0</v>
      </c>
    </row>
    <row r="69" spans="1:22">
      <c r="A69" s="75">
        <v>58</v>
      </c>
      <c r="B69" s="125" t="s">
        <v>109</v>
      </c>
      <c r="C69" s="126" t="s">
        <v>64</v>
      </c>
      <c r="D69" s="2">
        <v>214892737.16</v>
      </c>
      <c r="E69" s="3">
        <f t="shared" si="20"/>
        <v>7.6128947530162299E-4</v>
      </c>
      <c r="F69" s="7">
        <v>1053.79</v>
      </c>
      <c r="G69" s="7">
        <v>1059.3499999999999</v>
      </c>
      <c r="H69" s="60">
        <v>78</v>
      </c>
      <c r="I69" s="5">
        <v>-1.6000000000000001E-3</v>
      </c>
      <c r="J69" s="5">
        <v>-1.8E-3</v>
      </c>
      <c r="K69" s="2">
        <v>214892737.16</v>
      </c>
      <c r="L69" s="3">
        <f t="shared" si="14"/>
        <v>7.6987850128097982E-4</v>
      </c>
      <c r="M69" s="7">
        <v>1043.58</v>
      </c>
      <c r="N69" s="7">
        <v>1049.5</v>
      </c>
      <c r="O69" s="60">
        <v>78</v>
      </c>
      <c r="P69" s="5">
        <v>0</v>
      </c>
      <c r="Q69" s="5">
        <v>1.2999999999999999E-2</v>
      </c>
      <c r="R69" s="80">
        <f t="shared" si="15"/>
        <v>0</v>
      </c>
      <c r="S69" s="80">
        <f t="shared" si="16"/>
        <v>-9.2981545287203569E-3</v>
      </c>
      <c r="T69" s="80">
        <f t="shared" si="17"/>
        <v>0</v>
      </c>
      <c r="U69" s="81">
        <f t="shared" si="18"/>
        <v>1.6000000000000001E-3</v>
      </c>
      <c r="V69" s="83">
        <f t="shared" si="19"/>
        <v>1.4799999999999999E-2</v>
      </c>
    </row>
    <row r="70" spans="1:22">
      <c r="A70" s="75">
        <v>59</v>
      </c>
      <c r="B70" s="125" t="s">
        <v>110</v>
      </c>
      <c r="C70" s="126" t="s">
        <v>67</v>
      </c>
      <c r="D70" s="2">
        <v>864151171.63</v>
      </c>
      <c r="E70" s="3">
        <f t="shared" si="20"/>
        <v>3.0613840222141336E-3</v>
      </c>
      <c r="F70" s="15">
        <v>1.1234</v>
      </c>
      <c r="G70" s="15">
        <v>1.1234</v>
      </c>
      <c r="H70" s="60">
        <v>36</v>
      </c>
      <c r="I70" s="5">
        <v>2.0515565070020237E-3</v>
      </c>
      <c r="J70" s="5">
        <v>6.1404980262550479E-2</v>
      </c>
      <c r="K70" s="2">
        <v>867088015.80999994</v>
      </c>
      <c r="L70" s="3">
        <f t="shared" si="14"/>
        <v>3.1064447822332407E-3</v>
      </c>
      <c r="M70" s="15">
        <v>1.1258999999999999</v>
      </c>
      <c r="N70" s="15">
        <v>1.1258999999999999</v>
      </c>
      <c r="O70" s="60">
        <v>36</v>
      </c>
      <c r="P70" s="5">
        <v>2.2253872173757759E-3</v>
      </c>
      <c r="Q70" s="5">
        <v>7.0225730074662707E-2</v>
      </c>
      <c r="R70" s="80">
        <f t="shared" si="15"/>
        <v>3.3985305770752386E-3</v>
      </c>
      <c r="S70" s="80">
        <f t="shared" si="16"/>
        <v>2.2253872173757759E-3</v>
      </c>
      <c r="T70" s="80">
        <f t="shared" si="17"/>
        <v>0</v>
      </c>
      <c r="U70" s="81">
        <f t="shared" si="18"/>
        <v>1.7383071037375226E-4</v>
      </c>
      <c r="V70" s="83">
        <f t="shared" si="19"/>
        <v>8.8207498121122274E-3</v>
      </c>
    </row>
    <row r="71" spans="1:22">
      <c r="A71" s="75">
        <v>60</v>
      </c>
      <c r="B71" s="125" t="s">
        <v>111</v>
      </c>
      <c r="C71" s="126" t="s">
        <v>27</v>
      </c>
      <c r="D71" s="2">
        <v>62365992678.120003</v>
      </c>
      <c r="E71" s="3">
        <f t="shared" si="20"/>
        <v>0.22094080270028069</v>
      </c>
      <c r="F71" s="15">
        <v>1577.63</v>
      </c>
      <c r="G71" s="2">
        <v>1577.63</v>
      </c>
      <c r="H71" s="60">
        <v>2464</v>
      </c>
      <c r="I71" s="5">
        <v>2.2000000000000001E-3</v>
      </c>
      <c r="J71" s="5">
        <v>1.95E-2</v>
      </c>
      <c r="K71" s="2">
        <v>61484957399.279999</v>
      </c>
      <c r="L71" s="3">
        <f t="shared" si="14"/>
        <v>0.22027709023333925</v>
      </c>
      <c r="M71" s="15">
        <v>1581.14</v>
      </c>
      <c r="N71" s="2">
        <v>1581.14</v>
      </c>
      <c r="O71" s="60">
        <v>2461</v>
      </c>
      <c r="P71" s="5">
        <v>2.2000000000000001E-3</v>
      </c>
      <c r="Q71" s="5">
        <v>2.18E-2</v>
      </c>
      <c r="R71" s="80">
        <f t="shared" si="15"/>
        <v>-1.4126854091574485E-2</v>
      </c>
      <c r="S71" s="80">
        <f t="shared" si="16"/>
        <v>2.2248562717493902E-3</v>
      </c>
      <c r="T71" s="80">
        <f t="shared" si="17"/>
        <v>-1.2175324675324675E-3</v>
      </c>
      <c r="U71" s="81">
        <f t="shared" si="18"/>
        <v>0</v>
      </c>
      <c r="V71" s="83">
        <f t="shared" si="19"/>
        <v>2.3E-3</v>
      </c>
    </row>
    <row r="72" spans="1:22">
      <c r="A72" s="75">
        <v>61</v>
      </c>
      <c r="B72" s="125" t="s">
        <v>112</v>
      </c>
      <c r="C72" s="126" t="s">
        <v>72</v>
      </c>
      <c r="D72" s="2">
        <v>25458432.140000001</v>
      </c>
      <c r="E72" s="3">
        <f t="shared" si="20"/>
        <v>9.0190281449261495E-5</v>
      </c>
      <c r="F72" s="2">
        <v>0.77639999999999998</v>
      </c>
      <c r="G72" s="2">
        <v>0.77639999999999998</v>
      </c>
      <c r="H72" s="60">
        <v>746</v>
      </c>
      <c r="I72" s="5">
        <v>1.6772029415558867E-3</v>
      </c>
      <c r="J72" s="5">
        <v>1.5698587127158572E-2</v>
      </c>
      <c r="K72" s="2">
        <v>25502306.59</v>
      </c>
      <c r="L72" s="3">
        <f t="shared" si="14"/>
        <v>9.1365012313556469E-5</v>
      </c>
      <c r="M72" s="2">
        <v>0.77780000000000005</v>
      </c>
      <c r="N72" s="2">
        <v>0.77780000000000005</v>
      </c>
      <c r="O72" s="60">
        <v>746</v>
      </c>
      <c r="P72" s="5">
        <v>1.8E-3</v>
      </c>
      <c r="Q72" s="5">
        <v>1.7500000000000002E-2</v>
      </c>
      <c r="R72" s="80">
        <f t="shared" si="15"/>
        <v>1.7233759627744011E-3</v>
      </c>
      <c r="S72" s="80">
        <f t="shared" si="16"/>
        <v>1.8031942297785522E-3</v>
      </c>
      <c r="T72" s="80">
        <f t="shared" si="17"/>
        <v>0</v>
      </c>
      <c r="U72" s="81">
        <f t="shared" si="18"/>
        <v>1.2279705844411327E-4</v>
      </c>
      <c r="V72" s="83">
        <f t="shared" si="19"/>
        <v>1.8014128728414298E-3</v>
      </c>
    </row>
    <row r="73" spans="1:22">
      <c r="A73" s="75">
        <v>62</v>
      </c>
      <c r="B73" s="125" t="s">
        <v>251</v>
      </c>
      <c r="C73" s="126" t="s">
        <v>32</v>
      </c>
      <c r="D73" s="2">
        <v>8745294540.0900002</v>
      </c>
      <c r="E73" s="3">
        <f t="shared" si="20"/>
        <v>3.0981506307615335E-2</v>
      </c>
      <c r="F73" s="14">
        <v>1</v>
      </c>
      <c r="G73" s="14">
        <v>1</v>
      </c>
      <c r="H73" s="60">
        <v>5539</v>
      </c>
      <c r="I73" s="5">
        <v>0.06</v>
      </c>
      <c r="J73" s="5">
        <v>0.06</v>
      </c>
      <c r="K73" s="2">
        <v>8744686073.8743</v>
      </c>
      <c r="L73" s="3">
        <f t="shared" si="14"/>
        <v>3.1328866194832744E-2</v>
      </c>
      <c r="M73" s="14">
        <v>1</v>
      </c>
      <c r="N73" s="14">
        <v>1</v>
      </c>
      <c r="O73" s="60">
        <v>5540</v>
      </c>
      <c r="P73" s="5">
        <v>0.06</v>
      </c>
      <c r="Q73" s="5">
        <v>0.06</v>
      </c>
      <c r="R73" s="80">
        <f>((K73-D73)/D73)</f>
        <v>-6.9576411967696596E-5</v>
      </c>
      <c r="S73" s="80">
        <f>((N73-G73)/G73)</f>
        <v>0</v>
      </c>
      <c r="T73" s="80">
        <f>((O73-H73)/H73)</f>
        <v>1.8053800324968405E-4</v>
      </c>
      <c r="U73" s="81">
        <f>P73-I73</f>
        <v>0</v>
      </c>
      <c r="V73" s="83">
        <f>Q73-J73</f>
        <v>0</v>
      </c>
    </row>
    <row r="74" spans="1:22">
      <c r="A74" s="75">
        <v>63</v>
      </c>
      <c r="B74" s="125" t="s">
        <v>113</v>
      </c>
      <c r="C74" s="126" t="s">
        <v>114</v>
      </c>
      <c r="D74" s="2">
        <v>1098707422.29</v>
      </c>
      <c r="E74" s="3">
        <f t="shared" si="20"/>
        <v>3.8923344179956128E-3</v>
      </c>
      <c r="F74" s="2">
        <v>215.67769999999999</v>
      </c>
      <c r="G74" s="2">
        <v>217.110153</v>
      </c>
      <c r="H74" s="60">
        <v>488</v>
      </c>
      <c r="I74" s="5">
        <v>1.6999999999999999E-3</v>
      </c>
      <c r="J74" s="5">
        <v>-1.1000000000000001E-3</v>
      </c>
      <c r="K74" s="2">
        <v>1098707422.29</v>
      </c>
      <c r="L74" s="3">
        <f t="shared" si="14"/>
        <v>3.9362485433331049E-3</v>
      </c>
      <c r="M74" s="2">
        <v>216.139779</v>
      </c>
      <c r="N74" s="2">
        <v>217.65087199999999</v>
      </c>
      <c r="O74" s="60">
        <v>488</v>
      </c>
      <c r="P74" s="5">
        <v>1.2999999999999999E-3</v>
      </c>
      <c r="Q74" s="5">
        <v>2.3999999999999998E-3</v>
      </c>
      <c r="R74" s="80">
        <f t="shared" si="15"/>
        <v>0</v>
      </c>
      <c r="S74" s="80">
        <f t="shared" si="16"/>
        <v>2.4905283909039287E-3</v>
      </c>
      <c r="T74" s="80">
        <f t="shared" si="17"/>
        <v>0</v>
      </c>
      <c r="U74" s="81">
        <f t="shared" si="18"/>
        <v>-3.9999999999999996E-4</v>
      </c>
      <c r="V74" s="83">
        <f t="shared" si="19"/>
        <v>3.4999999999999996E-3</v>
      </c>
    </row>
    <row r="75" spans="1:22">
      <c r="A75" s="75">
        <v>64</v>
      </c>
      <c r="B75" s="125" t="s">
        <v>115</v>
      </c>
      <c r="C75" s="126" t="s">
        <v>34</v>
      </c>
      <c r="D75" s="2">
        <v>1115195798.55</v>
      </c>
      <c r="E75" s="3">
        <f t="shared" si="20"/>
        <v>3.9507469426692835E-3</v>
      </c>
      <c r="F75" s="14">
        <v>3.37</v>
      </c>
      <c r="G75" s="14">
        <v>3.37</v>
      </c>
      <c r="H75" s="61">
        <v>774</v>
      </c>
      <c r="I75" s="12">
        <v>8.9999999999999998E-4</v>
      </c>
      <c r="J75" s="12">
        <v>-0.35439999999999999</v>
      </c>
      <c r="K75" s="2">
        <v>1094655285.1199999</v>
      </c>
      <c r="L75" s="3">
        <f t="shared" si="14"/>
        <v>3.9217312854087395E-3</v>
      </c>
      <c r="M75" s="14">
        <v>3.37</v>
      </c>
      <c r="N75" s="14">
        <v>3.37</v>
      </c>
      <c r="O75" s="61">
        <v>773</v>
      </c>
      <c r="P75" s="12">
        <v>1.1999999999999999E-3</v>
      </c>
      <c r="Q75" s="12">
        <v>-0.312</v>
      </c>
      <c r="R75" s="80">
        <f t="shared" si="15"/>
        <v>-1.8418750731223392E-2</v>
      </c>
      <c r="S75" s="80">
        <f t="shared" si="16"/>
        <v>0</v>
      </c>
      <c r="T75" s="80">
        <f t="shared" si="17"/>
        <v>-1.2919896640826874E-3</v>
      </c>
      <c r="U75" s="81">
        <f t="shared" si="18"/>
        <v>2.9999999999999992E-4</v>
      </c>
      <c r="V75" s="83">
        <f t="shared" si="19"/>
        <v>4.2399999999999993E-2</v>
      </c>
    </row>
    <row r="76" spans="1:22">
      <c r="A76" s="75">
        <v>65</v>
      </c>
      <c r="B76" s="125" t="s">
        <v>258</v>
      </c>
      <c r="C76" s="126" t="s">
        <v>36</v>
      </c>
      <c r="D76" s="2">
        <v>521507355.99000001</v>
      </c>
      <c r="E76" s="3">
        <f t="shared" si="20"/>
        <v>1.8475173551908413E-3</v>
      </c>
      <c r="F76" s="14">
        <v>103.6382</v>
      </c>
      <c r="G76" s="14">
        <v>103.6382</v>
      </c>
      <c r="H76" s="61">
        <v>66</v>
      </c>
      <c r="I76" s="12">
        <v>0.1305</v>
      </c>
      <c r="J76" s="12">
        <v>0.1535</v>
      </c>
      <c r="K76" s="2">
        <v>509949599.82999998</v>
      </c>
      <c r="L76" s="3">
        <f t="shared" si="14"/>
        <v>1.8269544091368852E-3</v>
      </c>
      <c r="M76" s="14">
        <v>103.9123</v>
      </c>
      <c r="N76" s="14">
        <v>103.9123</v>
      </c>
      <c r="O76" s="61">
        <v>104</v>
      </c>
      <c r="P76" s="12">
        <v>0.13200000000000001</v>
      </c>
      <c r="Q76" s="12">
        <v>0.15509999999999999</v>
      </c>
      <c r="R76" s="80">
        <f t="shared" ref="R76" si="21">((K76-D76)/D76)</f>
        <v>-2.216221118887084E-2</v>
      </c>
      <c r="S76" s="80">
        <f t="shared" ref="S76" si="22">((N76-G76)/G76)</f>
        <v>2.644777697798729E-3</v>
      </c>
      <c r="T76" s="80">
        <f t="shared" ref="T76" si="23">((O76-H76)/H76)</f>
        <v>0.5757575757575758</v>
      </c>
      <c r="U76" s="81">
        <f t="shared" ref="U76" si="24">P76-I76</f>
        <v>1.5000000000000013E-3</v>
      </c>
      <c r="V76" s="83">
        <f t="shared" ref="V76" si="25">Q76-J76</f>
        <v>1.5999999999999903E-3</v>
      </c>
    </row>
    <row r="77" spans="1:22">
      <c r="A77" s="75">
        <v>66</v>
      </c>
      <c r="B77" s="126" t="s">
        <v>116</v>
      </c>
      <c r="C77" s="127" t="s">
        <v>40</v>
      </c>
      <c r="D77" s="2">
        <v>1961268541.23</v>
      </c>
      <c r="E77" s="3">
        <f t="shared" si="20"/>
        <v>6.9480854421193053E-3</v>
      </c>
      <c r="F77" s="14">
        <v>100.18</v>
      </c>
      <c r="G77" s="14">
        <v>100.18</v>
      </c>
      <c r="H77" s="60">
        <v>141</v>
      </c>
      <c r="I77" s="5">
        <v>1.6999999999999999E-3</v>
      </c>
      <c r="J77" s="5">
        <v>1.5800000000000002E-2</v>
      </c>
      <c r="K77" s="2">
        <v>2029847332.77</v>
      </c>
      <c r="L77" s="3">
        <f t="shared" si="14"/>
        <v>7.2721667704321487E-3</v>
      </c>
      <c r="M77" s="14">
        <v>100.35</v>
      </c>
      <c r="N77" s="14">
        <v>100.35</v>
      </c>
      <c r="O77" s="60">
        <v>136</v>
      </c>
      <c r="P77" s="5">
        <v>8.8900000000000007E-2</v>
      </c>
      <c r="Q77" s="5">
        <v>9.69E-2</v>
      </c>
      <c r="R77" s="80">
        <f t="shared" si="15"/>
        <v>3.4966548485497607E-2</v>
      </c>
      <c r="S77" s="80">
        <f t="shared" si="16"/>
        <v>1.6969454981032889E-3</v>
      </c>
      <c r="T77" s="80">
        <f t="shared" si="17"/>
        <v>-3.5460992907801421E-2</v>
      </c>
      <c r="U77" s="81">
        <f t="shared" si="18"/>
        <v>8.7200000000000014E-2</v>
      </c>
      <c r="V77" s="83">
        <f t="shared" si="19"/>
        <v>8.1100000000000005E-2</v>
      </c>
    </row>
    <row r="78" spans="1:22">
      <c r="A78" s="75">
        <v>67</v>
      </c>
      <c r="B78" s="125" t="s">
        <v>117</v>
      </c>
      <c r="C78" s="126" t="s">
        <v>17</v>
      </c>
      <c r="D78" s="2">
        <v>1224745328.0799999</v>
      </c>
      <c r="E78" s="3">
        <f t="shared" si="20"/>
        <v>4.3388424407192622E-3</v>
      </c>
      <c r="F78" s="14">
        <v>332.7439</v>
      </c>
      <c r="G78" s="14">
        <v>332.7439</v>
      </c>
      <c r="H78" s="60">
        <v>104</v>
      </c>
      <c r="I78" s="5">
        <v>2.0999999999999999E-3</v>
      </c>
      <c r="J78" s="5">
        <v>1.8100000000000002E-2</v>
      </c>
      <c r="K78" s="2">
        <v>1227399693.3099999</v>
      </c>
      <c r="L78" s="3">
        <f t="shared" si="14"/>
        <v>4.3973037378860708E-3</v>
      </c>
      <c r="M78" s="14">
        <v>333.45729999999998</v>
      </c>
      <c r="N78" s="14">
        <v>333.45729999999998</v>
      </c>
      <c r="O78" s="60">
        <v>104</v>
      </c>
      <c r="P78" s="5">
        <v>2.0999999999999999E-3</v>
      </c>
      <c r="Q78" s="5">
        <v>2.0199999999999999E-2</v>
      </c>
      <c r="R78" s="80">
        <f t="shared" si="15"/>
        <v>2.1672793266835281E-3</v>
      </c>
      <c r="S78" s="80">
        <f t="shared" si="16"/>
        <v>2.1439912196736851E-3</v>
      </c>
      <c r="T78" s="80">
        <f t="shared" si="17"/>
        <v>0</v>
      </c>
      <c r="U78" s="81">
        <f t="shared" si="18"/>
        <v>0</v>
      </c>
      <c r="V78" s="83">
        <f t="shared" si="19"/>
        <v>2.0999999999999977E-3</v>
      </c>
    </row>
    <row r="79" spans="1:22">
      <c r="A79" s="75">
        <v>68</v>
      </c>
      <c r="B79" s="125" t="s">
        <v>252</v>
      </c>
      <c r="C79" s="126" t="s">
        <v>78</v>
      </c>
      <c r="D79" s="9">
        <v>1542073546.0899999</v>
      </c>
      <c r="E79" s="3">
        <f>(D79/$K$55)</f>
        <v>1.6750279655973757E-3</v>
      </c>
      <c r="F79" s="14">
        <v>102.43</v>
      </c>
      <c r="G79" s="14">
        <v>102.43</v>
      </c>
      <c r="H79" s="60">
        <v>306</v>
      </c>
      <c r="I79" s="5">
        <v>3.3E-3</v>
      </c>
      <c r="J79" s="5">
        <v>9.9000000000000008E-3</v>
      </c>
      <c r="K79" s="9">
        <v>1448079233.9000001</v>
      </c>
      <c r="L79" s="3">
        <f>(K79/$K$55)</f>
        <v>1.5729296565222058E-3</v>
      </c>
      <c r="M79" s="14">
        <v>102.68</v>
      </c>
      <c r="N79" s="14">
        <v>102.68</v>
      </c>
      <c r="O79" s="60">
        <v>324</v>
      </c>
      <c r="P79" s="5">
        <v>3.3E-3</v>
      </c>
      <c r="Q79" s="5">
        <v>2.5000000000000001E-3</v>
      </c>
      <c r="R79" s="80">
        <f t="shared" si="15"/>
        <v>-6.0953196706037029E-2</v>
      </c>
      <c r="S79" s="80">
        <f t="shared" si="16"/>
        <v>2.4406912037489015E-3</v>
      </c>
      <c r="T79" s="80">
        <f t="shared" si="17"/>
        <v>5.8823529411764705E-2</v>
      </c>
      <c r="U79" s="81">
        <f t="shared" si="18"/>
        <v>0</v>
      </c>
      <c r="V79" s="83">
        <f t="shared" si="19"/>
        <v>-7.4000000000000003E-3</v>
      </c>
    </row>
    <row r="80" spans="1:22">
      <c r="A80" s="75">
        <v>69</v>
      </c>
      <c r="B80" s="125" t="s">
        <v>118</v>
      </c>
      <c r="C80" s="126" t="s">
        <v>38</v>
      </c>
      <c r="D80" s="2">
        <v>56459725.460000001</v>
      </c>
      <c r="E80" s="3">
        <f t="shared" ref="E80:E90" si="26">(D80/$D$91)</f>
        <v>2.0001697283568206E-4</v>
      </c>
      <c r="F80" s="14">
        <v>12.257016</v>
      </c>
      <c r="G80" s="2">
        <v>12.546288000000001</v>
      </c>
      <c r="H80" s="60">
        <v>57</v>
      </c>
      <c r="I80" s="5">
        <v>1.6999999999999999E-3</v>
      </c>
      <c r="J80" s="5">
        <v>2.7168999999999999</v>
      </c>
      <c r="K80" s="2">
        <v>56586256.530000001</v>
      </c>
      <c r="L80" s="3">
        <f t="shared" ref="L80:L90" si="27">(K80/$K$91)</f>
        <v>2.0272691830427545E-4</v>
      </c>
      <c r="M80" s="14">
        <v>12.28</v>
      </c>
      <c r="N80" s="2">
        <v>12.57</v>
      </c>
      <c r="O80" s="60">
        <v>57</v>
      </c>
      <c r="P80" s="5">
        <v>1.8E-3</v>
      </c>
      <c r="Q80" s="5">
        <v>2.9085999999999999</v>
      </c>
      <c r="R80" s="80">
        <f t="shared" si="15"/>
        <v>2.2410854634715453E-3</v>
      </c>
      <c r="S80" s="80">
        <f t="shared" si="16"/>
        <v>1.8899613973471462E-3</v>
      </c>
      <c r="T80" s="80">
        <f t="shared" si="17"/>
        <v>0</v>
      </c>
      <c r="U80" s="81">
        <f t="shared" si="18"/>
        <v>1.0000000000000005E-4</v>
      </c>
      <c r="V80" s="83">
        <f t="shared" si="19"/>
        <v>0.19169999999999998</v>
      </c>
    </row>
    <row r="81" spans="1:28">
      <c r="A81" s="75">
        <v>70</v>
      </c>
      <c r="B81" s="125" t="s">
        <v>236</v>
      </c>
      <c r="C81" s="126" t="s">
        <v>237</v>
      </c>
      <c r="D81" s="2">
        <v>264743289.28999999</v>
      </c>
      <c r="E81" s="3">
        <f t="shared" si="26"/>
        <v>9.3789246885131851E-4</v>
      </c>
      <c r="F81" s="2">
        <v>116.07</v>
      </c>
      <c r="G81" s="2">
        <v>116.07</v>
      </c>
      <c r="H81" s="60">
        <v>78</v>
      </c>
      <c r="I81" s="5">
        <v>0.1221</v>
      </c>
      <c r="J81" s="5">
        <v>0.24990000000000001</v>
      </c>
      <c r="K81" s="2">
        <v>265254225.37</v>
      </c>
      <c r="L81" s="3">
        <f t="shared" si="27"/>
        <v>9.5030445507450609E-4</v>
      </c>
      <c r="M81" s="2">
        <v>116.34</v>
      </c>
      <c r="N81" s="2">
        <v>116.34</v>
      </c>
      <c r="O81" s="60">
        <v>79</v>
      </c>
      <c r="P81" s="5">
        <v>0.12770000000000001</v>
      </c>
      <c r="Q81" s="5">
        <v>0.2366</v>
      </c>
      <c r="R81" s="80">
        <f>((K81-D81)/D81)</f>
        <v>1.9299302406125707E-3</v>
      </c>
      <c r="S81" s="80">
        <f>((N81-G81)/G81)</f>
        <v>2.3261824760921019E-3</v>
      </c>
      <c r="T81" s="80">
        <f>((O81-H81)/H81)</f>
        <v>1.282051282051282E-2</v>
      </c>
      <c r="U81" s="81">
        <f t="shared" si="18"/>
        <v>5.6000000000000077E-3</v>
      </c>
      <c r="V81" s="83">
        <f t="shared" si="19"/>
        <v>-1.3300000000000006E-2</v>
      </c>
    </row>
    <row r="82" spans="1:28">
      <c r="A82" s="75">
        <v>71</v>
      </c>
      <c r="B82" s="125" t="s">
        <v>119</v>
      </c>
      <c r="C82" s="126" t="s">
        <v>120</v>
      </c>
      <c r="D82" s="2">
        <v>7239097843.7178192</v>
      </c>
      <c r="E82" s="3">
        <f t="shared" si="26"/>
        <v>2.5645580543737764E-2</v>
      </c>
      <c r="F82" s="14">
        <v>1.0185454067922124</v>
      </c>
      <c r="G82" s="14">
        <v>1.0185454067922124</v>
      </c>
      <c r="H82" s="60">
        <v>3996</v>
      </c>
      <c r="I82" s="5">
        <v>12.25</v>
      </c>
      <c r="J82" s="5">
        <v>12.25</v>
      </c>
      <c r="K82" s="2">
        <v>7245305003.2791948</v>
      </c>
      <c r="L82" s="3">
        <f t="shared" si="27"/>
        <v>2.595715718905393E-2</v>
      </c>
      <c r="M82" s="14">
        <v>1.0209203955424841</v>
      </c>
      <c r="N82" s="14">
        <v>1.0209203955424841</v>
      </c>
      <c r="O82" s="60">
        <v>4024</v>
      </c>
      <c r="P82" s="5">
        <v>0.125</v>
      </c>
      <c r="Q82" s="5">
        <v>0.125</v>
      </c>
      <c r="R82" s="80">
        <f t="shared" si="15"/>
        <v>8.5744932523080478E-4</v>
      </c>
      <c r="S82" s="80">
        <f t="shared" si="16"/>
        <v>2.3317455799555372E-3</v>
      </c>
      <c r="T82" s="80">
        <f t="shared" si="17"/>
        <v>7.0070070070070069E-3</v>
      </c>
      <c r="U82" s="81">
        <f t="shared" si="18"/>
        <v>-12.125</v>
      </c>
      <c r="V82" s="83">
        <f t="shared" si="19"/>
        <v>-12.125</v>
      </c>
    </row>
    <row r="83" spans="1:28" ht="14.25" customHeight="1">
      <c r="A83" s="75">
        <v>72</v>
      </c>
      <c r="B83" s="125" t="s">
        <v>121</v>
      </c>
      <c r="C83" s="126" t="s">
        <v>42</v>
      </c>
      <c r="D83" s="2">
        <v>21343757760.400002</v>
      </c>
      <c r="E83" s="3">
        <f t="shared" si="26"/>
        <v>7.5613435619658526E-2</v>
      </c>
      <c r="F83" s="2">
        <v>5087.7299999999996</v>
      </c>
      <c r="G83" s="2">
        <v>5087.7299999999996</v>
      </c>
      <c r="H83" s="60">
        <v>413</v>
      </c>
      <c r="I83" s="5">
        <v>1.1999999999999999E-3</v>
      </c>
      <c r="J83" s="5">
        <v>1.52E-2</v>
      </c>
      <c r="K83" s="2">
        <v>20386037456.889999</v>
      </c>
      <c r="L83" s="3">
        <f t="shared" si="27"/>
        <v>7.303537649428668E-2</v>
      </c>
      <c r="M83" s="2">
        <v>5095.24</v>
      </c>
      <c r="N83" s="2">
        <v>5095.24</v>
      </c>
      <c r="O83" s="60">
        <v>410</v>
      </c>
      <c r="P83" s="5">
        <v>1.5E-3</v>
      </c>
      <c r="Q83" s="5">
        <v>1.3899999999999999E-2</v>
      </c>
      <c r="R83" s="80">
        <f t="shared" si="15"/>
        <v>-4.4871213132249003E-2</v>
      </c>
      <c r="S83" s="80">
        <f t="shared" si="16"/>
        <v>1.4761003433751828E-3</v>
      </c>
      <c r="T83" s="80">
        <f t="shared" si="17"/>
        <v>-7.2639225181598066E-3</v>
      </c>
      <c r="U83" s="81">
        <f t="shared" si="18"/>
        <v>3.0000000000000014E-4</v>
      </c>
      <c r="V83" s="83">
        <f t="shared" si="19"/>
        <v>-1.3000000000000008E-3</v>
      </c>
    </row>
    <row r="84" spans="1:28">
      <c r="A84" s="75">
        <v>73</v>
      </c>
      <c r="B84" s="125" t="s">
        <v>122</v>
      </c>
      <c r="C84" s="126" t="s">
        <v>42</v>
      </c>
      <c r="D84" s="2">
        <v>35311030587.739998</v>
      </c>
      <c r="E84" s="3">
        <f t="shared" si="26"/>
        <v>0.12509457650253211</v>
      </c>
      <c r="F84" s="14">
        <v>257.58999999999997</v>
      </c>
      <c r="G84" s="14">
        <v>257.58999999999997</v>
      </c>
      <c r="H84" s="60">
        <v>6651</v>
      </c>
      <c r="I84" s="5">
        <v>2.9999999999999997E-4</v>
      </c>
      <c r="J84" s="5">
        <v>7.0000000000000001E-3</v>
      </c>
      <c r="K84" s="2">
        <v>35397173605.720001</v>
      </c>
      <c r="L84" s="3">
        <f t="shared" si="27"/>
        <v>0.12681453698858164</v>
      </c>
      <c r="M84" s="14">
        <v>257.63</v>
      </c>
      <c r="N84" s="14">
        <v>257.63</v>
      </c>
      <c r="O84" s="60">
        <v>6646</v>
      </c>
      <c r="P84" s="5">
        <v>2.0000000000000001E-4</v>
      </c>
      <c r="Q84" s="5">
        <v>7.1000000000000004E-3</v>
      </c>
      <c r="R84" s="80">
        <f t="shared" si="15"/>
        <v>2.4395498105317902E-3</v>
      </c>
      <c r="S84" s="80">
        <f t="shared" si="16"/>
        <v>1.5528553127070331E-4</v>
      </c>
      <c r="T84" s="80">
        <f t="shared" si="17"/>
        <v>-7.5176665163133359E-4</v>
      </c>
      <c r="U84" s="81">
        <f t="shared" si="18"/>
        <v>-9.9999999999999964E-5</v>
      </c>
      <c r="V84" s="83">
        <f t="shared" si="19"/>
        <v>1.0000000000000026E-4</v>
      </c>
    </row>
    <row r="85" spans="1:28" ht="12.75" customHeight="1">
      <c r="A85" s="75">
        <v>74</v>
      </c>
      <c r="B85" s="125" t="s">
        <v>123</v>
      </c>
      <c r="C85" s="126" t="s">
        <v>42</v>
      </c>
      <c r="D85" s="2">
        <v>311718415.17000002</v>
      </c>
      <c r="E85" s="3">
        <f t="shared" si="26"/>
        <v>1.1043088373430387E-3</v>
      </c>
      <c r="F85" s="2">
        <v>5514.01</v>
      </c>
      <c r="G85" s="7">
        <v>5539.63</v>
      </c>
      <c r="H85" s="60">
        <v>16</v>
      </c>
      <c r="I85" s="5">
        <v>-2.5000000000000001E-3</v>
      </c>
      <c r="J85" s="5">
        <v>4.3400000000000001E-2</v>
      </c>
      <c r="K85" s="2">
        <v>310317841.61000001</v>
      </c>
      <c r="L85" s="3">
        <f t="shared" si="27"/>
        <v>1.1117501595299391E-3</v>
      </c>
      <c r="M85" s="2">
        <v>5489.53</v>
      </c>
      <c r="N85" s="7">
        <v>5514.53</v>
      </c>
      <c r="O85" s="60">
        <v>16</v>
      </c>
      <c r="P85" s="5">
        <v>-4.4999999999999997E-3</v>
      </c>
      <c r="Q85" s="5">
        <v>3.8699999999999998E-2</v>
      </c>
      <c r="R85" s="80">
        <f t="shared" si="15"/>
        <v>-4.4930728883507886E-3</v>
      </c>
      <c r="S85" s="80">
        <f t="shared" si="16"/>
        <v>-4.5309885317251089E-3</v>
      </c>
      <c r="T85" s="80">
        <f t="shared" si="17"/>
        <v>0</v>
      </c>
      <c r="U85" s="81">
        <f t="shared" si="18"/>
        <v>-1.9999999999999996E-3</v>
      </c>
      <c r="V85" s="83">
        <f t="shared" si="19"/>
        <v>-4.7000000000000028E-3</v>
      </c>
    </row>
    <row r="86" spans="1:28" ht="12.75" customHeight="1">
      <c r="A86" s="75">
        <v>75</v>
      </c>
      <c r="B86" s="125" t="s">
        <v>124</v>
      </c>
      <c r="C86" s="126" t="s">
        <v>42</v>
      </c>
      <c r="D86" s="2">
        <v>16401483291.379999</v>
      </c>
      <c r="E86" s="3">
        <f t="shared" si="26"/>
        <v>5.8104693411607788E-2</v>
      </c>
      <c r="F86" s="14">
        <v>127.88</v>
      </c>
      <c r="G86" s="14">
        <v>127.88</v>
      </c>
      <c r="H86" s="60">
        <v>4297</v>
      </c>
      <c r="I86" s="5">
        <v>1.2999999999999999E-3</v>
      </c>
      <c r="J86" s="5">
        <v>1.5599999999999999E-2</v>
      </c>
      <c r="K86" s="2">
        <v>16138838336.25</v>
      </c>
      <c r="L86" s="3">
        <f t="shared" si="27"/>
        <v>5.7819286193358348E-2</v>
      </c>
      <c r="M86" s="14">
        <v>128.13</v>
      </c>
      <c r="N86" s="14">
        <v>128.13</v>
      </c>
      <c r="O86" s="60">
        <v>4304</v>
      </c>
      <c r="P86" s="5">
        <v>2E-3</v>
      </c>
      <c r="Q86" s="5">
        <v>1.7600000000000001E-2</v>
      </c>
      <c r="R86" s="80">
        <f t="shared" si="15"/>
        <v>-1.6013487954960479E-2</v>
      </c>
      <c r="S86" s="80">
        <f t="shared" si="16"/>
        <v>1.9549577729121052E-3</v>
      </c>
      <c r="T86" s="80">
        <f t="shared" si="17"/>
        <v>1.6290435187340006E-3</v>
      </c>
      <c r="U86" s="81">
        <f t="shared" si="18"/>
        <v>7.000000000000001E-4</v>
      </c>
      <c r="V86" s="83">
        <f t="shared" si="19"/>
        <v>2.0000000000000018E-3</v>
      </c>
    </row>
    <row r="87" spans="1:28" ht="12.75" customHeight="1">
      <c r="A87" s="75">
        <v>76</v>
      </c>
      <c r="B87" s="125" t="s">
        <v>125</v>
      </c>
      <c r="C87" s="126" t="s">
        <v>42</v>
      </c>
      <c r="D87" s="2">
        <v>13213375816.790001</v>
      </c>
      <c r="E87" s="3">
        <f t="shared" si="26"/>
        <v>4.6810348620751938E-2</v>
      </c>
      <c r="F87" s="14">
        <v>355.08</v>
      </c>
      <c r="G87" s="14">
        <v>355.31</v>
      </c>
      <c r="H87" s="60">
        <v>10247</v>
      </c>
      <c r="I87" s="5">
        <v>5.9999999999999995E-4</v>
      </c>
      <c r="J87" s="5">
        <v>5.4999999999999997E-3</v>
      </c>
      <c r="K87" s="2">
        <v>13138676079.85</v>
      </c>
      <c r="L87" s="3">
        <f t="shared" si="27"/>
        <v>4.7070852104414494E-2</v>
      </c>
      <c r="M87" s="14">
        <v>355.2</v>
      </c>
      <c r="N87" s="14">
        <v>355.43</v>
      </c>
      <c r="O87" s="60">
        <v>10247</v>
      </c>
      <c r="P87" s="5">
        <v>2.9999999999999997E-4</v>
      </c>
      <c r="Q87" s="5">
        <v>5.8999999999999999E-3</v>
      </c>
      <c r="R87" s="80">
        <f t="shared" si="15"/>
        <v>-5.6533423385325124E-3</v>
      </c>
      <c r="S87" s="80">
        <f t="shared" si="16"/>
        <v>3.3773324702373854E-4</v>
      </c>
      <c r="T87" s="80">
        <f t="shared" si="17"/>
        <v>0</v>
      </c>
      <c r="U87" s="81">
        <f t="shared" si="18"/>
        <v>-2.9999999999999997E-4</v>
      </c>
      <c r="V87" s="83">
        <f t="shared" si="19"/>
        <v>4.0000000000000018E-4</v>
      </c>
    </row>
    <row r="88" spans="1:28">
      <c r="A88" s="75">
        <v>77</v>
      </c>
      <c r="B88" s="125" t="s">
        <v>126</v>
      </c>
      <c r="C88" s="126" t="s">
        <v>45</v>
      </c>
      <c r="D88" s="2">
        <v>96069169363.279999</v>
      </c>
      <c r="E88" s="3">
        <f t="shared" si="26"/>
        <v>0.34033931766981912</v>
      </c>
      <c r="F88" s="2">
        <v>1.9726999999999999</v>
      </c>
      <c r="G88" s="2">
        <v>1.9726999999999999</v>
      </c>
      <c r="H88" s="60">
        <v>6124</v>
      </c>
      <c r="I88" s="5">
        <v>5.7000000000000002E-2</v>
      </c>
      <c r="J88" s="5">
        <v>6.9900000000000004E-2</v>
      </c>
      <c r="K88" s="2">
        <v>95073734848.820007</v>
      </c>
      <c r="L88" s="3">
        <f t="shared" si="27"/>
        <v>0.34061283533327025</v>
      </c>
      <c r="M88" s="2">
        <v>1.9748000000000001</v>
      </c>
      <c r="N88" s="2">
        <v>1.9748000000000001</v>
      </c>
      <c r="O88" s="60">
        <v>6133</v>
      </c>
      <c r="P88" s="5">
        <v>5.7099999999999998E-2</v>
      </c>
      <c r="Q88" s="5">
        <v>6.8699999999999997E-2</v>
      </c>
      <c r="R88" s="80">
        <f t="shared" si="15"/>
        <v>-1.0361643814112866E-2</v>
      </c>
      <c r="S88" s="80">
        <f t="shared" si="16"/>
        <v>1.0645308460486707E-3</v>
      </c>
      <c r="T88" s="80">
        <f t="shared" si="17"/>
        <v>1.4696276943174395E-3</v>
      </c>
      <c r="U88" s="81">
        <f t="shared" si="18"/>
        <v>9.9999999999995925E-5</v>
      </c>
      <c r="V88" s="83">
        <f t="shared" si="19"/>
        <v>-1.2000000000000066E-3</v>
      </c>
    </row>
    <row r="89" spans="1:28">
      <c r="A89" s="75">
        <v>78</v>
      </c>
      <c r="B89" s="125" t="s">
        <v>241</v>
      </c>
      <c r="C89" s="125" t="s">
        <v>242</v>
      </c>
      <c r="D89" s="2">
        <v>82946548.299999997</v>
      </c>
      <c r="E89" s="3">
        <f t="shared" si="26"/>
        <v>2.9385048125833891E-4</v>
      </c>
      <c r="F89" s="2">
        <v>102.89051855042052</v>
      </c>
      <c r="G89" s="2">
        <v>102.89051855042052</v>
      </c>
      <c r="H89" s="60">
        <v>56</v>
      </c>
      <c r="I89" s="5">
        <v>1.6000000000000001E-3</v>
      </c>
      <c r="J89" s="5">
        <v>1.2699999999999999E-2</v>
      </c>
      <c r="K89" s="2">
        <v>83358020.120000005</v>
      </c>
      <c r="L89" s="3">
        <f t="shared" si="27"/>
        <v>2.986399096026823E-4</v>
      </c>
      <c r="M89" s="2">
        <v>103.04252279996672</v>
      </c>
      <c r="N89" s="2">
        <v>103.04252279996672</v>
      </c>
      <c r="O89" s="60">
        <v>56</v>
      </c>
      <c r="P89" s="5">
        <v>1.4773397168924445E-3</v>
      </c>
      <c r="Q89" s="5">
        <v>1.4208041417402839E-2</v>
      </c>
      <c r="R89" s="80">
        <f>((K89-D89)/D89)</f>
        <v>4.9606864713863897E-3</v>
      </c>
      <c r="S89" s="80">
        <f>((N89-G89)/G89)</f>
        <v>1.4773397168924445E-3</v>
      </c>
      <c r="T89" s="80">
        <f>((O89-H89)/H89)</f>
        <v>0</v>
      </c>
      <c r="U89" s="81">
        <f>P89-I89</f>
        <v>-1.2266028310755554E-4</v>
      </c>
      <c r="V89" s="83">
        <f>Q89-J89</f>
        <v>1.5080414174028396E-3</v>
      </c>
    </row>
    <row r="90" spans="1:28">
      <c r="A90" s="75">
        <v>79</v>
      </c>
      <c r="B90" s="125" t="s">
        <v>127</v>
      </c>
      <c r="C90" s="126" t="s">
        <v>91</v>
      </c>
      <c r="D90" s="2">
        <v>2577677023.3499999</v>
      </c>
      <c r="E90" s="3">
        <f t="shared" si="26"/>
        <v>9.1318041481415081E-3</v>
      </c>
      <c r="F90" s="14">
        <v>25.784099999999999</v>
      </c>
      <c r="G90" s="14">
        <v>25.784099999999999</v>
      </c>
      <c r="H90" s="60">
        <v>1319</v>
      </c>
      <c r="I90" s="5">
        <v>0</v>
      </c>
      <c r="J90" s="5">
        <v>0.1057</v>
      </c>
      <c r="K90" s="2">
        <v>2586305415.8499999</v>
      </c>
      <c r="L90" s="3">
        <f t="shared" si="27"/>
        <v>9.2657432899975588E-3</v>
      </c>
      <c r="M90" s="14">
        <v>25.8263</v>
      </c>
      <c r="N90" s="14">
        <v>25.8263</v>
      </c>
      <c r="O90" s="60">
        <v>1319</v>
      </c>
      <c r="P90" s="5">
        <v>0</v>
      </c>
      <c r="Q90" s="5">
        <v>0.1053</v>
      </c>
      <c r="R90" s="80">
        <f t="shared" si="15"/>
        <v>3.3473520622790713E-3</v>
      </c>
      <c r="S90" s="80">
        <f t="shared" si="16"/>
        <v>1.6366675586893134E-3</v>
      </c>
      <c r="T90" s="80">
        <f t="shared" si="17"/>
        <v>0</v>
      </c>
      <c r="U90" s="81">
        <f t="shared" si="18"/>
        <v>0</v>
      </c>
      <c r="V90" s="83">
        <f t="shared" si="19"/>
        <v>-3.9999999999999758E-4</v>
      </c>
    </row>
    <row r="91" spans="1:28">
      <c r="A91" s="75"/>
      <c r="B91" s="19"/>
      <c r="C91" s="71" t="s">
        <v>46</v>
      </c>
      <c r="D91" s="59">
        <f>SUM(D58:D90)</f>
        <v>282274672291.84991</v>
      </c>
      <c r="E91" s="100">
        <f>(D91/$D$183)</f>
        <v>9.9318109513894762E-2</v>
      </c>
      <c r="F91" s="30"/>
      <c r="G91" s="11"/>
      <c r="H91" s="65">
        <f>SUM(H58:H90)</f>
        <v>49333</v>
      </c>
      <c r="I91" s="12"/>
      <c r="J91" s="12"/>
      <c r="K91" s="59">
        <f>SUM(K58:K90)</f>
        <v>279125520198.89612</v>
      </c>
      <c r="L91" s="100">
        <f>(K91/$K$183)</f>
        <v>9.6594076186757027E-2</v>
      </c>
      <c r="M91" s="30"/>
      <c r="N91" s="11"/>
      <c r="O91" s="65">
        <f>SUM(O58:O90)</f>
        <v>48694</v>
      </c>
      <c r="P91" s="12"/>
      <c r="Q91" s="12"/>
      <c r="R91" s="80">
        <f t="shared" si="15"/>
        <v>-1.115633955885996E-2</v>
      </c>
      <c r="S91" s="80" t="e">
        <f t="shared" si="16"/>
        <v>#DIV/0!</v>
      </c>
      <c r="T91" s="80">
        <f t="shared" si="17"/>
        <v>-1.295279022155555E-2</v>
      </c>
      <c r="U91" s="81">
        <f t="shared" si="18"/>
        <v>0</v>
      </c>
      <c r="V91" s="83">
        <f t="shared" si="19"/>
        <v>0</v>
      </c>
    </row>
    <row r="92" spans="1:28" ht="8.25" customHeight="1">
      <c r="A92" s="133"/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</row>
    <row r="93" spans="1:28" ht="15" customHeight="1">
      <c r="A93" s="140" t="s">
        <v>128</v>
      </c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</row>
    <row r="94" spans="1:28">
      <c r="A94" s="144" t="s">
        <v>230</v>
      </c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Z94" s="117"/>
      <c r="AB94" s="103"/>
    </row>
    <row r="95" spans="1:28" ht="16.5" customHeight="1">
      <c r="A95" s="75">
        <v>80</v>
      </c>
      <c r="B95" s="125" t="s">
        <v>129</v>
      </c>
      <c r="C95" s="126" t="s">
        <v>17</v>
      </c>
      <c r="D95" s="2">
        <v>2633545303.0599999</v>
      </c>
      <c r="E95" s="3">
        <f>(D95/$D$120)</f>
        <v>1.9215750931619454E-3</v>
      </c>
      <c r="F95" s="2">
        <f>108.9403*1538.743</f>
        <v>167631.12404289999</v>
      </c>
      <c r="G95" s="2">
        <f>108.9403*1538.743</f>
        <v>167631.12404289999</v>
      </c>
      <c r="H95" s="60">
        <v>235</v>
      </c>
      <c r="I95" s="5">
        <v>2.0999999999999999E-3</v>
      </c>
      <c r="J95" s="5">
        <v>1.0999999999999999E-2</v>
      </c>
      <c r="K95" s="2">
        <v>2816110655.5100002</v>
      </c>
      <c r="L95" s="3">
        <f t="shared" ref="L95:L106" si="28">(K95/$K$120)</f>
        <v>1.9292333849340677E-3</v>
      </c>
      <c r="M95" s="2">
        <f>109.0655*1625.232</f>
        <v>177256.74069599999</v>
      </c>
      <c r="N95" s="2">
        <f>109.0655*1625.232</f>
        <v>177256.74069599999</v>
      </c>
      <c r="O95" s="60">
        <v>237</v>
      </c>
      <c r="P95" s="5">
        <v>1.1000000000000001E-3</v>
      </c>
      <c r="Q95" s="5">
        <v>1.21E-2</v>
      </c>
      <c r="R95" s="81">
        <f>((K95-D95)/D95)</f>
        <v>6.932303470833473E-2</v>
      </c>
      <c r="S95" s="81">
        <f>((N95-G95)/G95)</f>
        <v>5.7421416864308725E-2</v>
      </c>
      <c r="T95" s="81">
        <f>((O95-H95)/H95)</f>
        <v>8.5106382978723406E-3</v>
      </c>
      <c r="U95" s="81">
        <f>P95-I95</f>
        <v>-9.999999999999998E-4</v>
      </c>
      <c r="V95" s="83">
        <f>Q95-J95</f>
        <v>1.1000000000000003E-3</v>
      </c>
      <c r="X95" s="117"/>
      <c r="Y95" s="119"/>
      <c r="Z95" s="117"/>
      <c r="AA95" s="104"/>
    </row>
    <row r="96" spans="1:28">
      <c r="A96" s="75">
        <v>81</v>
      </c>
      <c r="B96" s="125" t="s">
        <v>130</v>
      </c>
      <c r="C96" s="126" t="s">
        <v>21</v>
      </c>
      <c r="D96" s="2">
        <f>10945802.51*1538.243</f>
        <v>16837304090.389929</v>
      </c>
      <c r="E96" s="3">
        <f>(D96/$D$120)</f>
        <v>1.2285394953522814E-2</v>
      </c>
      <c r="F96" s="2">
        <f>1.1132*1538.243</f>
        <v>1712.3721075999999</v>
      </c>
      <c r="G96" s="2">
        <f>1.1132*1538.243</f>
        <v>1712.3721075999999</v>
      </c>
      <c r="H96" s="60">
        <v>303</v>
      </c>
      <c r="I96" s="5">
        <v>-0.31990000000000002</v>
      </c>
      <c r="J96" s="5">
        <v>2.8199999999999999E-2</v>
      </c>
      <c r="K96" s="2">
        <f>10947118.61*1625.232</f>
        <v>17791607472.767517</v>
      </c>
      <c r="L96" s="3">
        <f t="shared" si="28"/>
        <v>1.2188499425953628E-2</v>
      </c>
      <c r="M96" s="2">
        <f>1.1136*1625.232</f>
        <v>1809.8583551999998</v>
      </c>
      <c r="N96" s="2">
        <f>1.1136*1625.232</f>
        <v>1809.8583551999998</v>
      </c>
      <c r="O96" s="60">
        <v>303</v>
      </c>
      <c r="P96" s="5">
        <v>1.8800000000000001E-2</v>
      </c>
      <c r="Q96" s="5">
        <v>-0.28520000000000001</v>
      </c>
      <c r="R96" s="81">
        <f t="shared" ref="R96:R106" si="29">((K96-D96)/D96)</f>
        <v>5.6677920482666053E-2</v>
      </c>
      <c r="S96" s="81">
        <f t="shared" ref="S96:S106" si="30">((N96-G96)/G96)</f>
        <v>5.6930527639014815E-2</v>
      </c>
      <c r="T96" s="81">
        <f t="shared" ref="T96:T106" si="31">((O96-H96)/H96)</f>
        <v>0</v>
      </c>
      <c r="U96" s="81">
        <f t="shared" ref="U96:U106" si="32">P96-I96</f>
        <v>0.3387</v>
      </c>
      <c r="V96" s="83">
        <f t="shared" ref="V96:V106" si="33">Q96-J96</f>
        <v>-0.31340000000000001</v>
      </c>
    </row>
    <row r="97" spans="1:24">
      <c r="A97" s="75">
        <v>82</v>
      </c>
      <c r="B97" s="125" t="s">
        <v>243</v>
      </c>
      <c r="C97" s="126" t="s">
        <v>25</v>
      </c>
      <c r="D97" s="2">
        <f>380614.02*1538.743</f>
        <v>585667158.97686005</v>
      </c>
      <c r="E97" s="3">
        <v>0</v>
      </c>
      <c r="F97" s="2">
        <f>1.1199*1538.743</f>
        <v>1723.2382856999998</v>
      </c>
      <c r="G97" s="2">
        <f>1.1199*1538.743</f>
        <v>1723.2382856999998</v>
      </c>
      <c r="H97" s="60">
        <v>27</v>
      </c>
      <c r="I97" s="5">
        <v>8.8999999999999995E-5</v>
      </c>
      <c r="J97" s="5">
        <v>0.11</v>
      </c>
      <c r="K97" s="2">
        <f>381036.97*1625.232</f>
        <v>619273476.82703996</v>
      </c>
      <c r="L97" s="3">
        <f t="shared" si="28"/>
        <v>4.2424578152187485E-4</v>
      </c>
      <c r="M97" s="2">
        <f>1.1212*1625.232</f>
        <v>1822.2101183999998</v>
      </c>
      <c r="N97" s="2">
        <f>1.1212*1625.232</f>
        <v>1822.2101183999998</v>
      </c>
      <c r="O97" s="60">
        <v>27</v>
      </c>
      <c r="P97" s="5">
        <v>2.6800000000000001E-4</v>
      </c>
      <c r="Q97" s="5">
        <v>0.1104</v>
      </c>
      <c r="R97" s="81">
        <f>((K97-D97)/D97)</f>
        <v>5.7381257144226712E-2</v>
      </c>
      <c r="S97" s="81">
        <f>((N97-G97)/G97)</f>
        <v>5.7433631507204194E-2</v>
      </c>
      <c r="T97" s="81">
        <f>((O97-H97)/H97)</f>
        <v>0</v>
      </c>
      <c r="U97" s="81">
        <f>P97-I97</f>
        <v>1.7900000000000001E-4</v>
      </c>
      <c r="V97" s="83">
        <f t="shared" si="33"/>
        <v>3.9999999999999758E-4</v>
      </c>
    </row>
    <row r="98" spans="1:24">
      <c r="A98" s="75">
        <v>83</v>
      </c>
      <c r="B98" s="125" t="s">
        <v>139</v>
      </c>
      <c r="C98" s="126" t="s">
        <v>64</v>
      </c>
      <c r="D98" s="2">
        <f>408773.5*1538.743</f>
        <v>628997361.7105</v>
      </c>
      <c r="E98" s="3">
        <f t="shared" ref="E98:E106" si="34">(D98/$D$120)</f>
        <v>4.5895001788011201E-4</v>
      </c>
      <c r="F98" s="2">
        <f>104.32*1538.743</f>
        <v>160521.66975999999</v>
      </c>
      <c r="G98" s="2">
        <f>105.38*1538.743</f>
        <v>162152.73733999999</v>
      </c>
      <c r="H98" s="60">
        <v>42</v>
      </c>
      <c r="I98" s="5">
        <v>1.1999999999999999E-3</v>
      </c>
      <c r="J98" s="5">
        <v>1.8100000000000002E-2</v>
      </c>
      <c r="K98" s="2">
        <f>408773.5*1625.232</f>
        <v>664351772.95200002</v>
      </c>
      <c r="L98" s="3">
        <f t="shared" si="28"/>
        <v>4.5512757718216192E-4</v>
      </c>
      <c r="M98" s="2">
        <f>104.37*1625.232</f>
        <v>169625.46384000001</v>
      </c>
      <c r="N98" s="2">
        <f>105.45*1625.232</f>
        <v>171380.7144</v>
      </c>
      <c r="O98" s="60">
        <v>42</v>
      </c>
      <c r="P98" s="5">
        <v>5.9999999999999995E-4</v>
      </c>
      <c r="Q98" s="5">
        <v>1.8700000000000001E-2</v>
      </c>
      <c r="R98" s="81">
        <f>((K98-D98)/D98)</f>
        <v>5.6207566825649279E-2</v>
      </c>
      <c r="S98" s="81">
        <f>((N98-G98)/G98)</f>
        <v>5.690916608241333E-2</v>
      </c>
      <c r="T98" s="81">
        <f>((O98-H98)/H98)</f>
        <v>0</v>
      </c>
      <c r="U98" s="81">
        <f>P98-I98</f>
        <v>-5.9999999999999995E-4</v>
      </c>
      <c r="V98" s="83">
        <f>Q98-J98</f>
        <v>5.9999999999999984E-4</v>
      </c>
    </row>
    <row r="99" spans="1:24">
      <c r="A99" s="75">
        <v>84</v>
      </c>
      <c r="B99" s="125" t="s">
        <v>131</v>
      </c>
      <c r="C99" s="126" t="s">
        <v>67</v>
      </c>
      <c r="D99" s="2">
        <v>4283140906.5731196</v>
      </c>
      <c r="E99" s="3">
        <f t="shared" si="34"/>
        <v>3.1252080140830862E-3</v>
      </c>
      <c r="F99" s="2">
        <v>167534.83166219998</v>
      </c>
      <c r="G99" s="2">
        <v>167534.83166219998</v>
      </c>
      <c r="H99" s="60">
        <v>47</v>
      </c>
      <c r="I99" s="5">
        <v>1.4384583567228933E-3</v>
      </c>
      <c r="J99" s="5">
        <v>3.5806038990270572E-2</v>
      </c>
      <c r="K99" s="2">
        <v>4450876461.0543995</v>
      </c>
      <c r="L99" s="3">
        <f t="shared" si="28"/>
        <v>3.0491626613046814E-3</v>
      </c>
      <c r="M99" s="2">
        <v>176657.78783300001</v>
      </c>
      <c r="N99" s="2">
        <v>176657.78783300001</v>
      </c>
      <c r="O99" s="60">
        <v>48</v>
      </c>
      <c r="P99" s="5">
        <v>2.1287737562485404E-3</v>
      </c>
      <c r="Q99" s="5">
        <v>4.3985155287860733E-2</v>
      </c>
      <c r="R99" s="81">
        <f t="shared" si="29"/>
        <v>3.9161810956035693E-2</v>
      </c>
      <c r="S99" s="81">
        <f t="shared" si="30"/>
        <v>5.4454086235599157E-2</v>
      </c>
      <c r="T99" s="81">
        <f t="shared" si="31"/>
        <v>2.1276595744680851E-2</v>
      </c>
      <c r="U99" s="81">
        <f t="shared" si="32"/>
        <v>6.903153995256471E-4</v>
      </c>
      <c r="V99" s="83">
        <f t="shared" si="33"/>
        <v>8.179116297590161E-3</v>
      </c>
      <c r="X99" s="108"/>
    </row>
    <row r="100" spans="1:24">
      <c r="A100" s="75">
        <v>85</v>
      </c>
      <c r="B100" s="125" t="s">
        <v>132</v>
      </c>
      <c r="C100" s="126" t="s">
        <v>27</v>
      </c>
      <c r="D100" s="2">
        <v>44161709403.019997</v>
      </c>
      <c r="E100" s="3">
        <f t="shared" si="34"/>
        <v>3.2222738208337383E-2</v>
      </c>
      <c r="F100" s="2">
        <v>194305.37</v>
      </c>
      <c r="G100" s="2">
        <v>194305.37</v>
      </c>
      <c r="H100" s="60">
        <v>2081</v>
      </c>
      <c r="I100" s="5">
        <v>1.8E-3</v>
      </c>
      <c r="J100" s="5">
        <v>1.23E-2</v>
      </c>
      <c r="K100" s="2">
        <v>46419354679.461502</v>
      </c>
      <c r="L100" s="3">
        <f t="shared" si="28"/>
        <v>3.1800514862401354E-2</v>
      </c>
      <c r="M100" s="2">
        <v>204515.35800000001</v>
      </c>
      <c r="N100" s="2">
        <v>204515.35800000001</v>
      </c>
      <c r="O100" s="60">
        <v>2090</v>
      </c>
      <c r="P100" s="5">
        <v>1.4E-3</v>
      </c>
      <c r="Q100" s="5">
        <v>1.41E-2</v>
      </c>
      <c r="R100" s="81">
        <f t="shared" si="29"/>
        <v>5.1122234781226933E-2</v>
      </c>
      <c r="S100" s="81">
        <f t="shared" si="30"/>
        <v>5.2546092781686954E-2</v>
      </c>
      <c r="T100" s="81">
        <f t="shared" si="31"/>
        <v>4.324843825084094E-3</v>
      </c>
      <c r="U100" s="81">
        <f t="shared" si="32"/>
        <v>-3.9999999999999996E-4</v>
      </c>
      <c r="V100" s="83">
        <f t="shared" si="33"/>
        <v>1.7999999999999995E-3</v>
      </c>
    </row>
    <row r="101" spans="1:24">
      <c r="A101" s="75">
        <v>86</v>
      </c>
      <c r="B101" s="131" t="s">
        <v>133</v>
      </c>
      <c r="C101" s="131" t="s">
        <v>27</v>
      </c>
      <c r="D101" s="2">
        <v>63106591744.220001</v>
      </c>
      <c r="E101" s="3">
        <f t="shared" si="34"/>
        <v>4.6045934645260078E-2</v>
      </c>
      <c r="F101" s="2">
        <v>175943.13</v>
      </c>
      <c r="G101" s="2">
        <v>175943.13</v>
      </c>
      <c r="H101" s="60">
        <v>319</v>
      </c>
      <c r="I101" s="5">
        <v>2.0999999999999999E-3</v>
      </c>
      <c r="J101" s="5">
        <v>1.5699999999999999E-2</v>
      </c>
      <c r="K101" s="2">
        <v>67016757485.330299</v>
      </c>
      <c r="L101" s="3">
        <f t="shared" si="28"/>
        <v>4.5911180953688263E-2</v>
      </c>
      <c r="M101" s="2">
        <v>185263.21599999999</v>
      </c>
      <c r="N101" s="2">
        <v>185263.21599999999</v>
      </c>
      <c r="O101" s="60">
        <v>328</v>
      </c>
      <c r="P101" s="5">
        <v>1.8E-3</v>
      </c>
      <c r="Q101" s="5">
        <v>1.7500000000000002E-2</v>
      </c>
      <c r="R101" s="81">
        <f t="shared" si="29"/>
        <v>6.1961288560135788E-2</v>
      </c>
      <c r="S101" s="81">
        <f t="shared" si="30"/>
        <v>5.2972150717109451E-2</v>
      </c>
      <c r="T101" s="81">
        <f t="shared" si="31"/>
        <v>2.8213166144200628E-2</v>
      </c>
      <c r="U101" s="81">
        <f t="shared" si="32"/>
        <v>-2.9999999999999992E-4</v>
      </c>
      <c r="V101" s="83">
        <f t="shared" si="33"/>
        <v>1.800000000000003E-3</v>
      </c>
    </row>
    <row r="102" spans="1:24">
      <c r="A102" s="75">
        <v>87</v>
      </c>
      <c r="B102" s="125" t="s">
        <v>134</v>
      </c>
      <c r="C102" s="126" t="s">
        <v>31</v>
      </c>
      <c r="D102" s="2">
        <f>116625.24*1538.743</f>
        <v>179456271.67332</v>
      </c>
      <c r="E102" s="3">
        <f t="shared" si="34"/>
        <v>1.309408657441648E-4</v>
      </c>
      <c r="F102" s="2">
        <f>116.42*1538.743</f>
        <v>179140.46005999998</v>
      </c>
      <c r="G102" s="2">
        <f>116.42*1538.743</f>
        <v>179140.46005999998</v>
      </c>
      <c r="H102" s="60">
        <v>4</v>
      </c>
      <c r="I102" s="5">
        <v>1.9E-3</v>
      </c>
      <c r="J102" s="5">
        <v>1.5900000000000001E-2</v>
      </c>
      <c r="K102" s="2">
        <f>118075.35*1625.232</f>
        <v>191899837.23120001</v>
      </c>
      <c r="L102" s="3">
        <f t="shared" si="28"/>
        <v>1.3146485271289793E-4</v>
      </c>
      <c r="M102" s="2">
        <f>117.87*1625.232</f>
        <v>191566.09583999999</v>
      </c>
      <c r="N102" s="2">
        <f>117.87*1625.232</f>
        <v>191566.09583999999</v>
      </c>
      <c r="O102" s="60">
        <v>4</v>
      </c>
      <c r="P102" s="5">
        <v>1.24E-2</v>
      </c>
      <c r="Q102" s="5">
        <v>2.86E-2</v>
      </c>
      <c r="R102" s="81">
        <f t="shared" si="29"/>
        <v>6.9340377139519141E-2</v>
      </c>
      <c r="S102" s="81">
        <f t="shared" si="30"/>
        <v>6.9362531366941121E-2</v>
      </c>
      <c r="T102" s="81">
        <f t="shared" si="31"/>
        <v>0</v>
      </c>
      <c r="U102" s="81">
        <f t="shared" si="32"/>
        <v>1.0499999999999999E-2</v>
      </c>
      <c r="V102" s="83">
        <f t="shared" si="33"/>
        <v>1.2699999999999999E-2</v>
      </c>
    </row>
    <row r="103" spans="1:24">
      <c r="A103" s="75">
        <v>88</v>
      </c>
      <c r="B103" s="125" t="s">
        <v>135</v>
      </c>
      <c r="C103" s="126" t="s">
        <v>34</v>
      </c>
      <c r="D103" s="2">
        <f>10292489.43*1538.743</f>
        <v>15837496062.986488</v>
      </c>
      <c r="E103" s="3">
        <f t="shared" si="34"/>
        <v>1.1555881699594917E-2</v>
      </c>
      <c r="F103" s="2">
        <f>1.33*1538.743</f>
        <v>2046.52819</v>
      </c>
      <c r="G103" s="2">
        <f>1.33*1538.743</f>
        <v>2046.52819</v>
      </c>
      <c r="H103" s="61">
        <v>116</v>
      </c>
      <c r="I103" s="12">
        <v>1.1000000000000001E-3</v>
      </c>
      <c r="J103" s="12">
        <v>4.5600000000000002E-2</v>
      </c>
      <c r="K103" s="2">
        <f>10425540.74*1625.232</f>
        <v>16943922427.951679</v>
      </c>
      <c r="L103" s="3">
        <f t="shared" si="28"/>
        <v>1.1607775694388514E-2</v>
      </c>
      <c r="M103" s="2">
        <f>1.33*1625.232</f>
        <v>2161.5585599999999</v>
      </c>
      <c r="N103" s="2">
        <f>1.33*1625.232</f>
        <v>2161.5585599999999</v>
      </c>
      <c r="O103" s="61">
        <v>115</v>
      </c>
      <c r="P103" s="12">
        <v>8.9999999999999998E-4</v>
      </c>
      <c r="Q103" s="12">
        <v>4.58E-2</v>
      </c>
      <c r="R103" s="81">
        <f t="shared" si="29"/>
        <v>6.986119273936231E-2</v>
      </c>
      <c r="S103" s="81">
        <f t="shared" si="30"/>
        <v>5.6207566825649223E-2</v>
      </c>
      <c r="T103" s="81">
        <f t="shared" si="31"/>
        <v>-8.6206896551724137E-3</v>
      </c>
      <c r="U103" s="81">
        <f t="shared" si="32"/>
        <v>-2.0000000000000009E-4</v>
      </c>
      <c r="V103" s="83">
        <f t="shared" si="33"/>
        <v>1.9999999999999879E-4</v>
      </c>
    </row>
    <row r="104" spans="1:24">
      <c r="A104" s="75">
        <v>89</v>
      </c>
      <c r="B104" s="125" t="s">
        <v>136</v>
      </c>
      <c r="C104" s="126" t="s">
        <v>78</v>
      </c>
      <c r="D104" s="2">
        <f>10439616.84*1538.743</f>
        <v>16063887335.232119</v>
      </c>
      <c r="E104" s="3">
        <f t="shared" si="34"/>
        <v>1.1721068844676863E-2</v>
      </c>
      <c r="F104" s="2">
        <f>104.19*1538.743</f>
        <v>160321.63316999999</v>
      </c>
      <c r="G104" s="2">
        <f>104.19*1538.743</f>
        <v>160321.63316999999</v>
      </c>
      <c r="H104" s="60">
        <v>274</v>
      </c>
      <c r="I104" s="5">
        <v>8.0999999999999996E-3</v>
      </c>
      <c r="J104" s="5">
        <v>2.2000000000000001E-3</v>
      </c>
      <c r="K104" s="2">
        <f>10294730.72*1625.232</f>
        <v>16731325797.52704</v>
      </c>
      <c r="L104" s="3">
        <f t="shared" si="28"/>
        <v>1.1462132086195346E-2</v>
      </c>
      <c r="M104" s="2">
        <f>104.38*1625.232</f>
        <v>169641.71615999998</v>
      </c>
      <c r="N104" s="2">
        <f>104.38*1625.232</f>
        <v>169641.71615999998</v>
      </c>
      <c r="O104" s="60">
        <v>274</v>
      </c>
      <c r="P104" s="5">
        <v>8.0999999999999996E-3</v>
      </c>
      <c r="Q104" s="5">
        <v>9.9000000000000008E-3</v>
      </c>
      <c r="R104" s="81">
        <f t="shared" si="29"/>
        <v>4.1549000460869928E-2</v>
      </c>
      <c r="S104" s="81">
        <f t="shared" si="30"/>
        <v>5.8133657983119931E-2</v>
      </c>
      <c r="T104" s="81">
        <f t="shared" si="31"/>
        <v>0</v>
      </c>
      <c r="U104" s="81">
        <f t="shared" si="32"/>
        <v>0</v>
      </c>
      <c r="V104" s="83">
        <f t="shared" si="33"/>
        <v>7.7000000000000002E-3</v>
      </c>
    </row>
    <row r="105" spans="1:24">
      <c r="A105" s="75">
        <v>90</v>
      </c>
      <c r="B105" s="125" t="s">
        <v>137</v>
      </c>
      <c r="C105" s="126" t="s">
        <v>38</v>
      </c>
      <c r="D105" s="2">
        <f>1906271.54*1538.743</f>
        <v>2933261988.27422</v>
      </c>
      <c r="E105" s="3">
        <f t="shared" si="34"/>
        <v>2.1402643697973293E-3</v>
      </c>
      <c r="F105" s="2">
        <f>134.315984*1538.743</f>
        <v>206677.78016811196</v>
      </c>
      <c r="G105" s="2">
        <f>137.57491*1538.743</f>
        <v>211692.42973812998</v>
      </c>
      <c r="H105" s="60">
        <v>47</v>
      </c>
      <c r="I105" s="5">
        <v>-5.9999999999999995E-4</v>
      </c>
      <c r="J105" s="5">
        <v>1.8100000000000002E-2</v>
      </c>
      <c r="K105" s="2">
        <f xml:space="preserve"> 1908424.67*1625.232</f>
        <v>3101632843.2734399</v>
      </c>
      <c r="L105" s="3">
        <f t="shared" si="28"/>
        <v>2.124836116557866E-3</v>
      </c>
      <c r="M105" s="2">
        <f>134.47*1625.232</f>
        <v>218544.94704</v>
      </c>
      <c r="N105" s="2">
        <f>134.47*1625.232</f>
        <v>218544.94704</v>
      </c>
      <c r="O105" s="60">
        <v>47</v>
      </c>
      <c r="P105" s="5">
        <v>1.2999999999999999E-3</v>
      </c>
      <c r="Q105" s="5">
        <v>1.9400000000000001E-2</v>
      </c>
      <c r="R105" s="81">
        <f t="shared" si="29"/>
        <v>5.7400551219865849E-2</v>
      </c>
      <c r="S105" s="81">
        <f t="shared" si="30"/>
        <v>3.2370157545769537E-2</v>
      </c>
      <c r="T105" s="81">
        <f t="shared" si="31"/>
        <v>0</v>
      </c>
      <c r="U105" s="81">
        <f t="shared" si="32"/>
        <v>1.8999999999999998E-3</v>
      </c>
      <c r="V105" s="83">
        <f t="shared" si="33"/>
        <v>1.2999999999999991E-3</v>
      </c>
    </row>
    <row r="106" spans="1:24" ht="16.5" customHeight="1">
      <c r="A106" s="75">
        <v>91</v>
      </c>
      <c r="B106" s="125" t="s">
        <v>138</v>
      </c>
      <c r="C106" s="126" t="s">
        <v>45</v>
      </c>
      <c r="D106" s="4">
        <v>226077353834.04001</v>
      </c>
      <c r="E106" s="3">
        <f t="shared" si="34"/>
        <v>0.16495809346840543</v>
      </c>
      <c r="F106" s="2">
        <v>194188.17</v>
      </c>
      <c r="G106" s="2">
        <v>194188.17</v>
      </c>
      <c r="H106" s="60">
        <v>3094</v>
      </c>
      <c r="I106" s="5">
        <v>5.3699999999999998E-2</v>
      </c>
      <c r="J106" s="5">
        <v>5.3999999999999999E-2</v>
      </c>
      <c r="K106" s="4">
        <v>238710090714.57001</v>
      </c>
      <c r="L106" s="3">
        <f t="shared" si="28"/>
        <v>0.16353316068248971</v>
      </c>
      <c r="M106" s="2">
        <v>204320.56</v>
      </c>
      <c r="N106" s="2">
        <v>204320.56</v>
      </c>
      <c r="O106" s="60">
        <v>3102</v>
      </c>
      <c r="P106" s="5">
        <v>5.3800000000000001E-2</v>
      </c>
      <c r="Q106" s="5">
        <v>5.3999999999999999E-2</v>
      </c>
      <c r="R106" s="81">
        <f t="shared" si="29"/>
        <v>5.5877940299157526E-2</v>
      </c>
      <c r="S106" s="81">
        <f t="shared" si="30"/>
        <v>5.2178204264451251E-2</v>
      </c>
      <c r="T106" s="81">
        <f t="shared" si="31"/>
        <v>2.5856496444731738E-3</v>
      </c>
      <c r="U106" s="81">
        <f t="shared" si="32"/>
        <v>1.0000000000000286E-4</v>
      </c>
      <c r="V106" s="83">
        <f t="shared" si="33"/>
        <v>0</v>
      </c>
    </row>
    <row r="107" spans="1:24" ht="6" customHeight="1">
      <c r="A107" s="133"/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</row>
    <row r="108" spans="1:24">
      <c r="A108" s="144" t="s">
        <v>231</v>
      </c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</row>
    <row r="109" spans="1:24">
      <c r="A109" s="75">
        <v>92</v>
      </c>
      <c r="B109" s="125" t="s">
        <v>140</v>
      </c>
      <c r="C109" s="126" t="s">
        <v>97</v>
      </c>
      <c r="D109" s="4">
        <v>1698044255.5599999</v>
      </c>
      <c r="E109" s="3">
        <f>(D109/$D$120)</f>
        <v>1.2389836410938225E-3</v>
      </c>
      <c r="F109" s="2">
        <v>176047.69</v>
      </c>
      <c r="G109" s="2">
        <v>176047.69</v>
      </c>
      <c r="H109" s="60">
        <v>27</v>
      </c>
      <c r="I109" s="5">
        <v>-4.4000000000000003E-3</v>
      </c>
      <c r="J109" s="5">
        <v>0.05</v>
      </c>
      <c r="K109" s="4">
        <v>1801510184.5599999</v>
      </c>
      <c r="L109" s="3">
        <f t="shared" ref="L109:L119" si="35">(K109/$K$120)</f>
        <v>1.2341608752311133E-3</v>
      </c>
      <c r="M109" s="2">
        <v>176597.48</v>
      </c>
      <c r="N109" s="2">
        <v>176597.48</v>
      </c>
      <c r="O109" s="60">
        <v>26</v>
      </c>
      <c r="P109" s="5">
        <v>2.9999999999999997E-4</v>
      </c>
      <c r="Q109" s="5">
        <v>5.4199999999999998E-2</v>
      </c>
      <c r="R109" s="81">
        <f>((K109-D109)/D109)</f>
        <v>6.0932410130781808E-2</v>
      </c>
      <c r="S109" s="81">
        <f>((N109-G109)/G109)</f>
        <v>3.122960602323201E-3</v>
      </c>
      <c r="T109" s="81">
        <f>((O109-H109)/H109)</f>
        <v>-3.7037037037037035E-2</v>
      </c>
      <c r="U109" s="81">
        <f>P109-I109</f>
        <v>4.7000000000000002E-3</v>
      </c>
      <c r="V109" s="83">
        <f>Q109-J109</f>
        <v>4.1999999999999954E-3</v>
      </c>
    </row>
    <row r="110" spans="1:24">
      <c r="A110" s="75">
        <v>93</v>
      </c>
      <c r="B110" s="126" t="s">
        <v>141</v>
      </c>
      <c r="C110" s="126" t="s">
        <v>23</v>
      </c>
      <c r="D110" s="2">
        <f>7417579.41*1538.743</f>
        <v>11413748394.081631</v>
      </c>
      <c r="E110" s="3">
        <f>(D110/$D$120)</f>
        <v>8.3280794935255125E-3</v>
      </c>
      <c r="F110" s="4">
        <f>133.04*1538.743</f>
        <v>204714.36871999997</v>
      </c>
      <c r="G110" s="4">
        <f>133.04*1538.743</f>
        <v>204714.36871999997</v>
      </c>
      <c r="H110" s="60">
        <v>352</v>
      </c>
      <c r="I110" s="5">
        <v>5.0000000000000001E-4</v>
      </c>
      <c r="J110" s="5">
        <v>1.04E-2</v>
      </c>
      <c r="K110" s="2">
        <f>7234609.81*1625.232</f>
        <v>11757919370.72592</v>
      </c>
      <c r="L110" s="3">
        <f t="shared" si="35"/>
        <v>8.0549997362441561E-3</v>
      </c>
      <c r="M110" s="4">
        <f>133.2*1625.232</f>
        <v>216480.90239999999</v>
      </c>
      <c r="N110" s="4">
        <f>133.2*1625.232</f>
        <v>216480.90239999999</v>
      </c>
      <c r="O110" s="60">
        <v>357</v>
      </c>
      <c r="P110" s="5">
        <v>5.0000000000000001E-4</v>
      </c>
      <c r="Q110" s="5">
        <v>1.1599999999999999E-2</v>
      </c>
      <c r="R110" s="81">
        <f t="shared" ref="R110:R120" si="36">((K110-D110)/D110)</f>
        <v>3.0154070754069884E-2</v>
      </c>
      <c r="S110" s="81">
        <f t="shared" ref="S110:S120" si="37">((N110-G110)/G110)</f>
        <v>5.7477810441795667E-2</v>
      </c>
      <c r="T110" s="81">
        <f t="shared" ref="T110:T120" si="38">((O110-H110)/H110)</f>
        <v>1.4204545454545454E-2</v>
      </c>
      <c r="U110" s="81">
        <f t="shared" ref="U110:U120" si="39">P110-I110</f>
        <v>0</v>
      </c>
      <c r="V110" s="83">
        <f t="shared" ref="V110:V120" si="40">Q110-J110</f>
        <v>1.1999999999999997E-3</v>
      </c>
    </row>
    <row r="111" spans="1:24">
      <c r="A111" s="75">
        <v>94</v>
      </c>
      <c r="B111" s="125" t="s">
        <v>142</v>
      </c>
      <c r="C111" s="126" t="s">
        <v>58</v>
      </c>
      <c r="D111" s="4">
        <v>18013027672.939999</v>
      </c>
      <c r="E111" s="3">
        <f t="shared" ref="E111:E119" si="41">(D111/$D$120)</f>
        <v>1.3143265577599894E-2</v>
      </c>
      <c r="F111" s="4">
        <v>187369.08</v>
      </c>
      <c r="G111" s="4">
        <v>187369.08</v>
      </c>
      <c r="H111" s="60">
        <v>590</v>
      </c>
      <c r="I111" s="5">
        <v>1.1999999999999999E-3</v>
      </c>
      <c r="J111" s="5">
        <v>6.4000000000000001E-2</v>
      </c>
      <c r="K111" s="4">
        <v>18764640129.389999</v>
      </c>
      <c r="L111" s="3">
        <f t="shared" si="35"/>
        <v>1.2855095066332402E-2</v>
      </c>
      <c r="M111" s="4">
        <v>187596.02</v>
      </c>
      <c r="N111" s="4">
        <v>187596.02</v>
      </c>
      <c r="O111" s="60">
        <v>594</v>
      </c>
      <c r="P111" s="5">
        <v>1.1999999999999999E-3</v>
      </c>
      <c r="Q111" s="5">
        <v>6.3E-2</v>
      </c>
      <c r="R111" s="81">
        <f t="shared" si="36"/>
        <v>4.1726047952455415E-2</v>
      </c>
      <c r="S111" s="81">
        <f t="shared" si="37"/>
        <v>1.2111923696268474E-3</v>
      </c>
      <c r="T111" s="81">
        <f t="shared" si="38"/>
        <v>6.7796610169491523E-3</v>
      </c>
      <c r="U111" s="81">
        <f t="shared" si="39"/>
        <v>0</v>
      </c>
      <c r="V111" s="83">
        <f t="shared" si="40"/>
        <v>-1.0000000000000009E-3</v>
      </c>
    </row>
    <row r="112" spans="1:24">
      <c r="A112" s="75">
        <v>95</v>
      </c>
      <c r="B112" s="125" t="s">
        <v>143</v>
      </c>
      <c r="C112" s="126" t="s">
        <v>56</v>
      </c>
      <c r="D112" s="4">
        <v>6729617494.6687632</v>
      </c>
      <c r="E112" s="3">
        <f t="shared" si="41"/>
        <v>4.9102877969241336E-3</v>
      </c>
      <c r="F112" s="4">
        <v>1890.9873513318132</v>
      </c>
      <c r="G112" s="4">
        <v>1890.9873513318132</v>
      </c>
      <c r="H112" s="60">
        <v>168</v>
      </c>
      <c r="I112" s="5">
        <v>4.9814869567837851E-2</v>
      </c>
      <c r="J112" s="5">
        <v>4.9125204430904769E-2</v>
      </c>
      <c r="K112" s="4">
        <v>7002853872.4252901</v>
      </c>
      <c r="L112" s="3">
        <f t="shared" si="35"/>
        <v>4.7974462417035204E-3</v>
      </c>
      <c r="M112" s="4">
        <v>1950.9585241814061</v>
      </c>
      <c r="N112" s="4">
        <v>1950.9585241814061</v>
      </c>
      <c r="O112" s="60">
        <v>170</v>
      </c>
      <c r="P112" s="5">
        <v>4.908012436304092E-2</v>
      </c>
      <c r="Q112" s="5">
        <v>4.9161930252350022E-2</v>
      </c>
      <c r="R112" s="81">
        <f t="shared" si="36"/>
        <v>4.0602066606755312E-2</v>
      </c>
      <c r="S112" s="81">
        <f t="shared" si="37"/>
        <v>3.1714211524130766E-2</v>
      </c>
      <c r="T112" s="81">
        <f t="shared" si="38"/>
        <v>1.1904761904761904E-2</v>
      </c>
      <c r="U112" s="81">
        <f t="shared" si="39"/>
        <v>-7.3474520479693134E-4</v>
      </c>
      <c r="V112" s="83">
        <f t="shared" si="40"/>
        <v>3.6725821445253437E-5</v>
      </c>
    </row>
    <row r="113" spans="1:24" ht="15.75">
      <c r="A113" s="75">
        <v>96</v>
      </c>
      <c r="B113" s="125" t="s">
        <v>253</v>
      </c>
      <c r="C113" s="126" t="s">
        <v>114</v>
      </c>
      <c r="D113" s="4">
        <v>1393380686.6900001</v>
      </c>
      <c r="E113" s="3">
        <f t="shared" si="41"/>
        <v>1.016684854338878E-3</v>
      </c>
      <c r="F113" s="4">
        <f>1.040646*1538.743</f>
        <v>1601.2867479779998</v>
      </c>
      <c r="G113" s="4">
        <f>1.049632*1538.743</f>
        <v>1615.1138925759997</v>
      </c>
      <c r="H113" s="60">
        <v>35</v>
      </c>
      <c r="I113" s="5">
        <v>4.7000000000000002E-3</v>
      </c>
      <c r="J113" s="5">
        <v>1.2500000000000001E-2</v>
      </c>
      <c r="K113" s="4">
        <v>1398281673.54</v>
      </c>
      <c r="L113" s="3">
        <f t="shared" si="35"/>
        <v>9.579210535838505E-4</v>
      </c>
      <c r="M113" s="4">
        <f>1.042026*1625.232</f>
        <v>1693.5340000319998</v>
      </c>
      <c r="N113" s="4">
        <f>1.051613*1625.232</f>
        <v>1709.1150992159999</v>
      </c>
      <c r="O113" s="60">
        <v>36</v>
      </c>
      <c r="P113" s="5">
        <v>8.0000000000000004E-4</v>
      </c>
      <c r="Q113" s="5">
        <v>1.44E-2</v>
      </c>
      <c r="R113" s="81">
        <f t="shared" si="36"/>
        <v>3.5173351380678912E-3</v>
      </c>
      <c r="S113" s="81">
        <f t="shared" si="37"/>
        <v>5.8200977077891701E-2</v>
      </c>
      <c r="T113" s="81">
        <f t="shared" si="38"/>
        <v>2.8571428571428571E-2</v>
      </c>
      <c r="U113" s="81">
        <f t="shared" si="39"/>
        <v>-3.9000000000000003E-3</v>
      </c>
      <c r="V113" s="83">
        <f t="shared" si="40"/>
        <v>1.8999999999999989E-3</v>
      </c>
      <c r="X113" s="120"/>
    </row>
    <row r="114" spans="1:24" ht="15.75">
      <c r="A114" s="75">
        <v>97</v>
      </c>
      <c r="B114" s="125" t="s">
        <v>259</v>
      </c>
      <c r="C114" s="126" t="s">
        <v>36</v>
      </c>
      <c r="D114" s="2">
        <f>495189.14*1538.743</f>
        <v>761968822.85101998</v>
      </c>
      <c r="E114" s="3">
        <f t="shared" si="41"/>
        <v>5.559730869467744E-4</v>
      </c>
      <c r="F114" s="4">
        <f>10.1266*1538.743</f>
        <v>15582.234863799998</v>
      </c>
      <c r="G114" s="4">
        <f>10.1266*1538.743</f>
        <v>15582.234863799998</v>
      </c>
      <c r="H114" s="60">
        <v>27</v>
      </c>
      <c r="I114" s="5">
        <v>7.6899999999999996E-2</v>
      </c>
      <c r="J114" s="5">
        <v>9.8500000000000004E-2</v>
      </c>
      <c r="K114" s="2">
        <f>670074.21*1625.232</f>
        <v>1089026048.4667199</v>
      </c>
      <c r="L114" s="3">
        <f t="shared" si="35"/>
        <v>7.4605925220091595E-4</v>
      </c>
      <c r="M114" s="4">
        <f>10.1296*1625.232</f>
        <v>16462.950067199999</v>
      </c>
      <c r="N114" s="4">
        <f>10.1296*1625.232</f>
        <v>16462.950067199999</v>
      </c>
      <c r="O114" s="60">
        <v>36</v>
      </c>
      <c r="P114" s="5">
        <v>6.6799999999999998E-2</v>
      </c>
      <c r="Q114" s="5">
        <v>8.77E-2</v>
      </c>
      <c r="R114" s="81">
        <f t="shared" ref="R114" si="42">((K114-D114)/D114)</f>
        <v>0.42922651925831623</v>
      </c>
      <c r="S114" s="81">
        <f t="shared" ref="S114" si="43">((N114-G114)/G114)</f>
        <v>5.6520467769744759E-2</v>
      </c>
      <c r="T114" s="81">
        <f t="shared" ref="T114" si="44">((O114-H114)/H114)</f>
        <v>0.33333333333333331</v>
      </c>
      <c r="U114" s="81">
        <f t="shared" ref="U114" si="45">P114-I114</f>
        <v>-1.0099999999999998E-2</v>
      </c>
      <c r="V114" s="83">
        <f t="shared" ref="V114" si="46">Q114-J114</f>
        <v>-1.0800000000000004E-2</v>
      </c>
      <c r="X114" s="120"/>
    </row>
    <row r="115" spans="1:24" ht="15.75">
      <c r="A115" s="75">
        <v>98</v>
      </c>
      <c r="B115" s="126" t="s">
        <v>144</v>
      </c>
      <c r="C115" s="127" t="s">
        <v>40</v>
      </c>
      <c r="D115" s="2">
        <v>18280547584</v>
      </c>
      <c r="E115" s="3">
        <f t="shared" si="41"/>
        <v>1.3338462370843017E-2</v>
      </c>
      <c r="F115" s="4">
        <f>1.0303*1538.743</f>
        <v>1585.3669129</v>
      </c>
      <c r="G115" s="4">
        <f>1.0303*1538.743</f>
        <v>1585.3669129</v>
      </c>
      <c r="H115" s="60">
        <v>361</v>
      </c>
      <c r="I115" s="5">
        <v>1.9E-3</v>
      </c>
      <c r="J115" s="5">
        <v>1.52E-2</v>
      </c>
      <c r="K115" s="2">
        <v>18333909282</v>
      </c>
      <c r="L115" s="3">
        <f t="shared" si="35"/>
        <v>1.2560014214633684E-2</v>
      </c>
      <c r="M115" s="4">
        <f>1.0325*1625.232</f>
        <v>1678.05204</v>
      </c>
      <c r="N115" s="4">
        <f>1.0325*1625.232</f>
        <v>1678.05204</v>
      </c>
      <c r="O115" s="60">
        <v>367</v>
      </c>
      <c r="P115" s="5">
        <v>9.9299999999999999E-2</v>
      </c>
      <c r="Q115" s="5">
        <v>9.1999999999999998E-2</v>
      </c>
      <c r="R115" s="81">
        <f t="shared" si="36"/>
        <v>2.9190426465509536E-3</v>
      </c>
      <c r="S115" s="81">
        <f t="shared" si="37"/>
        <v>5.8462887263401805E-2</v>
      </c>
      <c r="T115" s="81">
        <f t="shared" si="38"/>
        <v>1.662049861495845E-2</v>
      </c>
      <c r="U115" s="81">
        <f t="shared" si="39"/>
        <v>9.74E-2</v>
      </c>
      <c r="V115" s="83">
        <f t="shared" si="40"/>
        <v>7.6799999999999993E-2</v>
      </c>
      <c r="X115" s="120"/>
    </row>
    <row r="116" spans="1:24">
      <c r="A116" s="75">
        <v>99</v>
      </c>
      <c r="B116" s="125" t="s">
        <v>145</v>
      </c>
      <c r="C116" s="126" t="s">
        <v>80</v>
      </c>
      <c r="D116" s="4">
        <v>416327896.27999997</v>
      </c>
      <c r="E116" s="3">
        <f t="shared" si="41"/>
        <v>3.0377503479837848E-4</v>
      </c>
      <c r="F116" s="4">
        <f>1.04*1567.65</f>
        <v>1630.3560000000002</v>
      </c>
      <c r="G116" s="4">
        <f>1.04*1567.65</f>
        <v>1630.3560000000002</v>
      </c>
      <c r="H116" s="60">
        <v>3</v>
      </c>
      <c r="I116" s="5">
        <v>2.483E-3</v>
      </c>
      <c r="J116" s="5">
        <v>4.5739999999999999E-3</v>
      </c>
      <c r="K116" s="4">
        <v>432466417.17000002</v>
      </c>
      <c r="L116" s="3">
        <f t="shared" si="35"/>
        <v>2.9626983877027025E-4</v>
      </c>
      <c r="M116" s="4">
        <f>1.05*1625.232</f>
        <v>1706.4936</v>
      </c>
      <c r="N116" s="4">
        <f>1.05*1625.232</f>
        <v>1706.4936</v>
      </c>
      <c r="O116" s="60">
        <v>3</v>
      </c>
      <c r="P116" s="5">
        <v>7.7780000000000002E-3</v>
      </c>
      <c r="Q116" s="5">
        <v>1.2388E-2</v>
      </c>
      <c r="R116" s="81">
        <f t="shared" si="36"/>
        <v>3.8763967137926632E-2</v>
      </c>
      <c r="S116" s="81">
        <f t="shared" si="37"/>
        <v>4.6699984543252998E-2</v>
      </c>
      <c r="T116" s="81">
        <f t="shared" si="38"/>
        <v>0</v>
      </c>
      <c r="U116" s="81">
        <f t="shared" si="39"/>
        <v>5.2950000000000002E-3</v>
      </c>
      <c r="V116" s="83">
        <f t="shared" si="40"/>
        <v>7.8139999999999998E-3</v>
      </c>
    </row>
    <row r="117" spans="1:24">
      <c r="A117" s="75">
        <v>100</v>
      </c>
      <c r="B117" s="125" t="s">
        <v>146</v>
      </c>
      <c r="C117" s="126" t="s">
        <v>42</v>
      </c>
      <c r="D117" s="2">
        <v>841746050226.01001</v>
      </c>
      <c r="E117" s="3">
        <f t="shared" si="41"/>
        <v>0.61418280634942768</v>
      </c>
      <c r="F117" s="4">
        <v>2324.67</v>
      </c>
      <c r="G117" s="4">
        <v>2324.67</v>
      </c>
      <c r="H117" s="60">
        <v>6737</v>
      </c>
      <c r="I117" s="5">
        <v>1.2999999999999999E-3</v>
      </c>
      <c r="J117" s="5">
        <v>1.24E-2</v>
      </c>
      <c r="K117" s="2">
        <v>881074296769.13</v>
      </c>
      <c r="L117" s="3">
        <f t="shared" si="35"/>
        <v>0.60359771183298094</v>
      </c>
      <c r="M117" s="4">
        <v>2399.6999999999998</v>
      </c>
      <c r="N117" s="4">
        <v>2399.6999999999998</v>
      </c>
      <c r="O117" s="60">
        <v>6816</v>
      </c>
      <c r="P117" s="5">
        <v>1.5E-3</v>
      </c>
      <c r="Q117" s="5">
        <v>1.3899999999999999E-2</v>
      </c>
      <c r="R117" s="81">
        <f t="shared" si="36"/>
        <v>4.6722222851607445E-2</v>
      </c>
      <c r="S117" s="81">
        <f t="shared" si="37"/>
        <v>3.227554878756974E-2</v>
      </c>
      <c r="T117" s="81">
        <f t="shared" si="38"/>
        <v>1.1726287665132848E-2</v>
      </c>
      <c r="U117" s="81">
        <f t="shared" si="39"/>
        <v>2.0000000000000009E-4</v>
      </c>
      <c r="V117" s="83">
        <f t="shared" si="40"/>
        <v>1.4999999999999996E-3</v>
      </c>
    </row>
    <row r="118" spans="1:24" ht="16.5" customHeight="1">
      <c r="A118" s="75">
        <v>101</v>
      </c>
      <c r="B118" s="125" t="s">
        <v>147</v>
      </c>
      <c r="C118" s="126" t="s">
        <v>45</v>
      </c>
      <c r="D118" s="2">
        <v>46529833798.419998</v>
      </c>
      <c r="E118" s="3">
        <f t="shared" si="41"/>
        <v>3.3950648053071179E-2</v>
      </c>
      <c r="F118" s="4">
        <v>1703.075</v>
      </c>
      <c r="G118" s="4">
        <v>1703.075</v>
      </c>
      <c r="H118" s="60">
        <v>231</v>
      </c>
      <c r="I118" s="5">
        <v>6.8599999999999994E-2</v>
      </c>
      <c r="J118" s="5">
        <v>8.3299999999999999E-2</v>
      </c>
      <c r="K118" s="2">
        <v>49538534276.589996</v>
      </c>
      <c r="L118" s="3">
        <f t="shared" si="35"/>
        <v>3.3937371736477449E-2</v>
      </c>
      <c r="M118" s="4">
        <v>1792.42</v>
      </c>
      <c r="N118" s="4">
        <v>1792.42</v>
      </c>
      <c r="O118" s="60">
        <v>237</v>
      </c>
      <c r="P118" s="5">
        <v>6.8599999999999994E-2</v>
      </c>
      <c r="Q118" s="5">
        <v>8.1900000000000001E-2</v>
      </c>
      <c r="R118" s="81">
        <f t="shared" si="36"/>
        <v>6.466174994745337E-2</v>
      </c>
      <c r="S118" s="81">
        <f t="shared" si="37"/>
        <v>5.2460989680431003E-2</v>
      </c>
      <c r="T118" s="81">
        <f t="shared" si="38"/>
        <v>2.5974025974025976E-2</v>
      </c>
      <c r="U118" s="81">
        <f t="shared" si="39"/>
        <v>0</v>
      </c>
      <c r="V118" s="83">
        <f t="shared" si="40"/>
        <v>-1.3999999999999985E-3</v>
      </c>
    </row>
    <row r="119" spans="1:24">
      <c r="A119" s="75">
        <v>102</v>
      </c>
      <c r="B119" s="125" t="s">
        <v>148</v>
      </c>
      <c r="C119" s="126" t="s">
        <v>32</v>
      </c>
      <c r="D119" s="4">
        <v>30202904232.709999</v>
      </c>
      <c r="E119" s="3">
        <f t="shared" si="41"/>
        <v>2.2037649569686849E-2</v>
      </c>
      <c r="F119" s="4">
        <f>1.1015*1538.743</f>
        <v>1694.9254144999998</v>
      </c>
      <c r="G119" s="4">
        <f>1.1015*1538.743</f>
        <v>1694.9254144999998</v>
      </c>
      <c r="H119" s="60">
        <v>1218</v>
      </c>
      <c r="I119" s="5">
        <v>2.0012735377057389E-3</v>
      </c>
      <c r="J119" s="5">
        <v>9.8093142647597276E-3</v>
      </c>
      <c r="K119" s="4">
        <v>53053859373.459213</v>
      </c>
      <c r="L119" s="3">
        <f t="shared" si="35"/>
        <v>3.6345616072511348E-2</v>
      </c>
      <c r="M119" s="4">
        <f>1.1014*1625.232</f>
        <v>1790.0305248</v>
      </c>
      <c r="N119" s="4">
        <f>1.1014*1625.232</f>
        <v>1790.0305248</v>
      </c>
      <c r="O119" s="60">
        <v>1232</v>
      </c>
      <c r="P119" s="5">
        <v>-9.0785292782613602E-5</v>
      </c>
      <c r="Q119" s="5">
        <v>9.7176384305097674E-3</v>
      </c>
      <c r="R119" s="81">
        <f t="shared" si="36"/>
        <v>0.75658138583909551</v>
      </c>
      <c r="S119" s="81">
        <f t="shared" si="37"/>
        <v>5.6111678712455947E-2</v>
      </c>
      <c r="T119" s="81">
        <f t="shared" si="38"/>
        <v>1.1494252873563218E-2</v>
      </c>
      <c r="U119" s="81">
        <f t="shared" si="39"/>
        <v>-2.0920588304883525E-3</v>
      </c>
      <c r="V119" s="83">
        <f t="shared" si="40"/>
        <v>-9.1675834249960175E-5</v>
      </c>
    </row>
    <row r="120" spans="1:24">
      <c r="A120" s="75"/>
      <c r="B120" s="19"/>
      <c r="C120" s="66" t="s">
        <v>46</v>
      </c>
      <c r="D120" s="59">
        <f>SUM(D95:D119)</f>
        <v>1370513862524.3679</v>
      </c>
      <c r="E120" s="100">
        <f>(D120/$D$183)</f>
        <v>0.48221416673109063</v>
      </c>
      <c r="F120" s="30"/>
      <c r="G120" s="11"/>
      <c r="H120" s="65">
        <f>SUM(H95:H119)</f>
        <v>16338</v>
      </c>
      <c r="I120" s="33"/>
      <c r="J120" s="33"/>
      <c r="K120" s="59">
        <f>SUM(K95:K119)</f>
        <v>1459704501021.9133</v>
      </c>
      <c r="L120" s="100">
        <f>(K120/$K$183)</f>
        <v>0.50514480969490538</v>
      </c>
      <c r="M120" s="30"/>
      <c r="N120" s="11"/>
      <c r="O120" s="65">
        <f>SUM(O95:O119)</f>
        <v>16491</v>
      </c>
      <c r="P120" s="33"/>
      <c r="Q120" s="33"/>
      <c r="R120" s="81">
        <f t="shared" si="36"/>
        <v>6.5078246150143987E-2</v>
      </c>
      <c r="S120" s="81" t="e">
        <f t="shared" si="37"/>
        <v>#DIV/0!</v>
      </c>
      <c r="T120" s="81">
        <f t="shared" si="38"/>
        <v>9.3646713183988244E-3</v>
      </c>
      <c r="U120" s="81">
        <f t="shared" si="39"/>
        <v>0</v>
      </c>
      <c r="V120" s="83">
        <f t="shared" si="40"/>
        <v>0</v>
      </c>
    </row>
    <row r="121" spans="1:24" ht="8.25" customHeight="1">
      <c r="A121" s="133"/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</row>
    <row r="122" spans="1:24" ht="15.75">
      <c r="A122" s="140" t="s">
        <v>149</v>
      </c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</row>
    <row r="123" spans="1:24">
      <c r="A123" s="75">
        <v>103</v>
      </c>
      <c r="B123" s="125" t="s">
        <v>245</v>
      </c>
      <c r="C123" s="126" t="s">
        <v>246</v>
      </c>
      <c r="D123" s="2">
        <v>2213740516.8014359</v>
      </c>
      <c r="E123" s="3">
        <f>(D123/$D$128)</f>
        <v>2.2193373438463573E-2</v>
      </c>
      <c r="F123" s="14">
        <v>104.32330427904976</v>
      </c>
      <c r="G123" s="14">
        <v>104.32330427904976</v>
      </c>
      <c r="H123" s="60">
        <v>7</v>
      </c>
      <c r="I123" s="5">
        <v>2.2623591376624841E-3</v>
      </c>
      <c r="J123" s="5">
        <v>2.0344609836121075E-2</v>
      </c>
      <c r="K123" s="2">
        <v>2216995621.3899999</v>
      </c>
      <c r="L123" s="3">
        <f>(K123/$K$128)</f>
        <v>2.2219090592051426E-2</v>
      </c>
      <c r="M123" s="14">
        <v>104.48</v>
      </c>
      <c r="N123" s="14">
        <v>104.48</v>
      </c>
      <c r="O123" s="60">
        <v>7</v>
      </c>
      <c r="P123" s="5">
        <v>1.5020203015339018E-3</v>
      </c>
      <c r="Q123" s="5">
        <v>2.24E-2</v>
      </c>
      <c r="R123" s="81">
        <f t="shared" ref="R123:R128" si="47">((K123-D123)/D123)</f>
        <v>1.4704092750974795E-3</v>
      </c>
      <c r="S123" s="81">
        <f t="shared" ref="S123:T128" si="48">((N123-G123)/G123)</f>
        <v>1.5020203015339764E-3</v>
      </c>
      <c r="T123" s="81">
        <f t="shared" si="48"/>
        <v>0</v>
      </c>
      <c r="U123" s="81">
        <f t="shared" ref="U123:V128" si="49">P123-I123</f>
        <v>-7.6033883612858233E-4</v>
      </c>
      <c r="V123" s="83">
        <f t="shared" si="49"/>
        <v>2.055390163878925E-3</v>
      </c>
    </row>
    <row r="124" spans="1:24">
      <c r="A124" s="75">
        <v>104</v>
      </c>
      <c r="B124" s="125" t="s">
        <v>150</v>
      </c>
      <c r="C124" s="126" t="s">
        <v>40</v>
      </c>
      <c r="D124" s="2">
        <v>53749983529</v>
      </c>
      <c r="E124" s="3">
        <f>(D124/$D$128)</f>
        <v>0.53885875409369899</v>
      </c>
      <c r="F124" s="14">
        <v>102.5</v>
      </c>
      <c r="G124" s="14">
        <v>102.5</v>
      </c>
      <c r="H124" s="60">
        <v>666</v>
      </c>
      <c r="I124" s="5">
        <v>0</v>
      </c>
      <c r="J124" s="5">
        <v>7.6999999999999999E-2</v>
      </c>
      <c r="K124" s="2">
        <v>53749983529</v>
      </c>
      <c r="L124" s="3">
        <f>(K124/$K$128)</f>
        <v>0.53869107445658482</v>
      </c>
      <c r="M124" s="14">
        <v>102.5</v>
      </c>
      <c r="N124" s="14">
        <v>102.5</v>
      </c>
      <c r="O124" s="60">
        <v>666</v>
      </c>
      <c r="P124" s="5">
        <v>0</v>
      </c>
      <c r="Q124" s="5">
        <v>7.6999999999999999E-2</v>
      </c>
      <c r="R124" s="81">
        <f t="shared" si="47"/>
        <v>0</v>
      </c>
      <c r="S124" s="81">
        <f t="shared" si="48"/>
        <v>0</v>
      </c>
      <c r="T124" s="81">
        <f t="shared" si="48"/>
        <v>0</v>
      </c>
      <c r="U124" s="81">
        <f t="shared" si="49"/>
        <v>0</v>
      </c>
      <c r="V124" s="83">
        <f t="shared" si="49"/>
        <v>0</v>
      </c>
    </row>
    <row r="125" spans="1:24" ht="17.25" customHeight="1">
      <c r="A125" s="75">
        <v>105</v>
      </c>
      <c r="B125" s="125" t="s">
        <v>151</v>
      </c>
      <c r="C125" s="126" t="s">
        <v>120</v>
      </c>
      <c r="D125" s="2">
        <v>2635609830.21</v>
      </c>
      <c r="E125" s="3">
        <f>(D125/$D$128)</f>
        <v>2.6422732364518902E-2</v>
      </c>
      <c r="F125" s="14">
        <v>101.35</v>
      </c>
      <c r="G125" s="14">
        <v>101.35</v>
      </c>
      <c r="H125" s="60">
        <v>2771</v>
      </c>
      <c r="I125" s="5">
        <v>4.7346663576207379E-3</v>
      </c>
      <c r="J125" s="5">
        <v>8.7382463136901137E-2</v>
      </c>
      <c r="K125" s="2">
        <v>2635880494.3499999</v>
      </c>
      <c r="L125" s="3">
        <f>(K125/$K$128)</f>
        <v>2.6417222897835047E-2</v>
      </c>
      <c r="M125" s="14">
        <v>101.35</v>
      </c>
      <c r="N125" s="14">
        <v>101.35</v>
      </c>
      <c r="O125" s="60">
        <v>2771</v>
      </c>
      <c r="P125" s="5">
        <v>7.5172792349213679E-3</v>
      </c>
      <c r="Q125" s="5">
        <v>7.8940638069109698E-2</v>
      </c>
      <c r="R125" s="81">
        <f t="shared" si="47"/>
        <v>1.0269507151530867E-4</v>
      </c>
      <c r="S125" s="81">
        <f t="shared" si="48"/>
        <v>0</v>
      </c>
      <c r="T125" s="81">
        <f t="shared" si="48"/>
        <v>0</v>
      </c>
      <c r="U125" s="81">
        <f t="shared" si="49"/>
        <v>2.78261287730063E-3</v>
      </c>
      <c r="V125" s="83">
        <f t="shared" si="49"/>
        <v>-8.4418250677914392E-3</v>
      </c>
    </row>
    <row r="126" spans="1:24">
      <c r="A126" s="75">
        <v>106</v>
      </c>
      <c r="B126" s="125" t="s">
        <v>152</v>
      </c>
      <c r="C126" s="126" t="s">
        <v>120</v>
      </c>
      <c r="D126" s="2">
        <v>10943086884.860001</v>
      </c>
      <c r="E126" s="3">
        <f>(D126/$D$128)</f>
        <v>0.10970753435734988</v>
      </c>
      <c r="F126" s="14">
        <v>36.6</v>
      </c>
      <c r="G126" s="14">
        <v>36.6</v>
      </c>
      <c r="H126" s="60">
        <v>5274</v>
      </c>
      <c r="I126" s="5">
        <v>1.7356253704804137E-2</v>
      </c>
      <c r="J126" s="5">
        <v>0.12056016637303191</v>
      </c>
      <c r="K126" s="2">
        <v>10951368269.01</v>
      </c>
      <c r="L126" s="3">
        <f>(K126/$K$128)</f>
        <v>0.10975639344000562</v>
      </c>
      <c r="M126" s="14">
        <v>36.6</v>
      </c>
      <c r="N126" s="14">
        <v>36.6</v>
      </c>
      <c r="O126" s="60">
        <v>5274</v>
      </c>
      <c r="P126" s="5">
        <v>3.4700000000000002E-2</v>
      </c>
      <c r="Q126" s="5">
        <v>0.11799999999999999</v>
      </c>
      <c r="R126" s="81">
        <f t="shared" si="47"/>
        <v>7.5676856422085927E-4</v>
      </c>
      <c r="S126" s="81">
        <f t="shared" si="48"/>
        <v>0</v>
      </c>
      <c r="T126" s="81">
        <f t="shared" si="48"/>
        <v>0</v>
      </c>
      <c r="U126" s="81">
        <f t="shared" si="49"/>
        <v>1.7343746295195864E-2</v>
      </c>
      <c r="V126" s="83">
        <f t="shared" si="49"/>
        <v>-2.5601663730319135E-3</v>
      </c>
    </row>
    <row r="127" spans="1:24">
      <c r="A127" s="75">
        <v>107</v>
      </c>
      <c r="B127" s="125" t="s">
        <v>153</v>
      </c>
      <c r="C127" s="126" t="s">
        <v>42</v>
      </c>
      <c r="D127" s="2">
        <v>30205394637.25</v>
      </c>
      <c r="E127" s="3">
        <f>(D127/$D$128)</f>
        <v>0.30281760574596867</v>
      </c>
      <c r="F127" s="14">
        <v>5.0999999999999996</v>
      </c>
      <c r="G127" s="14">
        <v>5.0999999999999996</v>
      </c>
      <c r="H127" s="60">
        <v>208853</v>
      </c>
      <c r="I127" s="5">
        <v>-8.1100000000000005E-2</v>
      </c>
      <c r="J127" s="5">
        <v>0.2031</v>
      </c>
      <c r="K127" s="2">
        <v>30224636221.360001</v>
      </c>
      <c r="L127" s="3">
        <f>(K127/$K$128)</f>
        <v>0.30291621861352308</v>
      </c>
      <c r="M127" s="14">
        <v>5.3</v>
      </c>
      <c r="N127" s="14">
        <v>5.3</v>
      </c>
      <c r="O127" s="60">
        <v>208853</v>
      </c>
      <c r="P127" s="5">
        <v>3.9199999999999999E-2</v>
      </c>
      <c r="Q127" s="5">
        <v>-0.1719</v>
      </c>
      <c r="R127" s="81">
        <f t="shared" si="47"/>
        <v>6.370247547195241E-4</v>
      </c>
      <c r="S127" s="81">
        <f t="shared" si="48"/>
        <v>3.9215686274509838E-2</v>
      </c>
      <c r="T127" s="81">
        <f t="shared" si="48"/>
        <v>0</v>
      </c>
      <c r="U127" s="81">
        <f t="shared" si="49"/>
        <v>0.1203</v>
      </c>
      <c r="V127" s="83">
        <f t="shared" si="49"/>
        <v>-0.375</v>
      </c>
    </row>
    <row r="128" spans="1:24">
      <c r="A128" s="122"/>
      <c r="B128" s="123"/>
      <c r="C128" s="124" t="s">
        <v>46</v>
      </c>
      <c r="D128" s="58">
        <f>SUM(D123:D127)</f>
        <v>99747815398.121429</v>
      </c>
      <c r="E128" s="100">
        <f>(D128/$D$183)</f>
        <v>3.509618618293732E-2</v>
      </c>
      <c r="F128" s="30"/>
      <c r="G128" s="34"/>
      <c r="H128" s="65">
        <f>SUM(H123:H127)</f>
        <v>217571</v>
      </c>
      <c r="I128" s="35"/>
      <c r="J128" s="35"/>
      <c r="K128" s="58">
        <f>SUM(K123:K127)</f>
        <v>99778864135.110001</v>
      </c>
      <c r="L128" s="100">
        <f>(K128/$K$183)</f>
        <v>3.4529437499040298E-2</v>
      </c>
      <c r="M128" s="30"/>
      <c r="N128" s="34"/>
      <c r="O128" s="65">
        <f>SUM(O123:O127)</f>
        <v>217571</v>
      </c>
      <c r="P128" s="35"/>
      <c r="Q128" s="35"/>
      <c r="R128" s="81">
        <f t="shared" si="47"/>
        <v>3.1127235082439625E-4</v>
      </c>
      <c r="S128" s="81" t="e">
        <f t="shared" si="48"/>
        <v>#DIV/0!</v>
      </c>
      <c r="T128" s="81">
        <f t="shared" si="48"/>
        <v>0</v>
      </c>
      <c r="U128" s="81">
        <f t="shared" si="49"/>
        <v>0</v>
      </c>
      <c r="V128" s="83">
        <f t="shared" si="49"/>
        <v>0</v>
      </c>
    </row>
    <row r="129" spans="1:24" ht="7.5" customHeight="1">
      <c r="A129" s="133"/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</row>
    <row r="130" spans="1:24" ht="15" customHeight="1">
      <c r="A130" s="140" t="s">
        <v>154</v>
      </c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</row>
    <row r="131" spans="1:24">
      <c r="A131" s="75">
        <v>108</v>
      </c>
      <c r="B131" s="125" t="s">
        <v>155</v>
      </c>
      <c r="C131" s="126" t="s">
        <v>50</v>
      </c>
      <c r="D131" s="4">
        <v>236115134.80000001</v>
      </c>
      <c r="E131" s="3">
        <f t="shared" ref="E131:E156" si="50">(D131/$D$157)</f>
        <v>4.873858457758464E-3</v>
      </c>
      <c r="F131" s="4">
        <v>5.28</v>
      </c>
      <c r="G131" s="4">
        <v>5.39</v>
      </c>
      <c r="H131" s="62">
        <v>11817</v>
      </c>
      <c r="I131" s="6">
        <v>-3.2807000000000003E-2</v>
      </c>
      <c r="J131" s="6">
        <v>4.9938000000000003E-2</v>
      </c>
      <c r="K131" s="4">
        <v>234457441.09999999</v>
      </c>
      <c r="L131" s="16">
        <f t="shared" ref="L131:L147" si="51">(K131/$K$157)</f>
        <v>4.8288577819514331E-3</v>
      </c>
      <c r="M131" s="4">
        <v>5.28</v>
      </c>
      <c r="N131" s="4">
        <v>5.33</v>
      </c>
      <c r="O131" s="62">
        <v>11817</v>
      </c>
      <c r="P131" s="6">
        <v>-7.1599999999999995E-4</v>
      </c>
      <c r="Q131" s="6">
        <v>4.9222000000000002E-2</v>
      </c>
      <c r="R131" s="81">
        <f>((K131-D131)/D131)</f>
        <v>-7.0207007331578213E-3</v>
      </c>
      <c r="S131" s="81">
        <f>((N131-G131)/G131)</f>
        <v>-1.1131725417439632E-2</v>
      </c>
      <c r="T131" s="81">
        <f>((O131-H131)/H131)</f>
        <v>0</v>
      </c>
      <c r="U131" s="81">
        <f>P131-I131</f>
        <v>3.2091000000000001E-2</v>
      </c>
      <c r="V131" s="83">
        <f>Q131-J131</f>
        <v>-7.1600000000000136E-4</v>
      </c>
    </row>
    <row r="132" spans="1:24">
      <c r="A132" s="75">
        <v>109</v>
      </c>
      <c r="B132" s="125" t="s">
        <v>255</v>
      </c>
      <c r="C132" s="125" t="s">
        <v>254</v>
      </c>
      <c r="D132" s="4">
        <v>588694955.52771795</v>
      </c>
      <c r="E132" s="3">
        <f t="shared" si="50"/>
        <v>1.2151766088475709E-2</v>
      </c>
      <c r="F132" s="4">
        <v>1123.6547644738409</v>
      </c>
      <c r="G132" s="4">
        <v>1134.6142628977507</v>
      </c>
      <c r="H132" s="62">
        <v>181</v>
      </c>
      <c r="I132" s="6">
        <v>-2.9086204191528443E-2</v>
      </c>
      <c r="J132" s="6">
        <v>3.1911001778952603E-3</v>
      </c>
      <c r="K132" s="4">
        <v>588151329.16239297</v>
      </c>
      <c r="L132" s="16">
        <f t="shared" si="51"/>
        <v>1.2113495351079733E-2</v>
      </c>
      <c r="M132" s="4">
        <v>1122.6474531787474</v>
      </c>
      <c r="N132" s="4">
        <v>1133.5825533369923</v>
      </c>
      <c r="O132" s="62">
        <v>180</v>
      </c>
      <c r="P132" s="6">
        <v>-9.0426073120231521E-4</v>
      </c>
      <c r="Q132" s="6">
        <v>2.2839538601127415E-3</v>
      </c>
      <c r="R132" s="81">
        <f>((K132-D132)/D132)</f>
        <v>-9.234432199909994E-4</v>
      </c>
      <c r="S132" s="81">
        <f>((N132-G132)/G132)</f>
        <v>-9.093042406530616E-4</v>
      </c>
      <c r="T132" s="81">
        <f>((O132-H132)/H132)</f>
        <v>-5.5248618784530384E-3</v>
      </c>
      <c r="U132" s="81">
        <f>P132-I132</f>
        <v>2.8181943460326129E-2</v>
      </c>
      <c r="V132" s="83">
        <f>Q132-J132</f>
        <v>-9.0714631778251878E-4</v>
      </c>
    </row>
    <row r="133" spans="1:24">
      <c r="A133" s="75">
        <v>110</v>
      </c>
      <c r="B133" s="125" t="s">
        <v>156</v>
      </c>
      <c r="C133" s="126" t="s">
        <v>21</v>
      </c>
      <c r="D133" s="4">
        <v>7145401726.6400003</v>
      </c>
      <c r="E133" s="3">
        <f t="shared" si="50"/>
        <v>0.14749446988633402</v>
      </c>
      <c r="F133" s="4">
        <v>755.09479999999996</v>
      </c>
      <c r="G133" s="4">
        <v>777.8614</v>
      </c>
      <c r="H133" s="62">
        <v>21212</v>
      </c>
      <c r="I133" s="6">
        <v>-0.96089999999999998</v>
      </c>
      <c r="J133" s="6">
        <v>0.83889999999999998</v>
      </c>
      <c r="K133" s="4">
        <v>7186159441</v>
      </c>
      <c r="L133" s="16">
        <f t="shared" si="51"/>
        <v>0.14800529160520898</v>
      </c>
      <c r="M133" s="4">
        <v>758.90830000000005</v>
      </c>
      <c r="N133" s="4">
        <v>781.78989999999999</v>
      </c>
      <c r="O133" s="62">
        <v>21216</v>
      </c>
      <c r="P133" s="6">
        <v>0.2641</v>
      </c>
      <c r="Q133" s="6">
        <v>0.78359999999999996</v>
      </c>
      <c r="R133" s="81">
        <f t="shared" ref="R133:R157" si="52">((K133-D133)/D133)</f>
        <v>5.7040479904781026E-3</v>
      </c>
      <c r="S133" s="81">
        <f t="shared" ref="S133:S157" si="53">((N133-G133)/G133)</f>
        <v>5.0503855828300326E-3</v>
      </c>
      <c r="T133" s="81">
        <f t="shared" ref="T133:T157" si="54">((O133-H133)/H133)</f>
        <v>1.8857250612860644E-4</v>
      </c>
      <c r="U133" s="81">
        <f t="shared" ref="U133:U157" si="55">P133-I133</f>
        <v>1.2250000000000001</v>
      </c>
      <c r="V133" s="83">
        <f t="shared" ref="V133:V157" si="56">Q133-J133</f>
        <v>-5.5300000000000016E-2</v>
      </c>
    </row>
    <row r="134" spans="1:24">
      <c r="A134" s="75">
        <v>111</v>
      </c>
      <c r="B134" s="125" t="s">
        <v>157</v>
      </c>
      <c r="C134" s="126" t="s">
        <v>91</v>
      </c>
      <c r="D134" s="4">
        <v>3504407510.1300001</v>
      </c>
      <c r="E134" s="3">
        <f t="shared" si="50"/>
        <v>7.2337532268513347E-2</v>
      </c>
      <c r="F134" s="4">
        <v>19.212</v>
      </c>
      <c r="G134" s="4">
        <v>19.438400000000001</v>
      </c>
      <c r="H134" s="60">
        <v>6267</v>
      </c>
      <c r="I134" s="5">
        <v>-2.9899999999999999E-2</v>
      </c>
      <c r="J134" s="5">
        <v>4.1700000000000001E-2</v>
      </c>
      <c r="K134" s="4">
        <v>3490339899.3400002</v>
      </c>
      <c r="L134" s="16">
        <f t="shared" si="51"/>
        <v>7.1886628573221006E-2</v>
      </c>
      <c r="M134" s="4">
        <v>18.866299999999999</v>
      </c>
      <c r="N134" s="4">
        <v>19.085000000000001</v>
      </c>
      <c r="O134" s="60">
        <v>6267</v>
      </c>
      <c r="P134" s="5">
        <v>-2.7699999999999999E-2</v>
      </c>
      <c r="Q134" s="5">
        <v>2.2800000000000001E-2</v>
      </c>
      <c r="R134" s="81">
        <f t="shared" si="52"/>
        <v>-4.0142622538433346E-3</v>
      </c>
      <c r="S134" s="81">
        <f t="shared" si="53"/>
        <v>-1.8180508683842321E-2</v>
      </c>
      <c r="T134" s="81">
        <f t="shared" si="54"/>
        <v>0</v>
      </c>
      <c r="U134" s="81">
        <f t="shared" si="55"/>
        <v>2.2000000000000006E-3</v>
      </c>
      <c r="V134" s="83">
        <f t="shared" si="56"/>
        <v>-1.89E-2</v>
      </c>
    </row>
    <row r="135" spans="1:24">
      <c r="A135" s="75">
        <v>112</v>
      </c>
      <c r="B135" s="125" t="s">
        <v>158</v>
      </c>
      <c r="C135" s="126" t="s">
        <v>101</v>
      </c>
      <c r="D135" s="2">
        <v>1470482601.7571864</v>
      </c>
      <c r="E135" s="3">
        <f t="shared" si="50"/>
        <v>3.0353514066904844E-2</v>
      </c>
      <c r="F135" s="4">
        <v>3.4390000000000001</v>
      </c>
      <c r="G135" s="4">
        <v>3.5257999999999998</v>
      </c>
      <c r="H135" s="60">
        <v>2753</v>
      </c>
      <c r="I135" s="5">
        <v>-0.73980000000000001</v>
      </c>
      <c r="J135" s="5">
        <v>0.64870000000000005</v>
      </c>
      <c r="K135" s="2">
        <v>1466124640.7233043</v>
      </c>
      <c r="L135" s="16">
        <f t="shared" si="51"/>
        <v>3.0196130041562057E-2</v>
      </c>
      <c r="M135" s="4">
        <v>3.4289000000000001</v>
      </c>
      <c r="N135" s="4">
        <v>3.5152000000000001</v>
      </c>
      <c r="O135" s="60">
        <v>2753</v>
      </c>
      <c r="P135" s="5">
        <v>0.15720000000000001</v>
      </c>
      <c r="Q135" s="5">
        <v>0.56399999999999995</v>
      </c>
      <c r="R135" s="81">
        <f t="shared" si="52"/>
        <v>-2.9636263827089808E-3</v>
      </c>
      <c r="S135" s="81">
        <f t="shared" si="53"/>
        <v>-3.0064098927902096E-3</v>
      </c>
      <c r="T135" s="81">
        <f t="shared" si="54"/>
        <v>0</v>
      </c>
      <c r="U135" s="81">
        <f t="shared" si="55"/>
        <v>0.89700000000000002</v>
      </c>
      <c r="V135" s="83">
        <f t="shared" si="56"/>
        <v>-8.4700000000000109E-2</v>
      </c>
    </row>
    <row r="136" spans="1:24">
      <c r="A136" s="75">
        <v>113</v>
      </c>
      <c r="B136" s="125" t="s">
        <v>159</v>
      </c>
      <c r="C136" s="126" t="s">
        <v>56</v>
      </c>
      <c r="D136" s="2">
        <v>3152798818.2170801</v>
      </c>
      <c r="E136" s="3">
        <f t="shared" si="50"/>
        <v>6.507967055476617E-2</v>
      </c>
      <c r="F136" s="4">
        <v>5847.8398132266502</v>
      </c>
      <c r="G136" s="4">
        <v>5889.7094941720197</v>
      </c>
      <c r="H136" s="60">
        <v>866</v>
      </c>
      <c r="I136" s="5">
        <v>-0.46393956091375899</v>
      </c>
      <c r="J136" s="5">
        <v>6.2567265414036774E-2</v>
      </c>
      <c r="K136" s="2">
        <v>3160790398.75314</v>
      </c>
      <c r="L136" s="16">
        <f t="shared" si="51"/>
        <v>6.5099265958577734E-2</v>
      </c>
      <c r="M136" s="4">
        <v>5862.67072028856</v>
      </c>
      <c r="N136" s="4">
        <v>5904.6245996412999</v>
      </c>
      <c r="O136" s="60">
        <v>868</v>
      </c>
      <c r="P136" s="5">
        <v>0.1326035927802085</v>
      </c>
      <c r="Q136" s="5">
        <v>6.9919231734305282E-2</v>
      </c>
      <c r="R136" s="81">
        <f t="shared" si="52"/>
        <v>2.5347575271482516E-3</v>
      </c>
      <c r="S136" s="81">
        <f t="shared" si="53"/>
        <v>2.5324008737678807E-3</v>
      </c>
      <c r="T136" s="81">
        <f t="shared" si="54"/>
        <v>2.3094688221709007E-3</v>
      </c>
      <c r="U136" s="81">
        <f t="shared" si="55"/>
        <v>0.59654315369396749</v>
      </c>
      <c r="V136" s="83">
        <f t="shared" si="56"/>
        <v>7.3519663202685076E-3</v>
      </c>
    </row>
    <row r="137" spans="1:24">
      <c r="A137" s="75">
        <v>114</v>
      </c>
      <c r="B137" s="125" t="s">
        <v>160</v>
      </c>
      <c r="C137" s="126" t="s">
        <v>58</v>
      </c>
      <c r="D137" s="4">
        <v>492865283.77999997</v>
      </c>
      <c r="E137" s="3">
        <f t="shared" si="50"/>
        <v>1.0173662242877446E-2</v>
      </c>
      <c r="F137" s="4">
        <v>178.8</v>
      </c>
      <c r="G137" s="4">
        <v>179.93</v>
      </c>
      <c r="H137" s="60">
        <v>663</v>
      </c>
      <c r="I137" s="5">
        <v>1.1999999999999999E-3</v>
      </c>
      <c r="J137" s="5">
        <v>3.3399999999999999E-2</v>
      </c>
      <c r="K137" s="4">
        <v>495598261.49000001</v>
      </c>
      <c r="L137" s="16">
        <f t="shared" si="51"/>
        <v>1.0207283294100524E-2</v>
      </c>
      <c r="M137" s="4">
        <v>179.51</v>
      </c>
      <c r="N137" s="4">
        <v>180.78</v>
      </c>
      <c r="O137" s="60">
        <v>663</v>
      </c>
      <c r="P137" s="5">
        <v>4.3E-3</v>
      </c>
      <c r="Q137" s="5">
        <v>3.7900000000000003E-2</v>
      </c>
      <c r="R137" s="81">
        <f t="shared" si="52"/>
        <v>5.5450805726052236E-3</v>
      </c>
      <c r="S137" s="81">
        <f t="shared" si="53"/>
        <v>4.7240593564163522E-3</v>
      </c>
      <c r="T137" s="81">
        <f t="shared" si="54"/>
        <v>0</v>
      </c>
      <c r="U137" s="81">
        <f t="shared" si="55"/>
        <v>3.1000000000000003E-3</v>
      </c>
      <c r="V137" s="83">
        <f t="shared" si="56"/>
        <v>4.500000000000004E-3</v>
      </c>
    </row>
    <row r="138" spans="1:24">
      <c r="A138" s="75">
        <v>115</v>
      </c>
      <c r="B138" s="125" t="s">
        <v>161</v>
      </c>
      <c r="C138" s="126" t="s">
        <v>60</v>
      </c>
      <c r="D138" s="4">
        <v>3734808.11</v>
      </c>
      <c r="E138" s="3">
        <f t="shared" si="50"/>
        <v>7.7093432026062577E-5</v>
      </c>
      <c r="F138" s="4">
        <v>102.747</v>
      </c>
      <c r="G138" s="4">
        <v>102.99</v>
      </c>
      <c r="H138" s="60">
        <v>0</v>
      </c>
      <c r="I138" s="5">
        <v>0</v>
      </c>
      <c r="J138" s="5">
        <v>0</v>
      </c>
      <c r="K138" s="4">
        <v>3734808.11</v>
      </c>
      <c r="L138" s="16">
        <f t="shared" si="51"/>
        <v>7.692166698337656E-5</v>
      </c>
      <c r="M138" s="4">
        <v>102.747</v>
      </c>
      <c r="N138" s="4">
        <v>102.99</v>
      </c>
      <c r="O138" s="60">
        <v>0</v>
      </c>
      <c r="P138" s="5">
        <v>0</v>
      </c>
      <c r="Q138" s="5">
        <v>0</v>
      </c>
      <c r="R138" s="81">
        <f t="shared" si="52"/>
        <v>0</v>
      </c>
      <c r="S138" s="81">
        <f t="shared" si="53"/>
        <v>0</v>
      </c>
      <c r="T138" s="81" t="e">
        <f t="shared" si="54"/>
        <v>#DIV/0!</v>
      </c>
      <c r="U138" s="81">
        <f t="shared" si="55"/>
        <v>0</v>
      </c>
      <c r="V138" s="83">
        <f t="shared" si="56"/>
        <v>0</v>
      </c>
    </row>
    <row r="139" spans="1:24">
      <c r="A139" s="75">
        <v>116</v>
      </c>
      <c r="B139" s="125" t="s">
        <v>162</v>
      </c>
      <c r="C139" s="126" t="s">
        <v>105</v>
      </c>
      <c r="D139" s="4">
        <v>183496293.16999999</v>
      </c>
      <c r="E139" s="3">
        <f t="shared" si="50"/>
        <v>3.7877070488999886E-3</v>
      </c>
      <c r="F139" s="4">
        <v>1.5265</v>
      </c>
      <c r="G139" s="4">
        <v>1.5401</v>
      </c>
      <c r="H139" s="60">
        <v>285</v>
      </c>
      <c r="I139" s="5">
        <v>-1.2101993269479694E-2</v>
      </c>
      <c r="J139" s="5">
        <v>2.7738504005924591E-2</v>
      </c>
      <c r="K139" s="4">
        <v>182824684.38</v>
      </c>
      <c r="L139" s="16">
        <f t="shared" si="51"/>
        <v>3.7654356191861448E-3</v>
      </c>
      <c r="M139" s="4">
        <v>1.5265</v>
      </c>
      <c r="N139" s="4">
        <v>1.5401</v>
      </c>
      <c r="O139" s="60">
        <v>287</v>
      </c>
      <c r="P139" s="5">
        <v>-3.4064854241728781E-3</v>
      </c>
      <c r="Q139" s="5">
        <v>2.4237527772167367E-2</v>
      </c>
      <c r="R139" s="81">
        <f t="shared" si="52"/>
        <v>-3.6600673419477756E-3</v>
      </c>
      <c r="S139" s="81">
        <f t="shared" si="53"/>
        <v>0</v>
      </c>
      <c r="T139" s="81">
        <f t="shared" si="54"/>
        <v>7.0175438596491229E-3</v>
      </c>
      <c r="U139" s="81">
        <f t="shared" si="55"/>
        <v>8.6955078453068158E-3</v>
      </c>
      <c r="V139" s="83">
        <f t="shared" si="56"/>
        <v>-3.5009762337572248E-3</v>
      </c>
    </row>
    <row r="140" spans="1:24">
      <c r="A140" s="75">
        <v>117</v>
      </c>
      <c r="B140" s="125" t="s">
        <v>163</v>
      </c>
      <c r="C140" s="126" t="s">
        <v>25</v>
      </c>
      <c r="D140" s="9">
        <v>149305692.84999999</v>
      </c>
      <c r="E140" s="3">
        <f t="shared" si="50"/>
        <v>3.0819490436513088E-3</v>
      </c>
      <c r="F140" s="4">
        <v>143.5788</v>
      </c>
      <c r="G140" s="4">
        <v>143.99979999999999</v>
      </c>
      <c r="H140" s="60">
        <v>96</v>
      </c>
      <c r="I140" s="5">
        <v>-1.8599999999999998E-2</v>
      </c>
      <c r="J140" s="5">
        <v>0.3014</v>
      </c>
      <c r="K140" s="9">
        <v>150309890.75</v>
      </c>
      <c r="L140" s="16">
        <f t="shared" si="51"/>
        <v>3.0957647675717436E-3</v>
      </c>
      <c r="M140" s="4">
        <v>144.73609999999999</v>
      </c>
      <c r="N140" s="4">
        <v>144.73609999999999</v>
      </c>
      <c r="O140" s="60">
        <v>96</v>
      </c>
      <c r="P140" s="5">
        <v>7.698E-3</v>
      </c>
      <c r="Q140" s="5">
        <v>0.31530000000000002</v>
      </c>
      <c r="R140" s="81">
        <f t="shared" si="52"/>
        <v>6.7257844013280431E-3</v>
      </c>
      <c r="S140" s="81">
        <f t="shared" si="53"/>
        <v>5.1132015461132583E-3</v>
      </c>
      <c r="T140" s="81">
        <f t="shared" si="54"/>
        <v>0</v>
      </c>
      <c r="U140" s="81">
        <f t="shared" si="55"/>
        <v>2.6297999999999998E-2</v>
      </c>
      <c r="V140" s="83">
        <f t="shared" si="56"/>
        <v>1.3900000000000023E-2</v>
      </c>
    </row>
    <row r="141" spans="1:24">
      <c r="A141" s="75">
        <v>118</v>
      </c>
      <c r="B141" s="125" t="s">
        <v>164</v>
      </c>
      <c r="C141" s="126" t="s">
        <v>64</v>
      </c>
      <c r="D141" s="9">
        <v>196818871.94999999</v>
      </c>
      <c r="E141" s="3">
        <f t="shared" si="50"/>
        <v>4.0627100186209136E-3</v>
      </c>
      <c r="F141" s="4">
        <v>110.12</v>
      </c>
      <c r="G141" s="4">
        <v>110.73</v>
      </c>
      <c r="H141" s="60">
        <v>29</v>
      </c>
      <c r="I141" s="5">
        <v>-4.1999999999999997E-3</v>
      </c>
      <c r="J141" s="5">
        <v>6.3100000000000003E-2</v>
      </c>
      <c r="K141" s="9">
        <v>196818871.94999999</v>
      </c>
      <c r="L141" s="16">
        <f t="shared" si="51"/>
        <v>4.0536582545285657E-3</v>
      </c>
      <c r="M141" s="4">
        <v>110.29</v>
      </c>
      <c r="N141" s="4">
        <v>110.95</v>
      </c>
      <c r="O141" s="60">
        <v>29</v>
      </c>
      <c r="P141" s="5">
        <v>1.8E-3</v>
      </c>
      <c r="Q141" s="5">
        <v>6.4899999999999999E-2</v>
      </c>
      <c r="R141" s="81">
        <f t="shared" si="52"/>
        <v>0</v>
      </c>
      <c r="S141" s="81">
        <f t="shared" si="53"/>
        <v>1.9868147746771323E-3</v>
      </c>
      <c r="T141" s="81">
        <f t="shared" si="54"/>
        <v>0</v>
      </c>
      <c r="U141" s="81">
        <f t="shared" si="55"/>
        <v>6.0000000000000001E-3</v>
      </c>
      <c r="V141" s="83">
        <f t="shared" si="56"/>
        <v>1.799999999999996E-3</v>
      </c>
    </row>
    <row r="142" spans="1:24" ht="15.75" customHeight="1">
      <c r="A142" s="75">
        <v>119</v>
      </c>
      <c r="B142" s="125" t="s">
        <v>165</v>
      </c>
      <c r="C142" s="126" t="s">
        <v>67</v>
      </c>
      <c r="D142" s="2">
        <v>323732613.05000001</v>
      </c>
      <c r="E142" s="3">
        <f t="shared" si="50"/>
        <v>6.6824472539741258E-3</v>
      </c>
      <c r="F142" s="4">
        <v>1.3544</v>
      </c>
      <c r="G142" s="4">
        <v>1.3703000000000001</v>
      </c>
      <c r="H142" s="60">
        <v>108</v>
      </c>
      <c r="I142" s="5">
        <v>-3.806818181818173E-2</v>
      </c>
      <c r="J142" s="5">
        <v>3.8969008898435069E-2</v>
      </c>
      <c r="K142" s="2">
        <v>331118297.77999997</v>
      </c>
      <c r="L142" s="16">
        <f t="shared" si="51"/>
        <v>6.8196733764551215E-3</v>
      </c>
      <c r="M142" s="4">
        <v>1.3847</v>
      </c>
      <c r="N142" s="4">
        <v>1.4013</v>
      </c>
      <c r="O142" s="60">
        <v>107</v>
      </c>
      <c r="P142" s="5">
        <v>2.2371529828706434E-2</v>
      </c>
      <c r="Q142" s="5">
        <v>6.2212335072107966E-2</v>
      </c>
      <c r="R142" s="81">
        <f t="shared" si="52"/>
        <v>2.2814151037848174E-2</v>
      </c>
      <c r="S142" s="81">
        <f t="shared" si="53"/>
        <v>2.2622783332116994E-2</v>
      </c>
      <c r="T142" s="81">
        <f t="shared" si="54"/>
        <v>-9.2592592592592587E-3</v>
      </c>
      <c r="U142" s="81">
        <f t="shared" si="55"/>
        <v>6.0439711646888161E-2</v>
      </c>
      <c r="V142" s="83">
        <f t="shared" si="56"/>
        <v>2.3243326173672897E-2</v>
      </c>
      <c r="X142" s="105"/>
    </row>
    <row r="143" spans="1:24">
      <c r="A143" s="75">
        <v>120</v>
      </c>
      <c r="B143" s="125" t="s">
        <v>166</v>
      </c>
      <c r="C143" s="126" t="s">
        <v>27</v>
      </c>
      <c r="D143" s="4">
        <v>8097706148.2600002</v>
      </c>
      <c r="E143" s="3">
        <f t="shared" si="50"/>
        <v>0.16715181613652202</v>
      </c>
      <c r="F143" s="4">
        <v>294.17</v>
      </c>
      <c r="G143" s="4">
        <v>296.44</v>
      </c>
      <c r="H143" s="60">
        <v>5500</v>
      </c>
      <c r="I143" s="5">
        <v>-8.6999999999999994E-3</v>
      </c>
      <c r="J143" s="5">
        <v>8.7800000000000003E-2</v>
      </c>
      <c r="K143" s="4">
        <v>8064329278</v>
      </c>
      <c r="L143" s="16">
        <f t="shared" si="51"/>
        <v>0.16609197391043726</v>
      </c>
      <c r="M143" s="4">
        <v>1E-4</v>
      </c>
      <c r="N143" s="4">
        <v>8.7900000000000006E-2</v>
      </c>
      <c r="O143" s="60">
        <v>5497</v>
      </c>
      <c r="P143" s="5">
        <v>1E-4</v>
      </c>
      <c r="Q143" s="5">
        <v>8.7900000000000006E-2</v>
      </c>
      <c r="R143" s="81">
        <f t="shared" si="52"/>
        <v>-4.1217685167758405E-3</v>
      </c>
      <c r="S143" s="81">
        <f t="shared" si="53"/>
        <v>-0.99970348131156395</v>
      </c>
      <c r="T143" s="81">
        <f t="shared" si="54"/>
        <v>-5.4545454545454548E-4</v>
      </c>
      <c r="U143" s="81">
        <f t="shared" si="55"/>
        <v>8.7999999999999988E-3</v>
      </c>
      <c r="V143" s="83">
        <f t="shared" si="56"/>
        <v>1.0000000000000286E-4</v>
      </c>
    </row>
    <row r="144" spans="1:24">
      <c r="A144" s="75">
        <v>121</v>
      </c>
      <c r="B144" s="125" t="s">
        <v>167</v>
      </c>
      <c r="C144" s="126" t="s">
        <v>72</v>
      </c>
      <c r="D144" s="4">
        <v>2636291288.9699998</v>
      </c>
      <c r="E144" s="3">
        <f t="shared" si="50"/>
        <v>5.4417988100360415E-2</v>
      </c>
      <c r="F144" s="4">
        <v>1.8391999999999999</v>
      </c>
      <c r="G144" s="4">
        <v>1.871</v>
      </c>
      <c r="H144" s="60">
        <v>10318</v>
      </c>
      <c r="I144" s="5">
        <v>-1.1132417172685587E-2</v>
      </c>
      <c r="J144" s="5">
        <v>5.4529963078670883E-2</v>
      </c>
      <c r="K144" s="4">
        <v>2645567847.0999999</v>
      </c>
      <c r="L144" s="16">
        <f t="shared" si="51"/>
        <v>5.4487803100693885E-2</v>
      </c>
      <c r="M144" s="4">
        <v>1.8454999999999999</v>
      </c>
      <c r="N144" s="4">
        <v>1.8777999999999999</v>
      </c>
      <c r="O144" s="60">
        <v>10319</v>
      </c>
      <c r="P144" s="5">
        <v>3.5000000000000001E-3</v>
      </c>
      <c r="Q144" s="5">
        <v>5.8200000000000002E-2</v>
      </c>
      <c r="R144" s="81">
        <f t="shared" si="52"/>
        <v>3.5187910261708865E-3</v>
      </c>
      <c r="S144" s="81">
        <f t="shared" si="53"/>
        <v>3.6344200962051937E-3</v>
      </c>
      <c r="T144" s="81">
        <f t="shared" si="54"/>
        <v>9.6918007365768554E-5</v>
      </c>
      <c r="U144" s="81">
        <f t="shared" si="55"/>
        <v>1.4632417172685586E-2</v>
      </c>
      <c r="V144" s="83">
        <f t="shared" si="56"/>
        <v>3.6700369213291187E-3</v>
      </c>
    </row>
    <row r="145" spans="1:22">
      <c r="A145" s="75">
        <v>122</v>
      </c>
      <c r="B145" s="125" t="s">
        <v>168</v>
      </c>
      <c r="C145" s="126" t="s">
        <v>74</v>
      </c>
      <c r="D145" s="4">
        <v>187053963.27010298</v>
      </c>
      <c r="E145" s="3">
        <f t="shared" si="50"/>
        <v>3.861144020748442E-3</v>
      </c>
      <c r="F145" s="4">
        <v>243.3839397302572</v>
      </c>
      <c r="G145" s="4">
        <v>249.67360360026638</v>
      </c>
      <c r="H145" s="60">
        <v>183</v>
      </c>
      <c r="I145" s="5">
        <v>-2.474059574804599E-2</v>
      </c>
      <c r="J145" s="5">
        <v>-3.4207118011106985E-3</v>
      </c>
      <c r="K145" s="4">
        <v>191232343.87992886</v>
      </c>
      <c r="L145" s="16">
        <f t="shared" si="51"/>
        <v>3.9385987818213331E-3</v>
      </c>
      <c r="M145" s="4">
        <v>248.82061007251278</v>
      </c>
      <c r="N145" s="4">
        <v>253.80696241828068</v>
      </c>
      <c r="O145" s="60">
        <v>183</v>
      </c>
      <c r="P145" s="5">
        <v>2.2337835225615388E-2</v>
      </c>
      <c r="Q145" s="5">
        <v>1.8840712127937254E-2</v>
      </c>
      <c r="R145" s="81">
        <f t="shared" si="52"/>
        <v>2.2337835225615419E-2</v>
      </c>
      <c r="S145" s="81">
        <f t="shared" si="53"/>
        <v>1.6555049306020794E-2</v>
      </c>
      <c r="T145" s="81">
        <f t="shared" si="54"/>
        <v>0</v>
      </c>
      <c r="U145" s="81">
        <f t="shared" si="55"/>
        <v>4.7078430973661378E-2</v>
      </c>
      <c r="V145" s="83">
        <f t="shared" si="56"/>
        <v>2.2261423929047952E-2</v>
      </c>
    </row>
    <row r="146" spans="1:22" ht="13.5" customHeight="1">
      <c r="A146" s="75">
        <v>123</v>
      </c>
      <c r="B146" s="125" t="s">
        <v>240</v>
      </c>
      <c r="C146" s="126" t="s">
        <v>32</v>
      </c>
      <c r="D146" s="2">
        <v>2518269217.3200002</v>
      </c>
      <c r="E146" s="3">
        <f t="shared" si="50"/>
        <v>5.1981791570219454E-2</v>
      </c>
      <c r="F146" s="4">
        <v>3.5049999999999999</v>
      </c>
      <c r="G146" s="4">
        <v>3.5668000000000002</v>
      </c>
      <c r="H146" s="60">
        <v>2315</v>
      </c>
      <c r="I146" s="5">
        <v>-3.6664467897977171E-2</v>
      </c>
      <c r="J146" s="5">
        <v>-3.6373133918016221E-2</v>
      </c>
      <c r="K146" s="2">
        <v>2492627285.1977</v>
      </c>
      <c r="L146" s="16">
        <f t="shared" si="51"/>
        <v>5.1337857340589169E-2</v>
      </c>
      <c r="M146" s="4">
        <v>3.4685999999999999</v>
      </c>
      <c r="N146" s="4">
        <v>3.5289000000000001</v>
      </c>
      <c r="O146" s="60">
        <v>2318</v>
      </c>
      <c r="P146" s="5">
        <v>-1.0385164051355256E-2</v>
      </c>
      <c r="Q146" s="5">
        <v>-4.6380557006570844E-2</v>
      </c>
      <c r="R146" s="81">
        <f t="shared" si="52"/>
        <v>-1.0182363325549792E-2</v>
      </c>
      <c r="S146" s="81">
        <f t="shared" si="53"/>
        <v>-1.0625770999214995E-2</v>
      </c>
      <c r="T146" s="81">
        <f t="shared" si="54"/>
        <v>1.2958963282937365E-3</v>
      </c>
      <c r="U146" s="81">
        <f t="shared" si="55"/>
        <v>2.6279303846621915E-2</v>
      </c>
      <c r="V146" s="83">
        <f>Q146-J146</f>
        <v>-1.0007423088554623E-2</v>
      </c>
    </row>
    <row r="147" spans="1:22">
      <c r="A147" s="75">
        <v>124</v>
      </c>
      <c r="B147" s="125" t="s">
        <v>169</v>
      </c>
      <c r="C147" s="126" t="s">
        <v>114</v>
      </c>
      <c r="D147" s="2">
        <v>180109908.97</v>
      </c>
      <c r="E147" s="3">
        <f t="shared" si="50"/>
        <v>3.7178057387261625E-3</v>
      </c>
      <c r="F147" s="4">
        <v>164.66148999999999</v>
      </c>
      <c r="G147" s="4">
        <v>169.91279599999999</v>
      </c>
      <c r="H147" s="60">
        <v>139</v>
      </c>
      <c r="I147" s="5">
        <v>-0.1086</v>
      </c>
      <c r="J147" s="5">
        <v>-8.2299999999999998E-2</v>
      </c>
      <c r="K147" s="2">
        <v>183158328.66999999</v>
      </c>
      <c r="L147" s="16">
        <f t="shared" si="51"/>
        <v>3.7723073176001991E-3</v>
      </c>
      <c r="M147" s="4">
        <v>167.04328100000001</v>
      </c>
      <c r="N147" s="4">
        <v>172.43466100000001</v>
      </c>
      <c r="O147" s="60">
        <v>139</v>
      </c>
      <c r="P147" s="5">
        <v>2.1700000000000001E-2</v>
      </c>
      <c r="Q147" s="5">
        <v>-6.8599999999999994E-2</v>
      </c>
      <c r="R147" s="81">
        <f t="shared" si="52"/>
        <v>1.6925330302108743E-2</v>
      </c>
      <c r="S147" s="81">
        <f t="shared" si="53"/>
        <v>1.484211348037625E-2</v>
      </c>
      <c r="T147" s="81">
        <f t="shared" si="54"/>
        <v>0</v>
      </c>
      <c r="U147" s="81">
        <f t="shared" si="55"/>
        <v>0.1303</v>
      </c>
      <c r="V147" s="83">
        <f t="shared" si="56"/>
        <v>1.3700000000000004E-2</v>
      </c>
    </row>
    <row r="148" spans="1:22">
      <c r="A148" s="75">
        <v>125</v>
      </c>
      <c r="B148" s="125" t="s">
        <v>170</v>
      </c>
      <c r="C148" s="126" t="s">
        <v>29</v>
      </c>
      <c r="D148" s="2">
        <v>1619897250.1400001</v>
      </c>
      <c r="E148" s="3">
        <f t="shared" si="50"/>
        <v>3.3437712156749545E-2</v>
      </c>
      <c r="F148" s="4">
        <v>552.22</v>
      </c>
      <c r="G148" s="4">
        <v>552.22</v>
      </c>
      <c r="H148" s="60">
        <v>818</v>
      </c>
      <c r="I148" s="5">
        <v>-1.6899999999999998E-2</v>
      </c>
      <c r="J148" s="5">
        <v>3.6200000000000003E-2</v>
      </c>
      <c r="K148" s="2">
        <v>1640908904.8900001</v>
      </c>
      <c r="L148" s="16">
        <f t="shared" ref="L148:L156" si="57">(K148/$K$157)</f>
        <v>3.3795966115112056E-2</v>
      </c>
      <c r="M148" s="4">
        <v>552.22</v>
      </c>
      <c r="N148" s="4">
        <v>552.22</v>
      </c>
      <c r="O148" s="60">
        <v>818</v>
      </c>
      <c r="P148" s="5">
        <v>-2.15E-3</v>
      </c>
      <c r="Q148" s="5">
        <v>4.965E-2</v>
      </c>
      <c r="R148" s="81">
        <f t="shared" si="52"/>
        <v>1.2970979948378862E-2</v>
      </c>
      <c r="S148" s="81">
        <f t="shared" si="53"/>
        <v>0</v>
      </c>
      <c r="T148" s="81">
        <f t="shared" si="54"/>
        <v>0</v>
      </c>
      <c r="U148" s="81">
        <f t="shared" si="55"/>
        <v>1.4749999999999999E-2</v>
      </c>
      <c r="V148" s="83">
        <f t="shared" si="56"/>
        <v>1.3449999999999997E-2</v>
      </c>
    </row>
    <row r="149" spans="1:22">
      <c r="A149" s="75">
        <v>126</v>
      </c>
      <c r="B149" s="125" t="s">
        <v>171</v>
      </c>
      <c r="C149" s="126" t="s">
        <v>80</v>
      </c>
      <c r="D149" s="4">
        <v>25905099.960000001</v>
      </c>
      <c r="E149" s="3">
        <f t="shared" si="50"/>
        <v>5.3472976497703295E-4</v>
      </c>
      <c r="F149" s="4">
        <v>1.63</v>
      </c>
      <c r="G149" s="4">
        <v>1.63</v>
      </c>
      <c r="H149" s="60">
        <v>8</v>
      </c>
      <c r="I149" s="5">
        <v>-5.4045999999999997E-2</v>
      </c>
      <c r="J149" s="128">
        <v>3.1900000000000001E-3</v>
      </c>
      <c r="K149" s="4">
        <v>25766313.91</v>
      </c>
      <c r="L149" s="16">
        <f t="shared" si="57"/>
        <v>5.3067995987996375E-4</v>
      </c>
      <c r="M149" s="4">
        <v>1.63</v>
      </c>
      <c r="N149" s="4">
        <v>1.63</v>
      </c>
      <c r="O149" s="60">
        <v>8</v>
      </c>
      <c r="P149" s="5">
        <v>-5.3569999999999998E-3</v>
      </c>
      <c r="Q149" s="128">
        <v>-2.1840000000000002E-3</v>
      </c>
      <c r="R149" s="81">
        <f t="shared" si="52"/>
        <v>-5.3574798095471525E-3</v>
      </c>
      <c r="S149" s="81">
        <f t="shared" si="53"/>
        <v>0</v>
      </c>
      <c r="T149" s="81">
        <f t="shared" si="54"/>
        <v>0</v>
      </c>
      <c r="U149" s="81">
        <f t="shared" si="55"/>
        <v>4.8688999999999996E-2</v>
      </c>
      <c r="V149" s="83">
        <f t="shared" si="56"/>
        <v>-5.3740000000000003E-3</v>
      </c>
    </row>
    <row r="150" spans="1:22">
      <c r="A150" s="75">
        <v>127</v>
      </c>
      <c r="B150" s="125" t="s">
        <v>172</v>
      </c>
      <c r="C150" s="126" t="s">
        <v>38</v>
      </c>
      <c r="D150" s="4">
        <v>240171475.28</v>
      </c>
      <c r="E150" s="3">
        <f t="shared" si="50"/>
        <v>4.9575889199024604E-3</v>
      </c>
      <c r="F150" s="4">
        <v>2.3331339999999998</v>
      </c>
      <c r="G150" s="4">
        <v>2.377497</v>
      </c>
      <c r="H150" s="60">
        <v>120</v>
      </c>
      <c r="I150" s="5">
        <v>-5.7799999999999997E-2</v>
      </c>
      <c r="J150" s="5">
        <v>4.7999999999999996E-3</v>
      </c>
      <c r="K150" s="4">
        <v>236513255.86000001</v>
      </c>
      <c r="L150" s="16">
        <f t="shared" si="57"/>
        <v>4.8711991000836329E-3</v>
      </c>
      <c r="M150" s="4">
        <v>2.31</v>
      </c>
      <c r="N150" s="4">
        <v>2.36</v>
      </c>
      <c r="O150" s="60">
        <v>120</v>
      </c>
      <c r="P150" s="5">
        <v>-9.2999999999999992E-3</v>
      </c>
      <c r="Q150" s="5">
        <v>4.4000000000000003E-3</v>
      </c>
      <c r="R150" s="81">
        <f t="shared" si="52"/>
        <v>-1.523169816788239E-2</v>
      </c>
      <c r="S150" s="81">
        <f t="shared" si="53"/>
        <v>-7.3594204324969057E-3</v>
      </c>
      <c r="T150" s="81">
        <f t="shared" si="54"/>
        <v>0</v>
      </c>
      <c r="U150" s="81">
        <f t="shared" si="55"/>
        <v>4.8500000000000001E-2</v>
      </c>
      <c r="V150" s="83">
        <f t="shared" si="56"/>
        <v>-3.9999999999999931E-4</v>
      </c>
    </row>
    <row r="151" spans="1:22">
      <c r="A151" s="75">
        <v>128</v>
      </c>
      <c r="B151" s="125" t="s">
        <v>173</v>
      </c>
      <c r="C151" s="126" t="s">
        <v>42</v>
      </c>
      <c r="D151" s="2">
        <v>2877396217.7600002</v>
      </c>
      <c r="E151" s="3">
        <f t="shared" si="50"/>
        <v>5.9394845248402904E-2</v>
      </c>
      <c r="F151" s="4">
        <v>5417.47</v>
      </c>
      <c r="G151" s="4">
        <v>5461.27</v>
      </c>
      <c r="H151" s="60">
        <v>2192</v>
      </c>
      <c r="I151" s="5">
        <v>-1.0699999999999999E-2</v>
      </c>
      <c r="J151" s="5">
        <v>8.7599999999999997E-2</v>
      </c>
      <c r="K151" s="2">
        <v>2844972402.9699998</v>
      </c>
      <c r="L151" s="3">
        <f t="shared" si="57"/>
        <v>5.8594715796029186E-2</v>
      </c>
      <c r="M151" s="4">
        <v>5385.63</v>
      </c>
      <c r="N151" s="4">
        <v>5429.27</v>
      </c>
      <c r="O151" s="60">
        <v>2207</v>
      </c>
      <c r="P151" s="5">
        <v>-5.8999999999999999E-3</v>
      </c>
      <c r="Q151" s="5">
        <v>8.1299999999999997E-2</v>
      </c>
      <c r="R151" s="81">
        <f t="shared" si="52"/>
        <v>-1.1268456735249961E-2</v>
      </c>
      <c r="S151" s="81">
        <f t="shared" si="53"/>
        <v>-5.8594429500830386E-3</v>
      </c>
      <c r="T151" s="81">
        <f t="shared" si="54"/>
        <v>6.8430656934306573E-3</v>
      </c>
      <c r="U151" s="81">
        <f t="shared" si="55"/>
        <v>4.7999999999999996E-3</v>
      </c>
      <c r="V151" s="83">
        <f t="shared" si="56"/>
        <v>-6.3E-3</v>
      </c>
    </row>
    <row r="152" spans="1:22">
      <c r="A152" s="75">
        <v>129</v>
      </c>
      <c r="B152" s="125" t="s">
        <v>256</v>
      </c>
      <c r="C152" s="125" t="s">
        <v>257</v>
      </c>
      <c r="D152" s="2">
        <v>604710542.92999995</v>
      </c>
      <c r="E152" s="3">
        <f t="shared" si="50"/>
        <v>1.2482357798247724E-2</v>
      </c>
      <c r="F152" s="4">
        <v>1.1890000000000001</v>
      </c>
      <c r="G152" s="4">
        <v>1.1890000000000001</v>
      </c>
      <c r="H152" s="60">
        <v>33</v>
      </c>
      <c r="I152" s="5">
        <v>1.6999999999999999E-3</v>
      </c>
      <c r="J152" s="5">
        <v>2.3099999999999999E-2</v>
      </c>
      <c r="K152" s="2">
        <v>606430783.21000004</v>
      </c>
      <c r="L152" s="3">
        <f t="shared" si="57"/>
        <v>1.2489976828969627E-2</v>
      </c>
      <c r="M152" s="4">
        <v>1.1930000000000001</v>
      </c>
      <c r="N152" s="4">
        <v>1.1930000000000001</v>
      </c>
      <c r="O152" s="60">
        <v>33</v>
      </c>
      <c r="P152" s="5">
        <v>3.3999999999999998E-3</v>
      </c>
      <c r="Q152" s="5">
        <v>2.8E-3</v>
      </c>
      <c r="R152" s="81">
        <f>((K152-D152)/D152)</f>
        <v>2.8447334019761289E-3</v>
      </c>
      <c r="S152" s="81">
        <f>((N152-G152)/G152)</f>
        <v>3.3641715727502131E-3</v>
      </c>
      <c r="T152" s="81">
        <f>((O152-H152)/H152)</f>
        <v>0</v>
      </c>
      <c r="U152" s="81">
        <f>P152-I152</f>
        <v>1.6999999999999999E-3</v>
      </c>
      <c r="V152" s="83">
        <f>Q152-J152</f>
        <v>-2.0299999999999999E-2</v>
      </c>
    </row>
    <row r="153" spans="1:22">
      <c r="A153" s="75">
        <v>130</v>
      </c>
      <c r="B153" s="125" t="s">
        <v>174</v>
      </c>
      <c r="C153" s="126" t="s">
        <v>45</v>
      </c>
      <c r="D153" s="4">
        <v>1710233828.6900001</v>
      </c>
      <c r="E153" s="3">
        <f t="shared" si="50"/>
        <v>3.5302428274095528E-2</v>
      </c>
      <c r="F153" s="4">
        <v>1.8471</v>
      </c>
      <c r="G153" s="4">
        <v>1.8608</v>
      </c>
      <c r="H153" s="60">
        <v>1999</v>
      </c>
      <c r="I153" s="5">
        <v>-7.2900000000000006E-2</v>
      </c>
      <c r="J153" s="5">
        <v>-1.1000000000000001E-3</v>
      </c>
      <c r="K153" s="4">
        <v>1701508560.3199999</v>
      </c>
      <c r="L153" s="16">
        <f t="shared" si="57"/>
        <v>3.5044069465271541E-2</v>
      </c>
      <c r="M153" s="4">
        <v>1.8517999999999999</v>
      </c>
      <c r="N153" s="4">
        <v>1.8387</v>
      </c>
      <c r="O153" s="60">
        <v>2004</v>
      </c>
      <c r="P153" s="5">
        <v>-4.5999999999999999E-3</v>
      </c>
      <c r="Q153" s="5">
        <v>-5.7000000000000002E-3</v>
      </c>
      <c r="R153" s="81">
        <f t="shared" si="52"/>
        <v>-5.1017984930654073E-3</v>
      </c>
      <c r="S153" s="81">
        <f t="shared" si="53"/>
        <v>-1.187661220980224E-2</v>
      </c>
      <c r="T153" s="81">
        <f t="shared" si="54"/>
        <v>2.5012506253126563E-3</v>
      </c>
      <c r="U153" s="81">
        <f t="shared" si="55"/>
        <v>6.83E-2</v>
      </c>
      <c r="V153" s="83">
        <f t="shared" si="56"/>
        <v>-4.5999999999999999E-3</v>
      </c>
    </row>
    <row r="154" spans="1:22">
      <c r="A154" s="75">
        <v>131</v>
      </c>
      <c r="B154" s="125" t="s">
        <v>175</v>
      </c>
      <c r="C154" s="126" t="s">
        <v>45</v>
      </c>
      <c r="D154" s="4">
        <v>1066852129.98</v>
      </c>
      <c r="E154" s="3">
        <f t="shared" si="50"/>
        <v>2.2021825417015389E-2</v>
      </c>
      <c r="F154" s="4">
        <v>1.6255999999999999</v>
      </c>
      <c r="G154" s="4">
        <v>1.6373</v>
      </c>
      <c r="H154" s="60">
        <v>559</v>
      </c>
      <c r="I154" s="5">
        <v>-2.5100000000000001E-2</v>
      </c>
      <c r="J154" s="5">
        <v>0.1426</v>
      </c>
      <c r="K154" s="4">
        <v>1058278565.21</v>
      </c>
      <c r="L154" s="16">
        <f t="shared" si="57"/>
        <v>2.1796180411723796E-2</v>
      </c>
      <c r="M154" s="4">
        <v>1.6268</v>
      </c>
      <c r="N154" s="4">
        <v>1.6379999999999999</v>
      </c>
      <c r="O154" s="60">
        <v>578</v>
      </c>
      <c r="P154" s="5">
        <v>6.9999999999999999E-4</v>
      </c>
      <c r="Q154" s="5">
        <v>0.14349999999999999</v>
      </c>
      <c r="R154" s="81">
        <f t="shared" si="52"/>
        <v>-8.0363196820544443E-3</v>
      </c>
      <c r="S154" s="81">
        <f t="shared" si="53"/>
        <v>4.2753313381782381E-4</v>
      </c>
      <c r="T154" s="81">
        <f t="shared" si="54"/>
        <v>3.3989266547406083E-2</v>
      </c>
      <c r="U154" s="81">
        <f t="shared" si="55"/>
        <v>2.58E-2</v>
      </c>
      <c r="V154" s="83">
        <f t="shared" si="56"/>
        <v>8.9999999999998415E-4</v>
      </c>
    </row>
    <row r="155" spans="1:22">
      <c r="A155" s="75">
        <v>132</v>
      </c>
      <c r="B155" s="125" t="s">
        <v>176</v>
      </c>
      <c r="C155" s="126" t="s">
        <v>87</v>
      </c>
      <c r="D155" s="2">
        <v>8917912155.7099991</v>
      </c>
      <c r="E155" s="3">
        <f t="shared" si="50"/>
        <v>0.18408240379199187</v>
      </c>
      <c r="F155" s="4">
        <v>436.88</v>
      </c>
      <c r="G155" s="4">
        <v>441.18</v>
      </c>
      <c r="H155" s="60">
        <v>31</v>
      </c>
      <c r="I155" s="5">
        <v>-3.5000000000000003E-2</v>
      </c>
      <c r="J155" s="5">
        <v>0.25130000000000002</v>
      </c>
      <c r="K155" s="2">
        <v>9061768672.8799992</v>
      </c>
      <c r="L155" s="16">
        <f t="shared" si="57"/>
        <v>0.18663511795139306</v>
      </c>
      <c r="M155" s="4">
        <v>443.99</v>
      </c>
      <c r="N155" s="4">
        <v>448.27</v>
      </c>
      <c r="O155" s="60">
        <v>31</v>
      </c>
      <c r="P155" s="5">
        <v>1.61E-2</v>
      </c>
      <c r="Q155" s="5">
        <v>0.27150000000000002</v>
      </c>
      <c r="R155" s="81">
        <f t="shared" si="52"/>
        <v>1.6131187957249726E-2</v>
      </c>
      <c r="S155" s="81">
        <f t="shared" si="53"/>
        <v>1.6070538102361791E-2</v>
      </c>
      <c r="T155" s="81">
        <f t="shared" si="54"/>
        <v>0</v>
      </c>
      <c r="U155" s="81">
        <f t="shared" si="55"/>
        <v>5.1100000000000007E-2</v>
      </c>
      <c r="V155" s="83">
        <f t="shared" si="56"/>
        <v>2.0199999999999996E-2</v>
      </c>
    </row>
    <row r="156" spans="1:22">
      <c r="A156" s="75">
        <v>133</v>
      </c>
      <c r="B156" s="125" t="s">
        <v>177</v>
      </c>
      <c r="C156" s="126" t="s">
        <v>40</v>
      </c>
      <c r="D156" s="2">
        <v>314854321.76999998</v>
      </c>
      <c r="E156" s="3">
        <f t="shared" si="50"/>
        <v>6.4991826992384701E-3</v>
      </c>
      <c r="F156" s="4">
        <v>218.93</v>
      </c>
      <c r="G156" s="4">
        <v>221.83</v>
      </c>
      <c r="H156" s="60">
        <v>690</v>
      </c>
      <c r="I156" s="5">
        <v>-1.7399999999999999E-2</v>
      </c>
      <c r="J156" s="5">
        <v>6.93E-2</v>
      </c>
      <c r="K156" s="2">
        <v>313904869.04000002</v>
      </c>
      <c r="L156" s="16">
        <f t="shared" si="57"/>
        <v>6.4651476299689495E-3</v>
      </c>
      <c r="M156" s="4">
        <v>218.28</v>
      </c>
      <c r="N156" s="4">
        <v>221.16</v>
      </c>
      <c r="O156" s="60">
        <v>690</v>
      </c>
      <c r="P156" s="5">
        <v>-3.0000000000000001E-3</v>
      </c>
      <c r="Q156" s="5">
        <v>6.6100000000000006E-2</v>
      </c>
      <c r="R156" s="81">
        <f t="shared" si="52"/>
        <v>-3.0155302447889901E-3</v>
      </c>
      <c r="S156" s="81">
        <f t="shared" si="53"/>
        <v>-3.0203308840103496E-3</v>
      </c>
      <c r="T156" s="81">
        <f t="shared" si="54"/>
        <v>0</v>
      </c>
      <c r="U156" s="81">
        <f t="shared" si="55"/>
        <v>1.44E-2</v>
      </c>
      <c r="V156" s="83">
        <f t="shared" si="56"/>
        <v>-3.1999999999999945E-3</v>
      </c>
    </row>
    <row r="157" spans="1:22">
      <c r="A157" s="84"/>
      <c r="B157" s="19"/>
      <c r="C157" s="71" t="s">
        <v>46</v>
      </c>
      <c r="D157" s="72">
        <f>SUM(D131:D156)</f>
        <v>48445217858.992096</v>
      </c>
      <c r="E157" s="100">
        <f>(D157/$D$183)</f>
        <v>1.7045409755251317E-2</v>
      </c>
      <c r="F157" s="30"/>
      <c r="G157" s="36"/>
      <c r="H157" s="65">
        <f>SUM(H131:H156)</f>
        <v>69182</v>
      </c>
      <c r="I157" s="37"/>
      <c r="J157" s="37"/>
      <c r="K157" s="72">
        <f>SUM(K131:K156)</f>
        <v>48553395375.67646</v>
      </c>
      <c r="L157" s="100">
        <f>(K157/$K$183)</f>
        <v>1.6802370376961241E-2</v>
      </c>
      <c r="M157" s="30"/>
      <c r="N157" s="36"/>
      <c r="O157" s="65">
        <f>SUM(O131:O156)</f>
        <v>69228</v>
      </c>
      <c r="P157" s="37"/>
      <c r="Q157" s="37"/>
      <c r="R157" s="81">
        <f t="shared" si="52"/>
        <v>2.2329864838100855E-3</v>
      </c>
      <c r="S157" s="81" t="e">
        <f t="shared" si="53"/>
        <v>#DIV/0!</v>
      </c>
      <c r="T157" s="81">
        <f t="shared" si="54"/>
        <v>6.6491283859963573E-4</v>
      </c>
      <c r="U157" s="81">
        <f t="shared" si="55"/>
        <v>0</v>
      </c>
      <c r="V157" s="83">
        <f t="shared" si="56"/>
        <v>0</v>
      </c>
    </row>
    <row r="158" spans="1:22" ht="8.25" customHeight="1">
      <c r="A158" s="133"/>
      <c r="B158" s="133"/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</row>
    <row r="159" spans="1:22" ht="15" customHeight="1">
      <c r="A159" s="140" t="s">
        <v>178</v>
      </c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</row>
    <row r="160" spans="1:22">
      <c r="A160" s="75">
        <v>134</v>
      </c>
      <c r="B160" s="125" t="s">
        <v>179</v>
      </c>
      <c r="C160" s="126" t="s">
        <v>21</v>
      </c>
      <c r="D160" s="17">
        <v>1033619301.0700001</v>
      </c>
      <c r="E160" s="3">
        <f>(D160/$D$163)</f>
        <v>0.20217886415921585</v>
      </c>
      <c r="F160" s="17">
        <v>63.196100000000001</v>
      </c>
      <c r="G160" s="17">
        <v>65.101500000000001</v>
      </c>
      <c r="H160" s="62">
        <v>1504</v>
      </c>
      <c r="I160" s="6">
        <v>-1.0512999999999999</v>
      </c>
      <c r="J160" s="6">
        <v>0.95379999999999998</v>
      </c>
      <c r="K160" s="17">
        <v>1035801537.15</v>
      </c>
      <c r="L160" s="16">
        <f>(K160/$K$163)</f>
        <v>0.20348341366303951</v>
      </c>
      <c r="M160" s="17">
        <v>63.356400000000001</v>
      </c>
      <c r="N160" s="17">
        <v>65.2667</v>
      </c>
      <c r="O160" s="62">
        <v>1509</v>
      </c>
      <c r="P160" s="6">
        <v>0.13270000000000001</v>
      </c>
      <c r="Q160" s="6">
        <v>0.87150000000000005</v>
      </c>
      <c r="R160" s="81">
        <f>((K160-D160)/D160)</f>
        <v>2.1112570921816946E-3</v>
      </c>
      <c r="S160" s="81">
        <f t="shared" ref="S160:T163" si="58">((N160-G160)/G160)</f>
        <v>2.5375759391104455E-3</v>
      </c>
      <c r="T160" s="81">
        <f t="shared" si="58"/>
        <v>3.324468085106383E-3</v>
      </c>
      <c r="U160" s="81">
        <f t="shared" ref="U160:V163" si="59">P160-I160</f>
        <v>1.1839999999999999</v>
      </c>
      <c r="V160" s="83">
        <f t="shared" si="59"/>
        <v>-8.2299999999999929E-2</v>
      </c>
    </row>
    <row r="161" spans="1:24">
      <c r="A161" s="75">
        <v>135</v>
      </c>
      <c r="B161" s="125" t="s">
        <v>180</v>
      </c>
      <c r="C161" s="126" t="s">
        <v>181</v>
      </c>
      <c r="D161" s="98">
        <v>811895309.41999996</v>
      </c>
      <c r="E161" s="3">
        <f>(D161/$D$163)</f>
        <v>0.15880902311402761</v>
      </c>
      <c r="F161" s="17">
        <v>21.8187</v>
      </c>
      <c r="G161" s="17">
        <v>21.994299999999999</v>
      </c>
      <c r="H161" s="60">
        <v>1501</v>
      </c>
      <c r="I161" s="5">
        <v>-1.95E-2</v>
      </c>
      <c r="J161" s="5">
        <v>6.9999999999999999E-4</v>
      </c>
      <c r="K161" s="98">
        <v>805652890.09000003</v>
      </c>
      <c r="L161" s="16">
        <f>(K161/$K$163)</f>
        <v>0.15827066713385868</v>
      </c>
      <c r="M161" s="17">
        <v>21.5761</v>
      </c>
      <c r="N161" s="17">
        <v>21.746099999999998</v>
      </c>
      <c r="O161" s="60">
        <v>1500</v>
      </c>
      <c r="P161" s="5">
        <v>-2.1700000000000001E-2</v>
      </c>
      <c r="Q161" s="5">
        <v>-1.0500000000000001E-2</v>
      </c>
      <c r="R161" s="81">
        <f>((K161-D161)/D161)</f>
        <v>-7.6886998330602131E-3</v>
      </c>
      <c r="S161" s="81">
        <f t="shared" si="58"/>
        <v>-1.1284741955870415E-2</v>
      </c>
      <c r="T161" s="81">
        <f t="shared" si="58"/>
        <v>-6.6622251832111927E-4</v>
      </c>
      <c r="U161" s="81">
        <f t="shared" si="59"/>
        <v>-2.2000000000000006E-3</v>
      </c>
      <c r="V161" s="83">
        <f t="shared" si="59"/>
        <v>-1.12E-2</v>
      </c>
    </row>
    <row r="162" spans="1:24">
      <c r="A162" s="75">
        <v>136</v>
      </c>
      <c r="B162" s="125" t="s">
        <v>182</v>
      </c>
      <c r="C162" s="126" t="s">
        <v>42</v>
      </c>
      <c r="D162" s="9">
        <v>3266885765.1300001</v>
      </c>
      <c r="E162" s="3">
        <f>(D162/$D$163)</f>
        <v>0.63901211272675662</v>
      </c>
      <c r="F162" s="17">
        <v>2.2799999999999998</v>
      </c>
      <c r="G162" s="17">
        <v>2.2999999999999998</v>
      </c>
      <c r="H162" s="60">
        <v>10026</v>
      </c>
      <c r="I162" s="5">
        <v>-2.1299999999999999E-2</v>
      </c>
      <c r="J162" s="5">
        <v>0.10580000000000001</v>
      </c>
      <c r="K162" s="9">
        <v>3248894306.8600001</v>
      </c>
      <c r="L162" s="16">
        <f>(K162/$K$163)</f>
        <v>0.63824591920310181</v>
      </c>
      <c r="M162" s="17">
        <v>2.27</v>
      </c>
      <c r="N162" s="17">
        <v>2.2999999999999998</v>
      </c>
      <c r="O162" s="60">
        <v>10031</v>
      </c>
      <c r="P162" s="5">
        <v>0</v>
      </c>
      <c r="Q162" s="5">
        <v>0.10580000000000001</v>
      </c>
      <c r="R162" s="81">
        <f>((K162-D162)/D162)</f>
        <v>-5.5072198918115654E-3</v>
      </c>
      <c r="S162" s="81">
        <f t="shared" si="58"/>
        <v>0</v>
      </c>
      <c r="T162" s="81">
        <f t="shared" si="58"/>
        <v>4.9870337123478952E-4</v>
      </c>
      <c r="U162" s="81">
        <f t="shared" si="59"/>
        <v>2.1299999999999999E-2</v>
      </c>
      <c r="V162" s="83">
        <f t="shared" si="59"/>
        <v>0</v>
      </c>
    </row>
    <row r="163" spans="1:24">
      <c r="A163" s="75"/>
      <c r="B163" s="19"/>
      <c r="C163" s="66" t="s">
        <v>46</v>
      </c>
      <c r="D163" s="72">
        <f>SUM(D160:D162)</f>
        <v>5112400375.6199999</v>
      </c>
      <c r="E163" s="100">
        <f>(D163/$D$183)</f>
        <v>1.7987938353169924E-3</v>
      </c>
      <c r="F163" s="30"/>
      <c r="G163" s="36"/>
      <c r="H163" s="65">
        <f>SUM(H160:H162)</f>
        <v>13031</v>
      </c>
      <c r="I163" s="37"/>
      <c r="J163" s="37"/>
      <c r="K163" s="72">
        <f>SUM(K160:K162)</f>
        <v>5090348734.1000004</v>
      </c>
      <c r="L163" s="100">
        <f>(K163/$K$183)</f>
        <v>1.7615642349307556E-3</v>
      </c>
      <c r="M163" s="30"/>
      <c r="N163" s="36"/>
      <c r="O163" s="65">
        <f>SUM(O160:O162)</f>
        <v>13040</v>
      </c>
      <c r="P163" s="37"/>
      <c r="Q163" s="37"/>
      <c r="R163" s="81">
        <f>((K163-D163)/D163)</f>
        <v>-4.3133635669771308E-3</v>
      </c>
      <c r="S163" s="81" t="e">
        <f t="shared" si="58"/>
        <v>#DIV/0!</v>
      </c>
      <c r="T163" s="81">
        <f t="shared" si="58"/>
        <v>6.9066073210037604E-4</v>
      </c>
      <c r="U163" s="81">
        <f t="shared" si="59"/>
        <v>0</v>
      </c>
      <c r="V163" s="83">
        <f t="shared" si="59"/>
        <v>0</v>
      </c>
    </row>
    <row r="164" spans="1:24" ht="6" customHeight="1">
      <c r="A164" s="133"/>
      <c r="B164" s="133"/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</row>
    <row r="165" spans="1:24" ht="15" customHeight="1">
      <c r="A165" s="140" t="s">
        <v>183</v>
      </c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</row>
    <row r="166" spans="1:24">
      <c r="A166" s="144" t="s">
        <v>232</v>
      </c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4"/>
    </row>
    <row r="167" spans="1:24">
      <c r="A167" s="75">
        <v>137</v>
      </c>
      <c r="B167" s="125" t="s">
        <v>184</v>
      </c>
      <c r="C167" s="126" t="s">
        <v>185</v>
      </c>
      <c r="D167" s="13">
        <v>3995338851.5100002</v>
      </c>
      <c r="E167" s="3">
        <f>(D167/$D$182)</f>
        <v>8.1094279008986636E-2</v>
      </c>
      <c r="F167" s="18">
        <v>1.9</v>
      </c>
      <c r="G167" s="18">
        <v>1.93</v>
      </c>
      <c r="H167" s="61">
        <v>14982</v>
      </c>
      <c r="I167" s="12">
        <v>-1.9E-3</v>
      </c>
      <c r="J167" s="12">
        <v>4.1700000000000001E-2</v>
      </c>
      <c r="K167" s="13">
        <v>4016788434.29</v>
      </c>
      <c r="L167" s="3">
        <f>(K167/$K$182)</f>
        <v>8.0743841150857851E-2</v>
      </c>
      <c r="M167" s="18">
        <v>1.91</v>
      </c>
      <c r="N167" s="18">
        <v>1.94</v>
      </c>
      <c r="O167" s="61">
        <v>14982</v>
      </c>
      <c r="P167" s="12">
        <v>5.0000000000000001E-3</v>
      </c>
      <c r="Q167" s="12">
        <v>4.6899999999999997E-2</v>
      </c>
      <c r="R167" s="81">
        <f>((K167-D167)/D167)</f>
        <v>5.3686517157094365E-3</v>
      </c>
      <c r="S167" s="81">
        <f>((N167-G167)/G167)</f>
        <v>5.1813471502590719E-3</v>
      </c>
      <c r="T167" s="81">
        <f>((O167-H167)/H167)</f>
        <v>0</v>
      </c>
      <c r="U167" s="81">
        <f>P167-I167</f>
        <v>6.8999999999999999E-3</v>
      </c>
      <c r="V167" s="83">
        <f>Q167-J167</f>
        <v>5.1999999999999963E-3</v>
      </c>
    </row>
    <row r="168" spans="1:24">
      <c r="A168" s="75">
        <v>138</v>
      </c>
      <c r="B168" s="125" t="s">
        <v>186</v>
      </c>
      <c r="C168" s="126" t="s">
        <v>42</v>
      </c>
      <c r="D168" s="13">
        <v>773845684.32000005</v>
      </c>
      <c r="E168" s="3">
        <f>(D168/$D$182)</f>
        <v>1.570691752726526E-2</v>
      </c>
      <c r="F168" s="18">
        <v>426.31</v>
      </c>
      <c r="G168" s="18">
        <v>430.82</v>
      </c>
      <c r="H168" s="61">
        <v>800</v>
      </c>
      <c r="I168" s="12">
        <v>-4.19E-2</v>
      </c>
      <c r="J168" s="12">
        <v>0.12820000000000001</v>
      </c>
      <c r="K168" s="13">
        <v>771395701.05999994</v>
      </c>
      <c r="L168" s="3">
        <f>(K168/$K$182)</f>
        <v>1.5506281440947418E-2</v>
      </c>
      <c r="M168" s="18">
        <v>428.96</v>
      </c>
      <c r="N168" s="18">
        <v>433.57</v>
      </c>
      <c r="O168" s="61">
        <v>802</v>
      </c>
      <c r="P168" s="12">
        <v>6.4000000000000003E-3</v>
      </c>
      <c r="Q168" s="12">
        <v>0.13539999999999999</v>
      </c>
      <c r="R168" s="81">
        <f>((K168-D168)/D168)</f>
        <v>-3.1659842648770198E-3</v>
      </c>
      <c r="S168" s="81">
        <f>((N168-G168)/G168)</f>
        <v>6.3831762685112115E-3</v>
      </c>
      <c r="T168" s="81">
        <f>((O168-H168)/H168)</f>
        <v>2.5000000000000001E-3</v>
      </c>
      <c r="U168" s="81">
        <f>P168-I168</f>
        <v>4.8300000000000003E-2</v>
      </c>
      <c r="V168" s="83">
        <f>Q168-J168</f>
        <v>7.1999999999999842E-3</v>
      </c>
    </row>
    <row r="169" spans="1:24" ht="6" customHeight="1">
      <c r="A169" s="133"/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</row>
    <row r="170" spans="1:24" ht="15" customHeight="1">
      <c r="A170" s="144" t="s">
        <v>231</v>
      </c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4"/>
    </row>
    <row r="171" spans="1:24">
      <c r="A171" s="75">
        <v>139</v>
      </c>
      <c r="B171" s="125" t="s">
        <v>187</v>
      </c>
      <c r="C171" s="126" t="s">
        <v>188</v>
      </c>
      <c r="D171" s="2">
        <v>401250576.57999998</v>
      </c>
      <c r="E171" s="3">
        <f t="shared" ref="E171:E181" si="60">(D171/$D$182)</f>
        <v>8.1442719676698815E-3</v>
      </c>
      <c r="F171" s="2">
        <v>1039.96</v>
      </c>
      <c r="G171" s="2">
        <v>1039.96</v>
      </c>
      <c r="H171" s="60">
        <v>20</v>
      </c>
      <c r="I171" s="5">
        <v>-9.7000000000000003E-3</v>
      </c>
      <c r="J171" s="5">
        <v>2.0400000000000001E-2</v>
      </c>
      <c r="K171" s="2">
        <v>402031684.27999997</v>
      </c>
      <c r="L171" s="3">
        <f t="shared" ref="L171:L181" si="61">(K171/$K$182)</f>
        <v>8.0814767778164057E-3</v>
      </c>
      <c r="M171" s="2">
        <v>1042.51</v>
      </c>
      <c r="N171" s="2">
        <v>1042.51</v>
      </c>
      <c r="O171" s="60">
        <v>20</v>
      </c>
      <c r="P171" s="5">
        <v>-2.8999999999999998E-3</v>
      </c>
      <c r="Q171" s="5">
        <v>2.3300000000000001E-2</v>
      </c>
      <c r="R171" s="81">
        <f>((K171-D171)/D171)</f>
        <v>1.946683059393071E-3</v>
      </c>
      <c r="S171" s="81">
        <f>((N171-G171)/G171)</f>
        <v>2.4520173852840056E-3</v>
      </c>
      <c r="T171" s="81">
        <f>((O171-H171)/H171)</f>
        <v>0</v>
      </c>
      <c r="U171" s="81">
        <f>P171-I171</f>
        <v>6.8000000000000005E-3</v>
      </c>
      <c r="V171" s="83">
        <f>Q171-J171</f>
        <v>2.8999999999999998E-3</v>
      </c>
      <c r="X171" s="70"/>
    </row>
    <row r="172" spans="1:24">
      <c r="A172" s="75">
        <v>140</v>
      </c>
      <c r="B172" s="125" t="s">
        <v>189</v>
      </c>
      <c r="C172" s="126" t="s">
        <v>58</v>
      </c>
      <c r="D172" s="2">
        <v>109872000.34</v>
      </c>
      <c r="E172" s="3">
        <f t="shared" si="60"/>
        <v>2.2300963652882632E-3</v>
      </c>
      <c r="F172" s="17">
        <v>110.96</v>
      </c>
      <c r="G172" s="17">
        <v>110.96</v>
      </c>
      <c r="H172" s="60">
        <v>69</v>
      </c>
      <c r="I172" s="5">
        <v>1.6999999999999999E-3</v>
      </c>
      <c r="J172" s="5">
        <v>9.5100000000000004E-2</v>
      </c>
      <c r="K172" s="2">
        <v>110898434.33</v>
      </c>
      <c r="L172" s="3">
        <f t="shared" si="61"/>
        <v>2.2292350498173841E-3</v>
      </c>
      <c r="M172" s="17">
        <v>111.14</v>
      </c>
      <c r="N172" s="17">
        <v>111.14</v>
      </c>
      <c r="O172" s="60">
        <v>69</v>
      </c>
      <c r="P172" s="5">
        <v>1.6000000000000001E-3</v>
      </c>
      <c r="Q172" s="5">
        <v>9.4200000000000006E-2</v>
      </c>
      <c r="R172" s="81">
        <f t="shared" ref="R172:R183" si="62">((K172-D172)/D172)</f>
        <v>9.3420888563390519E-3</v>
      </c>
      <c r="S172" s="81">
        <f t="shared" ref="S172:S182" si="63">((N172-G172)/G172)</f>
        <v>1.6222062004326498E-3</v>
      </c>
      <c r="T172" s="81">
        <f t="shared" ref="T172:T182" si="64">((O172-H172)/H172)</f>
        <v>0</v>
      </c>
      <c r="U172" s="81">
        <f t="shared" ref="U172:U182" si="65">P172-I172</f>
        <v>-9.9999999999999829E-5</v>
      </c>
      <c r="V172" s="83">
        <f t="shared" ref="V172:V182" si="66">Q172-J172</f>
        <v>-8.9999999999999802E-4</v>
      </c>
    </row>
    <row r="173" spans="1:24">
      <c r="A173" s="75">
        <v>141</v>
      </c>
      <c r="B173" s="147" t="s">
        <v>190</v>
      </c>
      <c r="C173" s="126" t="s">
        <v>64</v>
      </c>
      <c r="D173" s="9">
        <v>55843601.009999998</v>
      </c>
      <c r="E173" s="3">
        <f t="shared" si="60"/>
        <v>1.1334699582389433E-3</v>
      </c>
      <c r="F173" s="17">
        <v>100.68</v>
      </c>
      <c r="G173" s="17">
        <v>101.48</v>
      </c>
      <c r="H173" s="60">
        <v>12</v>
      </c>
      <c r="I173" s="5">
        <v>2.0999999999999999E-3</v>
      </c>
      <c r="J173" s="5">
        <v>4.8500000000000001E-2</v>
      </c>
      <c r="K173" s="9">
        <v>55843601.009999998</v>
      </c>
      <c r="L173" s="3">
        <f t="shared" si="61"/>
        <v>1.1225452679437253E-3</v>
      </c>
      <c r="M173" s="17">
        <v>100.76</v>
      </c>
      <c r="N173" s="17">
        <v>101.62</v>
      </c>
      <c r="O173" s="60">
        <v>12</v>
      </c>
      <c r="P173" s="5">
        <v>1.1999999999999999E-3</v>
      </c>
      <c r="Q173" s="5">
        <v>4.9700000000000001E-2</v>
      </c>
      <c r="R173" s="81">
        <f t="shared" si="62"/>
        <v>0</v>
      </c>
      <c r="S173" s="81">
        <f t="shared" si="63"/>
        <v>1.3795821836815191E-3</v>
      </c>
      <c r="T173" s="81">
        <f t="shared" si="64"/>
        <v>0</v>
      </c>
      <c r="U173" s="81">
        <f t="shared" si="65"/>
        <v>-8.9999999999999998E-4</v>
      </c>
      <c r="V173" s="83">
        <f t="shared" si="66"/>
        <v>1.1999999999999997E-3</v>
      </c>
    </row>
    <row r="174" spans="1:24">
      <c r="A174" s="75">
        <v>142</v>
      </c>
      <c r="B174" s="125" t="s">
        <v>191</v>
      </c>
      <c r="C174" s="126" t="s">
        <v>27</v>
      </c>
      <c r="D174" s="2">
        <v>10010496738.33</v>
      </c>
      <c r="E174" s="3">
        <f t="shared" si="60"/>
        <v>0.20318527306135095</v>
      </c>
      <c r="F174" s="17">
        <v>136.52000000000001</v>
      </c>
      <c r="G174" s="17">
        <v>136.52000000000001</v>
      </c>
      <c r="H174" s="60">
        <v>675</v>
      </c>
      <c r="I174" s="5">
        <v>2.5000000000000001E-3</v>
      </c>
      <c r="J174" s="5">
        <v>2.1000000000000001E-2</v>
      </c>
      <c r="K174" s="2">
        <v>10072835559.530001</v>
      </c>
      <c r="L174" s="3">
        <f t="shared" si="61"/>
        <v>0.20248002792837247</v>
      </c>
      <c r="M174" s="17">
        <v>136.87</v>
      </c>
      <c r="N174" s="17">
        <v>136.87</v>
      </c>
      <c r="O174" s="60">
        <v>684</v>
      </c>
      <c r="P174" s="5">
        <v>2.5999999999999999E-3</v>
      </c>
      <c r="Q174" s="5">
        <v>2.3599999999999999E-2</v>
      </c>
      <c r="R174" s="81">
        <f t="shared" si="62"/>
        <v>6.2273454384442891E-3</v>
      </c>
      <c r="S174" s="81">
        <f t="shared" si="63"/>
        <v>2.5637269264576199E-3</v>
      </c>
      <c r="T174" s="81">
        <f t="shared" si="64"/>
        <v>1.3333333333333334E-2</v>
      </c>
      <c r="U174" s="81">
        <f t="shared" si="65"/>
        <v>9.9999999999999829E-5</v>
      </c>
      <c r="V174" s="83">
        <f t="shared" si="66"/>
        <v>2.5999999999999981E-3</v>
      </c>
    </row>
    <row r="175" spans="1:24">
      <c r="A175" s="75">
        <v>143</v>
      </c>
      <c r="B175" s="125" t="s">
        <v>249</v>
      </c>
      <c r="C175" s="126" t="s">
        <v>56</v>
      </c>
      <c r="D175" s="2">
        <v>247910438.72988901</v>
      </c>
      <c r="E175" s="3">
        <f t="shared" si="60"/>
        <v>5.0318931722158544E-3</v>
      </c>
      <c r="F175" s="4">
        <v>1049.1719559461001</v>
      </c>
      <c r="G175" s="4">
        <v>1049.1719559461001</v>
      </c>
      <c r="H175" s="60">
        <v>18</v>
      </c>
      <c r="I175" s="5">
        <v>0.11361078240438389</v>
      </c>
      <c r="J175" s="5">
        <v>0.11582278798826728</v>
      </c>
      <c r="K175" s="2">
        <v>259811911.709084</v>
      </c>
      <c r="L175" s="3">
        <f t="shared" si="61"/>
        <v>5.2226329744068413E-3</v>
      </c>
      <c r="M175" s="4">
        <v>1051.3926760167501</v>
      </c>
      <c r="N175" s="4">
        <v>1051.3926760167501</v>
      </c>
      <c r="O175" s="60">
        <v>18</v>
      </c>
      <c r="P175" s="5">
        <v>0.11067007125429104</v>
      </c>
      <c r="Q175" s="5">
        <v>0.11551227992593818</v>
      </c>
      <c r="R175" s="81">
        <f t="shared" si="62"/>
        <v>4.8007147420533823E-2</v>
      </c>
      <c r="S175" s="81">
        <f t="shared" si="63"/>
        <v>2.1166407070492823E-3</v>
      </c>
      <c r="T175" s="81">
        <f t="shared" si="64"/>
        <v>0</v>
      </c>
      <c r="U175" s="81">
        <f t="shared" si="65"/>
        <v>-2.9407111500928534E-3</v>
      </c>
      <c r="V175" s="83">
        <f t="shared" si="66"/>
        <v>-3.1050806232910122E-4</v>
      </c>
    </row>
    <row r="176" spans="1:24">
      <c r="A176" s="75">
        <v>144</v>
      </c>
      <c r="B176" s="125" t="s">
        <v>192</v>
      </c>
      <c r="C176" s="126" t="s">
        <v>185</v>
      </c>
      <c r="D176" s="2">
        <v>18856365403.950001</v>
      </c>
      <c r="E176" s="3">
        <f t="shared" si="60"/>
        <v>0.38273183176575853</v>
      </c>
      <c r="F176" s="7">
        <v>1214.3800000000001</v>
      </c>
      <c r="G176" s="7">
        <v>1214.3800000000001</v>
      </c>
      <c r="H176" s="60">
        <v>7769</v>
      </c>
      <c r="I176" s="5">
        <v>1.4E-3</v>
      </c>
      <c r="J176" s="5">
        <v>2.5000000000000001E-2</v>
      </c>
      <c r="K176" s="2">
        <v>19231509561.709999</v>
      </c>
      <c r="L176" s="3">
        <f t="shared" si="61"/>
        <v>0.38658395346041935</v>
      </c>
      <c r="M176" s="7">
        <v>1217.92</v>
      </c>
      <c r="N176" s="7">
        <v>1217.92</v>
      </c>
      <c r="O176" s="60">
        <v>7827</v>
      </c>
      <c r="P176" s="5">
        <v>2.8999999999999998E-3</v>
      </c>
      <c r="Q176" s="5">
        <v>2.7900000000000001E-2</v>
      </c>
      <c r="R176" s="81">
        <f t="shared" si="62"/>
        <v>1.989482860156145E-2</v>
      </c>
      <c r="S176" s="81">
        <f t="shared" si="63"/>
        <v>2.9150677712083228E-3</v>
      </c>
      <c r="T176" s="81">
        <f t="shared" si="64"/>
        <v>7.4655682842064619E-3</v>
      </c>
      <c r="U176" s="81">
        <f t="shared" si="65"/>
        <v>1.4999999999999998E-3</v>
      </c>
      <c r="V176" s="83">
        <f t="shared" si="66"/>
        <v>2.8999999999999998E-3</v>
      </c>
    </row>
    <row r="177" spans="1:22">
      <c r="A177" s="75">
        <v>145</v>
      </c>
      <c r="B177" s="125" t="s">
        <v>193</v>
      </c>
      <c r="C177" s="126" t="s">
        <v>78</v>
      </c>
      <c r="D177" s="2">
        <v>1083413606.4400001</v>
      </c>
      <c r="E177" s="3">
        <f t="shared" si="60"/>
        <v>2.1990286318161089E-2</v>
      </c>
      <c r="F177" s="14">
        <v>104.06</v>
      </c>
      <c r="G177" s="14">
        <v>104.06</v>
      </c>
      <c r="H177" s="60">
        <v>542</v>
      </c>
      <c r="I177" s="5">
        <v>2.2000000000000001E-3</v>
      </c>
      <c r="J177" s="5">
        <v>6.3E-3</v>
      </c>
      <c r="K177" s="2">
        <v>1089952215.3499999</v>
      </c>
      <c r="L177" s="3">
        <f t="shared" si="61"/>
        <v>2.1909774432469442E-2</v>
      </c>
      <c r="M177" s="14">
        <v>104.28</v>
      </c>
      <c r="N177" s="14">
        <v>104.28</v>
      </c>
      <c r="O177" s="60">
        <v>546</v>
      </c>
      <c r="P177" s="5">
        <v>2.0999999999999999E-3</v>
      </c>
      <c r="Q177" s="5">
        <v>1.0999999999999999E-2</v>
      </c>
      <c r="R177" s="81">
        <f t="shared" si="62"/>
        <v>6.0351917966815372E-3</v>
      </c>
      <c r="S177" s="81">
        <f t="shared" si="63"/>
        <v>2.1141649048625681E-3</v>
      </c>
      <c r="T177" s="81">
        <f t="shared" si="64"/>
        <v>7.3800738007380072E-3</v>
      </c>
      <c r="U177" s="81">
        <f t="shared" si="65"/>
        <v>-1.0000000000000026E-4</v>
      </c>
      <c r="V177" s="83">
        <f t="shared" si="66"/>
        <v>4.6999999999999993E-3</v>
      </c>
    </row>
    <row r="178" spans="1:22" ht="15.75" customHeight="1">
      <c r="A178" s="75">
        <v>146</v>
      </c>
      <c r="B178" s="125" t="s">
        <v>194</v>
      </c>
      <c r="C178" s="126" t="s">
        <v>42</v>
      </c>
      <c r="D178" s="2">
        <v>8106555377.3299999</v>
      </c>
      <c r="E178" s="3">
        <f t="shared" si="60"/>
        <v>0.16454055288015024</v>
      </c>
      <c r="F178" s="14">
        <v>129.77000000000001</v>
      </c>
      <c r="G178" s="14">
        <v>129.77000000000001</v>
      </c>
      <c r="H178" s="60">
        <v>1134</v>
      </c>
      <c r="I178" s="5">
        <v>1.2999999999999999E-3</v>
      </c>
      <c r="J178" s="5">
        <v>1.15E-2</v>
      </c>
      <c r="K178" s="2">
        <v>8109326169.79</v>
      </c>
      <c r="L178" s="3">
        <f t="shared" si="61"/>
        <v>0.16301036382807541</v>
      </c>
      <c r="M178" s="14">
        <v>129.88999999999999</v>
      </c>
      <c r="N178" s="14">
        <v>129.88999999999999</v>
      </c>
      <c r="O178" s="60">
        <v>1141</v>
      </c>
      <c r="P178" s="5">
        <v>8.9999999999999998E-4</v>
      </c>
      <c r="Q178" s="5">
        <v>1.2500000000000001E-2</v>
      </c>
      <c r="R178" s="81">
        <f t="shared" si="62"/>
        <v>3.4179652528477944E-4</v>
      </c>
      <c r="S178" s="81">
        <f t="shared" si="63"/>
        <v>9.2471295368710884E-4</v>
      </c>
      <c r="T178" s="81">
        <f t="shared" si="64"/>
        <v>6.1728395061728392E-3</v>
      </c>
      <c r="U178" s="81">
        <f t="shared" si="65"/>
        <v>-3.9999999999999996E-4</v>
      </c>
      <c r="V178" s="83">
        <f t="shared" si="66"/>
        <v>1.0000000000000009E-3</v>
      </c>
    </row>
    <row r="179" spans="1:22">
      <c r="A179" s="75">
        <v>147</v>
      </c>
      <c r="B179" s="125" t="s">
        <v>195</v>
      </c>
      <c r="C179" s="126" t="s">
        <v>45</v>
      </c>
      <c r="D179" s="2">
        <v>5070583497.7799997</v>
      </c>
      <c r="E179" s="3">
        <f t="shared" si="60"/>
        <v>0.10291875813034664</v>
      </c>
      <c r="F179" s="14">
        <v>1.198</v>
      </c>
      <c r="G179" s="14">
        <v>1.198</v>
      </c>
      <c r="H179" s="60">
        <v>608</v>
      </c>
      <c r="I179" s="5">
        <v>9.5699999999999993E-2</v>
      </c>
      <c r="J179" s="5">
        <v>9.6500000000000002E-2</v>
      </c>
      <c r="K179" s="2">
        <v>5072991517.8900003</v>
      </c>
      <c r="L179" s="3">
        <f t="shared" si="61"/>
        <v>0.10197520431582348</v>
      </c>
      <c r="M179" s="14">
        <v>1.2000999999999999</v>
      </c>
      <c r="N179" s="14">
        <v>1.2000999999999999</v>
      </c>
      <c r="O179" s="60">
        <v>613</v>
      </c>
      <c r="P179" s="5">
        <v>9.5600000000000004E-2</v>
      </c>
      <c r="Q179" s="5">
        <v>9.64E-2</v>
      </c>
      <c r="R179" s="81">
        <f t="shared" si="62"/>
        <v>4.7490000136175424E-4</v>
      </c>
      <c r="S179" s="81">
        <f t="shared" si="63"/>
        <v>1.7529215358931475E-3</v>
      </c>
      <c r="T179" s="81">
        <f t="shared" si="64"/>
        <v>8.2236842105263153E-3</v>
      </c>
      <c r="U179" s="81">
        <f t="shared" si="65"/>
        <v>-9.9999999999988987E-5</v>
      </c>
      <c r="V179" s="83">
        <f t="shared" si="66"/>
        <v>-1.0000000000000286E-4</v>
      </c>
    </row>
    <row r="180" spans="1:22">
      <c r="A180" s="75">
        <v>148</v>
      </c>
      <c r="B180" s="125" t="s">
        <v>196</v>
      </c>
      <c r="C180" s="126" t="s">
        <v>197</v>
      </c>
      <c r="D180" s="2">
        <v>415283328.13999999</v>
      </c>
      <c r="E180" s="3">
        <f t="shared" si="60"/>
        <v>8.4290978391576895E-3</v>
      </c>
      <c r="F180" s="18">
        <v>112.6979</v>
      </c>
      <c r="G180" s="18">
        <v>113.1855</v>
      </c>
      <c r="H180" s="61">
        <v>154</v>
      </c>
      <c r="I180" s="5">
        <v>-1.2859000000000001E-2</v>
      </c>
      <c r="J180" s="5">
        <v>0.15071000000000001</v>
      </c>
      <c r="K180" s="2">
        <v>411047790.42000002</v>
      </c>
      <c r="L180" s="3">
        <f t="shared" si="61"/>
        <v>8.2627148623898375E-3</v>
      </c>
      <c r="M180" s="18">
        <v>111.9802</v>
      </c>
      <c r="N180" s="18">
        <v>112.4652</v>
      </c>
      <c r="O180" s="61">
        <v>154</v>
      </c>
      <c r="P180" s="5">
        <v>-7.2030000000000002E-3</v>
      </c>
      <c r="Q180" s="5">
        <v>0.1298</v>
      </c>
      <c r="R180" s="81">
        <f>((K180-D180)/D180)</f>
        <v>-1.0199151839228393E-2</v>
      </c>
      <c r="S180" s="81">
        <f>((N180-G180)/G180)</f>
        <v>-6.3638893674543891E-3</v>
      </c>
      <c r="T180" s="81">
        <f>((O180-H180)/H180)</f>
        <v>0</v>
      </c>
      <c r="U180" s="81">
        <f>P180-I180</f>
        <v>5.6560000000000004E-3</v>
      </c>
      <c r="V180" s="83">
        <f>Q180-J180</f>
        <v>-2.0910000000000012E-2</v>
      </c>
    </row>
    <row r="181" spans="1:22">
      <c r="A181" s="75">
        <v>149</v>
      </c>
      <c r="B181" s="125" t="s">
        <v>244</v>
      </c>
      <c r="C181" s="126" t="s">
        <v>197</v>
      </c>
      <c r="D181" s="2">
        <v>141067187.78999999</v>
      </c>
      <c r="E181" s="3">
        <f t="shared" si="60"/>
        <v>2.8632720054099616E-3</v>
      </c>
      <c r="F181" s="18">
        <v>100.85129999999999</v>
      </c>
      <c r="G181" s="18">
        <v>100.85129999999999</v>
      </c>
      <c r="H181" s="61">
        <v>56</v>
      </c>
      <c r="I181" s="5">
        <v>1.8860000000000001E-3</v>
      </c>
      <c r="J181" s="5">
        <v>7.058E-3</v>
      </c>
      <c r="K181" s="2">
        <v>142871696.43000001</v>
      </c>
      <c r="L181" s="3">
        <f t="shared" si="61"/>
        <v>2.8719485106605044E-3</v>
      </c>
      <c r="M181" s="18">
        <v>101.0399</v>
      </c>
      <c r="N181" s="18">
        <v>101.0399</v>
      </c>
      <c r="O181" s="61">
        <v>59</v>
      </c>
      <c r="P181" s="5">
        <v>1.8860000000000001E-3</v>
      </c>
      <c r="Q181" s="5">
        <v>8.9440000000000006E-3</v>
      </c>
      <c r="R181" s="81">
        <f t="shared" si="62"/>
        <v>1.2791838189092573E-2</v>
      </c>
      <c r="S181" s="81">
        <f t="shared" si="63"/>
        <v>1.8700800088844477E-3</v>
      </c>
      <c r="T181" s="81">
        <f t="shared" si="64"/>
        <v>5.3571428571428568E-2</v>
      </c>
      <c r="U181" s="81">
        <f t="shared" si="65"/>
        <v>0</v>
      </c>
      <c r="V181" s="83">
        <f t="shared" si="66"/>
        <v>1.8860000000000005E-3</v>
      </c>
    </row>
    <row r="182" spans="1:22">
      <c r="A182" s="85"/>
      <c r="B182" s="19"/>
      <c r="C182" s="66" t="s">
        <v>46</v>
      </c>
      <c r="D182" s="59">
        <f>SUM(D167:D181)</f>
        <v>49267826292.249893</v>
      </c>
      <c r="E182" s="100">
        <f>(D182/$D$183)</f>
        <v>1.7334843850765492E-2</v>
      </c>
      <c r="F182" s="30"/>
      <c r="G182" s="34"/>
      <c r="H182" s="68">
        <f>SUM(H167:H181)</f>
        <v>26839</v>
      </c>
      <c r="I182" s="35"/>
      <c r="J182" s="35"/>
      <c r="K182" s="59">
        <f>SUM(K167:K181)</f>
        <v>49747304277.79908</v>
      </c>
      <c r="L182" s="100">
        <f>(K182/$K$183)</f>
        <v>1.7215534058195054E-2</v>
      </c>
      <c r="M182" s="30"/>
      <c r="N182" s="34"/>
      <c r="O182" s="68">
        <f>SUM(O167:O181)</f>
        <v>26927</v>
      </c>
      <c r="P182" s="35"/>
      <c r="Q182" s="35"/>
      <c r="R182" s="81">
        <f t="shared" si="62"/>
        <v>9.7320710417583677E-3</v>
      </c>
      <c r="S182" s="81" t="e">
        <f t="shared" si="63"/>
        <v>#DIV/0!</v>
      </c>
      <c r="T182" s="81">
        <f t="shared" si="64"/>
        <v>3.2788106859420992E-3</v>
      </c>
      <c r="U182" s="81">
        <f t="shared" si="65"/>
        <v>0</v>
      </c>
      <c r="V182" s="83">
        <f t="shared" si="66"/>
        <v>0</v>
      </c>
    </row>
    <row r="183" spans="1:22">
      <c r="A183" s="86"/>
      <c r="B183" s="38"/>
      <c r="C183" s="67" t="s">
        <v>198</v>
      </c>
      <c r="D183" s="69">
        <f>SUM(D22,D55,D91,D120,D128,D157,D163,D182)</f>
        <v>2842126915961.4766</v>
      </c>
      <c r="E183" s="39"/>
      <c r="F183" s="39"/>
      <c r="G183" s="40"/>
      <c r="H183" s="69">
        <f>SUM(H22,H55,H91,H120,H128,H157,H163,H182)</f>
        <v>717109</v>
      </c>
      <c r="I183" s="41"/>
      <c r="J183" s="41"/>
      <c r="K183" s="69">
        <f>SUM(K22,K55,K91,K120,K128,K157,K163,K182)</f>
        <v>2889675342608.2666</v>
      </c>
      <c r="L183" s="39"/>
      <c r="M183" s="39"/>
      <c r="N183" s="40"/>
      <c r="O183" s="69">
        <f>SUM(O22,O55,O91,O120,O128,O157,O163,O182)</f>
        <v>717923</v>
      </c>
      <c r="P183" s="42"/>
      <c r="Q183" s="69"/>
      <c r="R183" s="25">
        <f t="shared" si="62"/>
        <v>1.6729874510443759E-2</v>
      </c>
      <c r="S183" s="25"/>
      <c r="T183" s="25"/>
      <c r="U183" s="25"/>
      <c r="V183" s="25"/>
    </row>
    <row r="184" spans="1:22" ht="6.75" customHeight="1">
      <c r="A184" s="133"/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9"/>
    </row>
    <row r="185" spans="1:22" ht="15.75">
      <c r="A185" s="140" t="s">
        <v>199</v>
      </c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</row>
    <row r="186" spans="1:22">
      <c r="A186" s="75">
        <v>1</v>
      </c>
      <c r="B186" s="125" t="s">
        <v>200</v>
      </c>
      <c r="C186" s="126" t="s">
        <v>201</v>
      </c>
      <c r="D186" s="2">
        <v>92548651821</v>
      </c>
      <c r="E186" s="3">
        <f>(D186/$D$188)</f>
        <v>0.97752664954545543</v>
      </c>
      <c r="F186" s="14">
        <v>114</v>
      </c>
      <c r="G186" s="14">
        <v>114</v>
      </c>
      <c r="H186" s="64">
        <v>0</v>
      </c>
      <c r="I186" s="20">
        <v>0</v>
      </c>
      <c r="J186" s="20">
        <v>0.13800000000000001</v>
      </c>
      <c r="K186" s="2">
        <v>92548651821</v>
      </c>
      <c r="L186" s="3">
        <f>(K186/$K$188)</f>
        <v>0.97746501987160239</v>
      </c>
      <c r="M186" s="14">
        <v>114</v>
      </c>
      <c r="N186" s="14">
        <v>114</v>
      </c>
      <c r="O186" s="64">
        <v>0</v>
      </c>
      <c r="P186" s="20">
        <v>0</v>
      </c>
      <c r="Q186" s="20">
        <v>0.13800000000000001</v>
      </c>
      <c r="R186" s="81">
        <f>((K186-D186)/D186)</f>
        <v>0</v>
      </c>
      <c r="S186" s="81">
        <f>((N186-G186)/G186)</f>
        <v>0</v>
      </c>
      <c r="T186" s="81" t="e">
        <f>((O186-H186)/H186)</f>
        <v>#DIV/0!</v>
      </c>
      <c r="U186" s="81">
        <f>P186-I186</f>
        <v>0</v>
      </c>
      <c r="V186" s="83">
        <f>Q186-J186</f>
        <v>0</v>
      </c>
    </row>
    <row r="187" spans="1:22">
      <c r="A187" s="75">
        <v>2</v>
      </c>
      <c r="B187" s="125" t="s">
        <v>202</v>
      </c>
      <c r="C187" s="126" t="s">
        <v>45</v>
      </c>
      <c r="D187" s="2">
        <v>2127694715.47</v>
      </c>
      <c r="E187" s="3">
        <f>(D187/$D$188)</f>
        <v>2.2473350454544599E-2</v>
      </c>
      <c r="F187" s="21">
        <v>1000000</v>
      </c>
      <c r="G187" s="21">
        <v>1000000</v>
      </c>
      <c r="H187" s="64">
        <v>0</v>
      </c>
      <c r="I187" s="20">
        <v>0.16489999999999999</v>
      </c>
      <c r="J187" s="20">
        <v>0.16489999999999999</v>
      </c>
      <c r="K187" s="2">
        <v>2133664107.97</v>
      </c>
      <c r="L187" s="3">
        <f>(K187/$K$188)</f>
        <v>2.2534980128397573E-2</v>
      </c>
      <c r="M187" s="21">
        <v>1000000</v>
      </c>
      <c r="N187" s="21">
        <v>1000000</v>
      </c>
      <c r="O187" s="64">
        <v>0</v>
      </c>
      <c r="P187" s="20">
        <v>0.1648</v>
      </c>
      <c r="Q187" s="20">
        <v>0.1648</v>
      </c>
      <c r="R187" s="81">
        <f>((K187-D187)/D187)</f>
        <v>2.805568137476613E-3</v>
      </c>
      <c r="S187" s="81">
        <f>((N187-G187)/G187)</f>
        <v>0</v>
      </c>
      <c r="T187" s="81" t="e">
        <f>((O187-H187)/H187)</f>
        <v>#DIV/0!</v>
      </c>
      <c r="U187" s="81">
        <f>P187-I187</f>
        <v>-9.9999999999988987E-5</v>
      </c>
      <c r="V187" s="83">
        <f>Q187-J187</f>
        <v>-9.9999999999988987E-5</v>
      </c>
    </row>
    <row r="188" spans="1:22">
      <c r="A188" s="38"/>
      <c r="B188" s="38"/>
      <c r="C188" s="67" t="s">
        <v>203</v>
      </c>
      <c r="D188" s="73">
        <f>SUM(D186:D187)</f>
        <v>94676346536.470001</v>
      </c>
      <c r="E188" s="24"/>
      <c r="F188" s="22"/>
      <c r="G188" s="22"/>
      <c r="H188" s="73">
        <f>SUM(H186:H187)</f>
        <v>0</v>
      </c>
      <c r="I188" s="23"/>
      <c r="J188" s="23"/>
      <c r="K188" s="73">
        <f>SUM(K186:K187)</f>
        <v>94682315928.970001</v>
      </c>
      <c r="L188" s="24"/>
      <c r="M188" s="22"/>
      <c r="N188" s="22"/>
      <c r="O188" s="23"/>
      <c r="P188" s="23"/>
      <c r="Q188" s="73"/>
      <c r="R188" s="25">
        <f>((K188-D188)/D188)</f>
        <v>6.3050515977615886E-5</v>
      </c>
      <c r="S188" s="26"/>
      <c r="T188" s="26"/>
      <c r="U188" s="25">
        <f>O188-H188</f>
        <v>0</v>
      </c>
      <c r="V188" s="87">
        <f>P188-I188</f>
        <v>0</v>
      </c>
    </row>
    <row r="189" spans="1:22" ht="8.25" customHeight="1">
      <c r="A189" s="145"/>
      <c r="B189" s="145"/>
      <c r="C189" s="145"/>
      <c r="D189" s="145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  <c r="O189" s="145"/>
      <c r="P189" s="145"/>
      <c r="Q189" s="145"/>
      <c r="R189" s="145"/>
      <c r="S189" s="145"/>
      <c r="T189" s="145"/>
      <c r="U189" s="145"/>
      <c r="V189" s="145"/>
    </row>
    <row r="190" spans="1:22" ht="15.75">
      <c r="A190" s="140" t="s">
        <v>204</v>
      </c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</row>
    <row r="191" spans="1:22">
      <c r="A191" s="75">
        <v>1</v>
      </c>
      <c r="B191" s="125" t="s">
        <v>205</v>
      </c>
      <c r="C191" s="126" t="s">
        <v>74</v>
      </c>
      <c r="D191" s="27">
        <v>963754865.05277085</v>
      </c>
      <c r="E191" s="10">
        <f t="shared" ref="E191:E202" si="67">(D191/$D$203)</f>
        <v>7.1867713309591158E-2</v>
      </c>
      <c r="F191" s="21">
        <v>227.11320020095931</v>
      </c>
      <c r="G191" s="21">
        <v>231.50295897725934</v>
      </c>
      <c r="H191" s="63">
        <v>61</v>
      </c>
      <c r="I191" s="28">
        <v>-3.4533180570256561E-2</v>
      </c>
      <c r="J191" s="28">
        <v>0.29908499492162144</v>
      </c>
      <c r="K191" s="27">
        <v>987059125.58986008</v>
      </c>
      <c r="L191" s="10">
        <f t="shared" ref="L191:L202" si="68">(K191/$K$203)</f>
        <v>7.2549711494820479E-2</v>
      </c>
      <c r="M191" s="21">
        <v>232.60495477550609</v>
      </c>
      <c r="N191" s="21">
        <v>237.09797199717215</v>
      </c>
      <c r="O191" s="63">
        <v>61</v>
      </c>
      <c r="P191" s="28">
        <v>2.418069301866832E-2</v>
      </c>
      <c r="Q191" s="28">
        <v>0.33049777038897954</v>
      </c>
      <c r="R191" s="81">
        <f>((K191-D191)/D191)</f>
        <v>2.4180693018668386E-2</v>
      </c>
      <c r="S191" s="81">
        <f>((N191-G191)/G191)</f>
        <v>2.416821385191199E-2</v>
      </c>
      <c r="T191" s="81">
        <f>((O191-H191)/H191)</f>
        <v>0</v>
      </c>
      <c r="U191" s="81">
        <f>P191-I191</f>
        <v>5.8713873588924881E-2</v>
      </c>
      <c r="V191" s="83">
        <f>Q191-J191</f>
        <v>3.1412775467358101E-2</v>
      </c>
    </row>
    <row r="192" spans="1:22">
      <c r="A192" s="75">
        <v>2</v>
      </c>
      <c r="B192" s="125" t="s">
        <v>206</v>
      </c>
      <c r="C192" s="126" t="s">
        <v>185</v>
      </c>
      <c r="D192" s="27">
        <v>981545010.66999996</v>
      </c>
      <c r="E192" s="10">
        <f t="shared" si="67"/>
        <v>7.3194333938255779E-2</v>
      </c>
      <c r="F192" s="21">
        <v>27.92</v>
      </c>
      <c r="G192" s="21">
        <v>30.86</v>
      </c>
      <c r="H192" s="63">
        <v>187</v>
      </c>
      <c r="I192" s="28">
        <v>-2.8299999999999999E-2</v>
      </c>
      <c r="J192" s="28">
        <v>0.30249999999999999</v>
      </c>
      <c r="K192" s="27">
        <v>988615330.36000001</v>
      </c>
      <c r="L192" s="10">
        <f t="shared" si="68"/>
        <v>7.2664093910395675E-2</v>
      </c>
      <c r="M192" s="21">
        <v>28.12</v>
      </c>
      <c r="N192" s="21">
        <v>31.08</v>
      </c>
      <c r="O192" s="63">
        <v>187</v>
      </c>
      <c r="P192" s="28">
        <v>7.1999999999999998E-3</v>
      </c>
      <c r="Q192" s="28">
        <v>0.31190000000000001</v>
      </c>
      <c r="R192" s="81">
        <f t="shared" ref="R192:R203" si="69">((K192-D192)/D192)</f>
        <v>7.2032556970300079E-3</v>
      </c>
      <c r="S192" s="81">
        <f t="shared" ref="S192:S203" si="70">((N192-G192)/G192)</f>
        <v>7.1289695398573842E-3</v>
      </c>
      <c r="T192" s="81">
        <f t="shared" ref="T192:T203" si="71">((O192-H192)/H192)</f>
        <v>0</v>
      </c>
      <c r="U192" s="81">
        <f t="shared" ref="U192:U203" si="72">P192-I192</f>
        <v>3.5499999999999997E-2</v>
      </c>
      <c r="V192" s="83">
        <f t="shared" ref="V192:V203" si="73">Q192-J192</f>
        <v>9.4000000000000195E-3</v>
      </c>
    </row>
    <row r="193" spans="1:22">
      <c r="A193" s="75">
        <v>3</v>
      </c>
      <c r="B193" s="125" t="s">
        <v>207</v>
      </c>
      <c r="C193" s="126" t="s">
        <v>36</v>
      </c>
      <c r="D193" s="27">
        <v>263659067.73000002</v>
      </c>
      <c r="E193" s="10">
        <f t="shared" si="67"/>
        <v>1.966119703069533E-2</v>
      </c>
      <c r="F193" s="21">
        <v>23.490171</v>
      </c>
      <c r="G193" s="21">
        <v>23.873705999999999</v>
      </c>
      <c r="H193" s="63">
        <v>107</v>
      </c>
      <c r="I193" s="28">
        <v>-3.3737318750219125E-2</v>
      </c>
      <c r="J193" s="28">
        <v>-0.16252718928136123</v>
      </c>
      <c r="K193" s="27">
        <v>267145534.34999999</v>
      </c>
      <c r="L193" s="10">
        <f t="shared" si="68"/>
        <v>1.9635431091972324E-2</v>
      </c>
      <c r="M193" s="21">
        <v>19.932514999999999</v>
      </c>
      <c r="N193" s="21">
        <v>20.379413</v>
      </c>
      <c r="O193" s="63">
        <v>107</v>
      </c>
      <c r="P193" s="28">
        <v>1.3223389773835859E-2</v>
      </c>
      <c r="Q193" s="28">
        <v>-0.15145295988023877</v>
      </c>
      <c r="R193" s="81">
        <f t="shared" si="69"/>
        <v>1.3223389773835846E-2</v>
      </c>
      <c r="S193" s="81">
        <f t="shared" si="70"/>
        <v>-0.14636575486017961</v>
      </c>
      <c r="T193" s="81">
        <f t="shared" si="71"/>
        <v>0</v>
      </c>
      <c r="U193" s="81">
        <f t="shared" si="72"/>
        <v>4.6960708524054984E-2</v>
      </c>
      <c r="V193" s="83">
        <f t="shared" si="73"/>
        <v>1.107422940112246E-2</v>
      </c>
    </row>
    <row r="194" spans="1:22">
      <c r="A194" s="75">
        <v>4</v>
      </c>
      <c r="B194" s="125" t="s">
        <v>208</v>
      </c>
      <c r="C194" s="126" t="s">
        <v>36</v>
      </c>
      <c r="D194" s="27">
        <v>527942311.54000002</v>
      </c>
      <c r="E194" s="10">
        <f t="shared" si="67"/>
        <v>3.9368939203935478E-2</v>
      </c>
      <c r="F194" s="21">
        <v>37.652996000000002</v>
      </c>
      <c r="G194" s="21">
        <v>38.104028</v>
      </c>
      <c r="H194" s="63">
        <v>98</v>
      </c>
      <c r="I194" s="28">
        <v>-2.5063445072601609E-2</v>
      </c>
      <c r="J194" s="28">
        <v>5.2165037123135916E-2</v>
      </c>
      <c r="K194" s="27">
        <v>523121793.52999997</v>
      </c>
      <c r="L194" s="10">
        <f t="shared" si="68"/>
        <v>3.844991066221537E-2</v>
      </c>
      <c r="M194" s="21">
        <v>39.255431000000002</v>
      </c>
      <c r="N194" s="21">
        <v>39.797590999999997</v>
      </c>
      <c r="O194" s="63">
        <v>98</v>
      </c>
      <c r="P194" s="28">
        <v>-9.1307665717087483E-3</v>
      </c>
      <c r="Q194" s="28">
        <v>4.2557963774251251E-2</v>
      </c>
      <c r="R194" s="81">
        <f t="shared" si="69"/>
        <v>-9.1307665717086962E-3</v>
      </c>
      <c r="S194" s="81">
        <f t="shared" si="70"/>
        <v>4.444577355443885E-2</v>
      </c>
      <c r="T194" s="81">
        <f t="shared" si="71"/>
        <v>0</v>
      </c>
      <c r="U194" s="81">
        <f t="shared" si="72"/>
        <v>1.5932678500892861E-2</v>
      </c>
      <c r="V194" s="83">
        <f t="shared" si="73"/>
        <v>-9.6070733488846649E-3</v>
      </c>
    </row>
    <row r="195" spans="1:22">
      <c r="A195" s="75">
        <v>5</v>
      </c>
      <c r="B195" s="125" t="s">
        <v>209</v>
      </c>
      <c r="C195" s="126" t="s">
        <v>210</v>
      </c>
      <c r="D195" s="27">
        <v>1343860096.26</v>
      </c>
      <c r="E195" s="10">
        <f t="shared" si="67"/>
        <v>0.10021236273699635</v>
      </c>
      <c r="F195" s="21">
        <v>19400</v>
      </c>
      <c r="G195" s="21">
        <v>24000</v>
      </c>
      <c r="H195" s="63">
        <v>220</v>
      </c>
      <c r="I195" s="28">
        <v>0.04</v>
      </c>
      <c r="J195" s="28">
        <v>0.75</v>
      </c>
      <c r="K195" s="27">
        <v>1425408139.6500001</v>
      </c>
      <c r="L195" s="10">
        <f t="shared" si="68"/>
        <v>0.10476874851055896</v>
      </c>
      <c r="M195" s="21">
        <v>30100</v>
      </c>
      <c r="N195" s="21">
        <v>37200</v>
      </c>
      <c r="O195" s="63">
        <v>220</v>
      </c>
      <c r="P195" s="28">
        <v>0.06</v>
      </c>
      <c r="Q195" s="28">
        <v>0.85</v>
      </c>
      <c r="R195" s="81">
        <f t="shared" si="69"/>
        <v>6.068194421201327E-2</v>
      </c>
      <c r="S195" s="81">
        <f t="shared" si="70"/>
        <v>0.55000000000000004</v>
      </c>
      <c r="T195" s="81">
        <f t="shared" si="71"/>
        <v>0</v>
      </c>
      <c r="U195" s="81">
        <f t="shared" si="72"/>
        <v>1.9999999999999997E-2</v>
      </c>
      <c r="V195" s="83">
        <f t="shared" si="73"/>
        <v>9.9999999999999978E-2</v>
      </c>
    </row>
    <row r="196" spans="1:22">
      <c r="A196" s="75">
        <v>6</v>
      </c>
      <c r="B196" s="125" t="s">
        <v>211</v>
      </c>
      <c r="C196" s="126" t="s">
        <v>212</v>
      </c>
      <c r="D196" s="27">
        <v>1033752636.92</v>
      </c>
      <c r="E196" s="10">
        <f t="shared" si="67"/>
        <v>7.7087484418698587E-2</v>
      </c>
      <c r="F196" s="21">
        <v>890</v>
      </c>
      <c r="G196" s="21">
        <v>890</v>
      </c>
      <c r="H196" s="63">
        <v>78</v>
      </c>
      <c r="I196" s="28">
        <v>-2.6800000000000001E-2</v>
      </c>
      <c r="J196" s="28">
        <v>8.3099999999999993E-2</v>
      </c>
      <c r="K196" s="27">
        <v>1044631206.4</v>
      </c>
      <c r="L196" s="10">
        <f t="shared" si="68"/>
        <v>7.6781309931678129E-2</v>
      </c>
      <c r="M196" s="21">
        <v>889.99</v>
      </c>
      <c r="N196" s="21">
        <v>89.99</v>
      </c>
      <c r="O196" s="63">
        <v>46</v>
      </c>
      <c r="P196" s="28">
        <v>1.0500000000000001E-2</v>
      </c>
      <c r="Q196" s="28">
        <v>9.4100000000000003E-2</v>
      </c>
      <c r="R196" s="81">
        <f t="shared" si="69"/>
        <v>1.052337773223198E-2</v>
      </c>
      <c r="S196" s="81">
        <f t="shared" si="70"/>
        <v>-0.89888764044943814</v>
      </c>
      <c r="T196" s="81">
        <f t="shared" si="71"/>
        <v>-0.41025641025641024</v>
      </c>
      <c r="U196" s="81">
        <f t="shared" si="72"/>
        <v>3.73E-2</v>
      </c>
      <c r="V196" s="83">
        <f t="shared" si="73"/>
        <v>1.100000000000001E-2</v>
      </c>
    </row>
    <row r="197" spans="1:22">
      <c r="A197" s="75">
        <v>7</v>
      </c>
      <c r="B197" s="125" t="s">
        <v>213</v>
      </c>
      <c r="C197" s="126" t="s">
        <v>212</v>
      </c>
      <c r="D197" s="27">
        <v>925053683.00999999</v>
      </c>
      <c r="E197" s="10">
        <f t="shared" si="67"/>
        <v>6.8981745563384378E-2</v>
      </c>
      <c r="F197" s="21">
        <v>827.08</v>
      </c>
      <c r="G197" s="21">
        <v>827.08</v>
      </c>
      <c r="H197" s="63">
        <v>468</v>
      </c>
      <c r="I197" s="28">
        <v>-2.8899999999999999E-2</v>
      </c>
      <c r="J197" s="28">
        <v>0.38440000000000002</v>
      </c>
      <c r="K197" s="27">
        <v>943331491.17999995</v>
      </c>
      <c r="L197" s="10">
        <f t="shared" si="68"/>
        <v>6.9335692011549391E-2</v>
      </c>
      <c r="M197" s="21">
        <v>600</v>
      </c>
      <c r="N197" s="21">
        <v>600</v>
      </c>
      <c r="O197" s="63">
        <v>377</v>
      </c>
      <c r="P197" s="28">
        <v>1.9699999999999999E-2</v>
      </c>
      <c r="Q197" s="28">
        <v>0.41139999999999999</v>
      </c>
      <c r="R197" s="81">
        <f t="shared" si="69"/>
        <v>1.975864590963676E-2</v>
      </c>
      <c r="S197" s="81">
        <f t="shared" si="70"/>
        <v>-0.27455627025197082</v>
      </c>
      <c r="T197" s="81">
        <f t="shared" si="71"/>
        <v>-0.19444444444444445</v>
      </c>
      <c r="U197" s="81">
        <f t="shared" si="72"/>
        <v>4.8599999999999997E-2</v>
      </c>
      <c r="V197" s="83">
        <f t="shared" si="73"/>
        <v>2.6999999999999968E-2</v>
      </c>
    </row>
    <row r="198" spans="1:22">
      <c r="A198" s="75">
        <v>8</v>
      </c>
      <c r="B198" s="125" t="s">
        <v>214</v>
      </c>
      <c r="C198" s="126" t="s">
        <v>215</v>
      </c>
      <c r="D198" s="27">
        <v>368101401.61000001</v>
      </c>
      <c r="E198" s="10">
        <f t="shared" si="67"/>
        <v>2.7449517464503404E-2</v>
      </c>
      <c r="F198" s="21">
        <v>16.25</v>
      </c>
      <c r="G198" s="21">
        <v>16.350000000000001</v>
      </c>
      <c r="H198" s="63">
        <v>56</v>
      </c>
      <c r="I198" s="28">
        <v>-2.4E-2</v>
      </c>
      <c r="J198" s="28">
        <v>0.43230000000000002</v>
      </c>
      <c r="K198" s="27">
        <v>363471856.29000002</v>
      </c>
      <c r="L198" s="10">
        <f t="shared" si="68"/>
        <v>2.6715500243785238E-2</v>
      </c>
      <c r="M198" s="21">
        <v>16.05</v>
      </c>
      <c r="N198" s="21">
        <v>16.149999999999999</v>
      </c>
      <c r="O198" s="63">
        <v>56</v>
      </c>
      <c r="P198" s="28">
        <v>-1.5299999999999999E-2</v>
      </c>
      <c r="Q198" s="28">
        <v>0.41039999999999999</v>
      </c>
      <c r="R198" s="81">
        <f t="shared" si="69"/>
        <v>-1.2576820679713012E-2</v>
      </c>
      <c r="S198" s="81">
        <f t="shared" si="70"/>
        <v>-1.2232415902140846E-2</v>
      </c>
      <c r="T198" s="81">
        <f t="shared" si="71"/>
        <v>0</v>
      </c>
      <c r="U198" s="81">
        <f t="shared" si="72"/>
        <v>8.7000000000000011E-3</v>
      </c>
      <c r="V198" s="83">
        <f t="shared" si="73"/>
        <v>-2.1900000000000031E-2</v>
      </c>
    </row>
    <row r="199" spans="1:22">
      <c r="A199" s="75">
        <v>9</v>
      </c>
      <c r="B199" s="125" t="s">
        <v>216</v>
      </c>
      <c r="C199" s="126" t="s">
        <v>215</v>
      </c>
      <c r="D199" s="29">
        <v>700013041.30999994</v>
      </c>
      <c r="E199" s="10">
        <f t="shared" si="67"/>
        <v>5.2200345118971106E-2</v>
      </c>
      <c r="F199" s="21">
        <v>8.67</v>
      </c>
      <c r="G199" s="21">
        <v>8.77</v>
      </c>
      <c r="H199" s="63">
        <v>94</v>
      </c>
      <c r="I199" s="28">
        <v>-5.7999999999999996E-3</v>
      </c>
      <c r="J199" s="28">
        <v>-2.5999999999999999E-2</v>
      </c>
      <c r="K199" s="29">
        <v>690252906.96000004</v>
      </c>
      <c r="L199" s="10">
        <f t="shared" si="68"/>
        <v>5.0734194092459342E-2</v>
      </c>
      <c r="M199" s="21">
        <v>8.5399999999999991</v>
      </c>
      <c r="N199" s="21">
        <v>8.64</v>
      </c>
      <c r="O199" s="63">
        <v>95</v>
      </c>
      <c r="P199" s="28">
        <v>-4.65E-2</v>
      </c>
      <c r="Q199" s="28">
        <v>-7.1300000000000002E-2</v>
      </c>
      <c r="R199" s="81">
        <f t="shared" si="69"/>
        <v>-1.3942789311088907E-2</v>
      </c>
      <c r="S199" s="81">
        <f t="shared" si="70"/>
        <v>-1.4823261117445726E-2</v>
      </c>
      <c r="T199" s="81">
        <f t="shared" si="71"/>
        <v>1.0638297872340425E-2</v>
      </c>
      <c r="U199" s="81">
        <f t="shared" si="72"/>
        <v>-4.07E-2</v>
      </c>
      <c r="V199" s="83">
        <f t="shared" si="73"/>
        <v>-4.5300000000000007E-2</v>
      </c>
    </row>
    <row r="200" spans="1:22" ht="15" customHeight="1">
      <c r="A200" s="75">
        <v>10</v>
      </c>
      <c r="B200" s="125" t="s">
        <v>217</v>
      </c>
      <c r="C200" s="126" t="s">
        <v>215</v>
      </c>
      <c r="D200" s="27">
        <v>456480871.62</v>
      </c>
      <c r="E200" s="10">
        <f t="shared" si="67"/>
        <v>3.4040021588998277E-2</v>
      </c>
      <c r="F200" s="21">
        <v>128.66999999999999</v>
      </c>
      <c r="G200" s="21">
        <v>130.66999999999999</v>
      </c>
      <c r="H200" s="63">
        <v>203</v>
      </c>
      <c r="I200" s="28">
        <v>-8.7300000000000003E-2</v>
      </c>
      <c r="J200" s="28">
        <v>0.84389999999999998</v>
      </c>
      <c r="K200" s="27">
        <v>439246543.06</v>
      </c>
      <c r="L200" s="10">
        <f t="shared" si="68"/>
        <v>3.2285006184463977E-2</v>
      </c>
      <c r="M200" s="21">
        <v>123.77</v>
      </c>
      <c r="N200" s="21">
        <v>125.77</v>
      </c>
      <c r="O200" s="63">
        <v>203</v>
      </c>
      <c r="P200" s="28">
        <v>0.20810000000000001</v>
      </c>
      <c r="Q200" s="28">
        <v>0.2162</v>
      </c>
      <c r="R200" s="81">
        <f t="shared" si="69"/>
        <v>-3.7754766150084842E-2</v>
      </c>
      <c r="S200" s="81">
        <f t="shared" si="70"/>
        <v>-3.7499043391750149E-2</v>
      </c>
      <c r="T200" s="81">
        <f t="shared" si="71"/>
        <v>0</v>
      </c>
      <c r="U200" s="81">
        <f t="shared" si="72"/>
        <v>0.2954</v>
      </c>
      <c r="V200" s="83">
        <f t="shared" si="73"/>
        <v>-0.62769999999999992</v>
      </c>
    </row>
    <row r="201" spans="1:22">
      <c r="A201" s="75">
        <v>11</v>
      </c>
      <c r="B201" s="125" t="s">
        <v>218</v>
      </c>
      <c r="C201" s="126" t="s">
        <v>215</v>
      </c>
      <c r="D201" s="27">
        <v>5356801218.6300001</v>
      </c>
      <c r="E201" s="10">
        <f t="shared" si="67"/>
        <v>0.39945951838685612</v>
      </c>
      <c r="F201" s="21">
        <v>37.5</v>
      </c>
      <c r="G201" s="21">
        <v>37.700000000000003</v>
      </c>
      <c r="H201" s="63">
        <v>257</v>
      </c>
      <c r="I201" s="28">
        <v>-1.2999999999999999E-2</v>
      </c>
      <c r="J201" s="28">
        <v>0.40739999999999998</v>
      </c>
      <c r="K201" s="27">
        <v>5436126074.7299995</v>
      </c>
      <c r="L201" s="10">
        <f t="shared" si="68"/>
        <v>0.39956003459817857</v>
      </c>
      <c r="M201" s="21">
        <v>38.07</v>
      </c>
      <c r="N201" s="21">
        <v>38.270000000000003</v>
      </c>
      <c r="O201" s="63">
        <v>259</v>
      </c>
      <c r="P201" s="28">
        <v>-2.63E-2</v>
      </c>
      <c r="Q201" s="28">
        <v>0.37040000000000001</v>
      </c>
      <c r="R201" s="81">
        <f t="shared" si="69"/>
        <v>1.480825083150775E-2</v>
      </c>
      <c r="S201" s="81">
        <f t="shared" si="70"/>
        <v>1.5119363395225471E-2</v>
      </c>
      <c r="T201" s="81">
        <f t="shared" si="71"/>
        <v>7.7821011673151752E-3</v>
      </c>
      <c r="U201" s="81">
        <f t="shared" si="72"/>
        <v>-1.3300000000000001E-2</v>
      </c>
      <c r="V201" s="83">
        <f t="shared" si="73"/>
        <v>-3.6999999999999977E-2</v>
      </c>
    </row>
    <row r="202" spans="1:22">
      <c r="A202" s="75">
        <v>12</v>
      </c>
      <c r="B202" s="125" t="s">
        <v>219</v>
      </c>
      <c r="C202" s="126" t="s">
        <v>215</v>
      </c>
      <c r="D202" s="29">
        <v>489158654.31</v>
      </c>
      <c r="E202" s="10">
        <f t="shared" si="67"/>
        <v>3.6476821239114131E-2</v>
      </c>
      <c r="F202" s="21">
        <v>47.08</v>
      </c>
      <c r="G202" s="21">
        <v>47.28</v>
      </c>
      <c r="H202" s="63">
        <v>54</v>
      </c>
      <c r="I202" s="28">
        <v>-5.21E-2</v>
      </c>
      <c r="J202" s="28">
        <v>0.78490000000000004</v>
      </c>
      <c r="K202" s="29">
        <v>496869815.73000002</v>
      </c>
      <c r="L202" s="10">
        <f t="shared" si="68"/>
        <v>3.6520367267922481E-2</v>
      </c>
      <c r="M202" s="21">
        <v>47.84</v>
      </c>
      <c r="N202" s="21">
        <v>48.04</v>
      </c>
      <c r="O202" s="63">
        <v>55</v>
      </c>
      <c r="P202" s="28">
        <v>0</v>
      </c>
      <c r="Q202" s="28">
        <v>0.78490000000000004</v>
      </c>
      <c r="R202" s="81">
        <f t="shared" si="69"/>
        <v>1.576413164125097E-2</v>
      </c>
      <c r="S202" s="81">
        <f t="shared" si="70"/>
        <v>1.6074450084602326E-2</v>
      </c>
      <c r="T202" s="81">
        <f t="shared" si="71"/>
        <v>1.8518518518518517E-2</v>
      </c>
      <c r="U202" s="81">
        <f t="shared" si="72"/>
        <v>5.21E-2</v>
      </c>
      <c r="V202" s="83">
        <f t="shared" si="73"/>
        <v>0</v>
      </c>
    </row>
    <row r="203" spans="1:22">
      <c r="A203" s="43"/>
      <c r="B203" s="43"/>
      <c r="C203" s="74" t="s">
        <v>220</v>
      </c>
      <c r="D203" s="73">
        <f>SUM(D191:D202)</f>
        <v>13410122858.662769</v>
      </c>
      <c r="E203" s="24"/>
      <c r="F203" s="24"/>
      <c r="G203" s="22"/>
      <c r="H203" s="73">
        <f>SUM(H191:H202)</f>
        <v>1883</v>
      </c>
      <c r="I203" s="23"/>
      <c r="J203" s="23"/>
      <c r="K203" s="73">
        <f>SUM(K191:K202)</f>
        <v>13605279817.829861</v>
      </c>
      <c r="L203" s="24"/>
      <c r="M203" s="24"/>
      <c r="N203" s="22"/>
      <c r="O203" s="73">
        <f>SUM(O191:O202)</f>
        <v>1764</v>
      </c>
      <c r="P203" s="23"/>
      <c r="Q203" s="23"/>
      <c r="R203" s="81">
        <f t="shared" si="69"/>
        <v>1.4552958330357312E-2</v>
      </c>
      <c r="S203" s="81" t="e">
        <f t="shared" si="70"/>
        <v>#DIV/0!</v>
      </c>
      <c r="T203" s="81">
        <f t="shared" si="71"/>
        <v>-6.3197026022304828E-2</v>
      </c>
      <c r="U203" s="81">
        <f t="shared" si="72"/>
        <v>0</v>
      </c>
      <c r="V203" s="83">
        <f t="shared" si="73"/>
        <v>0</v>
      </c>
    </row>
    <row r="204" spans="1:22">
      <c r="A204" s="88"/>
      <c r="B204" s="88"/>
      <c r="C204" s="89" t="s">
        <v>221</v>
      </c>
      <c r="D204" s="90">
        <f>SUM(D183,D188,D203)</f>
        <v>2950213385356.6094</v>
      </c>
      <c r="E204" s="91"/>
      <c r="F204" s="91"/>
      <c r="G204" s="92"/>
      <c r="H204" s="90">
        <f>SUM(H183,H188,H203)</f>
        <v>718992</v>
      </c>
      <c r="I204" s="93"/>
      <c r="J204" s="93"/>
      <c r="K204" s="90">
        <f>SUM(K183,K188,K203)</f>
        <v>2997962938355.0669</v>
      </c>
      <c r="L204" s="91"/>
      <c r="M204" s="91"/>
      <c r="N204" s="92"/>
      <c r="O204" s="90">
        <f>SUM(O183,O188,O203)</f>
        <v>719687</v>
      </c>
      <c r="P204" s="94"/>
      <c r="Q204" s="90"/>
      <c r="R204" s="95"/>
      <c r="S204" s="96"/>
      <c r="T204" s="96"/>
      <c r="U204" s="97"/>
      <c r="V204" s="97"/>
    </row>
    <row r="205" spans="1:22">
      <c r="A205" s="109" t="s">
        <v>250</v>
      </c>
      <c r="B205" s="110" t="s">
        <v>268</v>
      </c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</row>
    <row r="207" spans="1:22">
      <c r="B207" s="113"/>
      <c r="C207" s="113"/>
      <c r="D207" s="112"/>
      <c r="K207" s="112"/>
    </row>
    <row r="208" spans="1:22">
      <c r="B208" s="113"/>
      <c r="D208" s="112"/>
    </row>
  </sheetData>
  <sheetProtection algorithmName="SHA-512" hashValue="wdkJhTm47NAquULtZv9ahxnoLmh11sgy8OW5hiR31ShZkFT7vazkhpiJjX0ZfQPN0ptCQ4btU/7cIQJSG3Ig3A==" saltValue="5VgmaOCpbyjDDYxzSCmDEg==" spinCount="100000" sheet="1" objects="1" scenarios="1"/>
  <protectedRanges>
    <protectedRange password="CADF" sqref="K10 D10" name="Fund Name_1_1_1_3_1_1_2"/>
  </protectedRanges>
  <mergeCells count="31">
    <mergeCell ref="A189:V189"/>
    <mergeCell ref="A190:V190"/>
    <mergeCell ref="A166:V166"/>
    <mergeCell ref="A169:V169"/>
    <mergeCell ref="A170:V170"/>
    <mergeCell ref="A184:U184"/>
    <mergeCell ref="A185:V185"/>
    <mergeCell ref="A165:V165"/>
    <mergeCell ref="A93:V93"/>
    <mergeCell ref="A94:V94"/>
    <mergeCell ref="A107:V107"/>
    <mergeCell ref="A108:V108"/>
    <mergeCell ref="A121:V121"/>
    <mergeCell ref="A122:V122"/>
    <mergeCell ref="A129:V129"/>
    <mergeCell ref="A130:V130"/>
    <mergeCell ref="A158:V158"/>
    <mergeCell ref="A159:V159"/>
    <mergeCell ref="A164:V164"/>
    <mergeCell ref="A92:V92"/>
    <mergeCell ref="A1:V1"/>
    <mergeCell ref="U2:V2"/>
    <mergeCell ref="A4:V4"/>
    <mergeCell ref="A5:V5"/>
    <mergeCell ref="A23:V23"/>
    <mergeCell ref="A24:V24"/>
    <mergeCell ref="A56:V56"/>
    <mergeCell ref="A57:V57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79 E79 E62" formula="1"/>
    <ignoredError sqref="S128 S22 T33 S55 S91 S120 T138 S157 S163 S182 S203 T186:T18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I3" sqref="I3"/>
    </sheetView>
  </sheetViews>
  <sheetFormatPr defaultRowHeight="15"/>
  <cols>
    <col min="1" max="1" width="34" customWidth="1"/>
    <col min="2" max="2" width="19.42578125" customWidth="1"/>
    <col min="3" max="3" width="17.42578125" customWidth="1"/>
  </cols>
  <sheetData>
    <row r="1" spans="1:4">
      <c r="A1" s="99"/>
      <c r="B1" s="99"/>
      <c r="C1" s="99"/>
    </row>
    <row r="2" spans="1:4" ht="33">
      <c r="A2" s="150" t="s">
        <v>222</v>
      </c>
      <c r="B2" s="151" t="s">
        <v>261</v>
      </c>
      <c r="C2" s="151" t="s">
        <v>269</v>
      </c>
      <c r="D2" s="99"/>
    </row>
    <row r="3" spans="1:4" ht="16.5">
      <c r="A3" s="152" t="s">
        <v>15</v>
      </c>
      <c r="B3" s="153">
        <f>27345380292.45/1000000000</f>
        <v>27.345380292450002</v>
      </c>
      <c r="C3" s="153">
        <f>27049856478.8204/1000000000</f>
        <v>27.049856478820399</v>
      </c>
      <c r="D3" s="99"/>
    </row>
    <row r="4" spans="1:4" ht="17.25" customHeight="1">
      <c r="A4" s="154" t="s">
        <v>47</v>
      </c>
      <c r="B4" s="155">
        <f>959419740927.825/1000000000</f>
        <v>959.41974092782493</v>
      </c>
      <c r="C4" s="155">
        <f>920625552385.951/1000000000</f>
        <v>920.6255523859511</v>
      </c>
      <c r="D4" s="99"/>
    </row>
    <row r="5" spans="1:4" ht="19.5" customHeight="1">
      <c r="A5" s="154" t="s">
        <v>223</v>
      </c>
      <c r="B5" s="153">
        <f>282274672291.85/1000000000</f>
        <v>282.27467229184998</v>
      </c>
      <c r="C5" s="153">
        <f>279125520198.896/1000000000</f>
        <v>279.12552019889597</v>
      </c>
      <c r="D5" s="99"/>
    </row>
    <row r="6" spans="1:4" ht="16.5">
      <c r="A6" s="154" t="s">
        <v>128</v>
      </c>
      <c r="B6" s="155">
        <f>1370513862524.37/1000000000</f>
        <v>1370.5138625243701</v>
      </c>
      <c r="C6" s="155">
        <f>1459704501021.91/1000000000</f>
        <v>1459.7045010219099</v>
      </c>
      <c r="D6" s="99"/>
    </row>
    <row r="7" spans="1:4" ht="16.5">
      <c r="A7" s="154" t="s">
        <v>224</v>
      </c>
      <c r="B7" s="153">
        <f>99747815398.1214/1000000000</f>
        <v>99.747815398121404</v>
      </c>
      <c r="C7" s="153">
        <f>99778864135.11/1000000000</f>
        <v>99.778864135109998</v>
      </c>
      <c r="D7" s="99"/>
    </row>
    <row r="8" spans="1:4" ht="16.5">
      <c r="A8" s="154" t="s">
        <v>154</v>
      </c>
      <c r="B8" s="156">
        <f>48445217858.9921/1000000000</f>
        <v>48.445217858992102</v>
      </c>
      <c r="C8" s="156">
        <f>48553395375.6765/1000000000</f>
        <v>48.553395375676502</v>
      </c>
      <c r="D8" s="99"/>
    </row>
    <row r="9" spans="1:4" ht="16.5">
      <c r="A9" s="154" t="s">
        <v>178</v>
      </c>
      <c r="B9" s="153">
        <f>5112400375.62/1000000000</f>
        <v>5.11240037562</v>
      </c>
      <c r="C9" s="153">
        <f>5090348734.1/1000000000</f>
        <v>5.0903487341</v>
      </c>
      <c r="D9" s="99"/>
    </row>
    <row r="10" spans="1:4" ht="16.5">
      <c r="A10" s="154" t="s">
        <v>225</v>
      </c>
      <c r="B10" s="153">
        <f>49267826292.2499/1000000000</f>
        <v>49.2678262922499</v>
      </c>
      <c r="C10" s="153">
        <f>49747304277.7991/1000000000</f>
        <v>49.747304277799103</v>
      </c>
      <c r="D10" s="99"/>
    </row>
    <row r="11" spans="1:4">
      <c r="A11" s="99"/>
      <c r="B11" s="99"/>
      <c r="C11" s="99"/>
      <c r="D11" s="99"/>
    </row>
    <row r="12" spans="1:4" ht="16.5">
      <c r="A12" s="99"/>
      <c r="B12" s="153">
        <v>27049856478.8204</v>
      </c>
      <c r="C12" s="99"/>
      <c r="D12" s="99"/>
    </row>
    <row r="13" spans="1:4" ht="16.5">
      <c r="A13" s="99"/>
      <c r="B13" s="155">
        <v>920625552385.95105</v>
      </c>
      <c r="C13" s="99"/>
      <c r="D13" s="99"/>
    </row>
    <row r="14" spans="1:4" ht="16.5">
      <c r="A14" s="99"/>
      <c r="B14" s="153">
        <v>279125520198.896</v>
      </c>
      <c r="C14" s="99"/>
      <c r="D14" s="99"/>
    </row>
    <row r="15" spans="1:4" ht="16.5">
      <c r="A15" s="99"/>
      <c r="B15" s="155">
        <v>1459704501021.9099</v>
      </c>
      <c r="C15" s="99"/>
      <c r="D15" s="99"/>
    </row>
    <row r="16" spans="1:4" ht="16.5">
      <c r="A16" s="99"/>
      <c r="B16" s="153">
        <v>99778864135.110001</v>
      </c>
      <c r="C16" s="157"/>
      <c r="D16" s="99"/>
    </row>
    <row r="17" spans="1:4" ht="16.5">
      <c r="A17" s="99"/>
      <c r="B17" s="156">
        <v>48553395375.676498</v>
      </c>
      <c r="C17" s="116"/>
      <c r="D17" s="99"/>
    </row>
    <row r="18" spans="1:4" ht="16.5">
      <c r="A18" s="158"/>
      <c r="B18" s="153">
        <v>5090348734.1000004</v>
      </c>
      <c r="C18" s="159"/>
      <c r="D18" s="99"/>
    </row>
    <row r="19" spans="1:4" ht="16.5">
      <c r="A19" s="114"/>
      <c r="B19" s="153">
        <v>49747304277.799103</v>
      </c>
      <c r="C19" s="116"/>
      <c r="D19" s="99"/>
    </row>
    <row r="20" spans="1:4" ht="16.5">
      <c r="A20" s="114"/>
      <c r="B20" s="99"/>
      <c r="C20" s="159"/>
      <c r="D20" s="99"/>
    </row>
    <row r="21" spans="1:4" ht="16.5">
      <c r="A21" s="118"/>
      <c r="C21" s="106"/>
      <c r="D21" s="99"/>
    </row>
    <row r="22" spans="1:4" ht="16.5">
      <c r="A22" s="114"/>
      <c r="B22" s="116"/>
      <c r="C22" s="115"/>
      <c r="D22" s="99"/>
    </row>
    <row r="23" spans="1:4" ht="16.5">
      <c r="A23" s="114"/>
      <c r="B23" s="116">
        <v>49899185767.631302</v>
      </c>
      <c r="C23" s="116"/>
      <c r="D23" s="99"/>
    </row>
    <row r="24" spans="1:4" ht="16.5">
      <c r="A24" s="114"/>
      <c r="B24" s="116"/>
      <c r="C24" s="116"/>
      <c r="D24" s="99"/>
    </row>
    <row r="25" spans="1:4" ht="16.5">
      <c r="A25" s="114"/>
      <c r="B25" s="116"/>
      <c r="C25" s="116"/>
      <c r="D25" s="99"/>
    </row>
    <row r="26" spans="1:4" ht="16.5">
      <c r="A26" s="118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RitJ+3hNcdKsbgZT3iaplF8LQ2l1hhdIiW01pPBDlxfuha7tsdomb+5yu64/1FvjfrtZX7e8I6TEnrVQuij2zg==" saltValue="YhFrJxy1FgRqEmLMB8Daa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S4" sqref="S4"/>
    </sheetView>
  </sheetViews>
  <sheetFormatPr defaultRowHeight="15"/>
  <cols>
    <col min="1" max="1" width="26.7109375" customWidth="1"/>
    <col min="2" max="2" width="17.42578125" customWidth="1"/>
  </cols>
  <sheetData>
    <row r="1" spans="1:3" ht="16.5">
      <c r="A1" s="150" t="s">
        <v>222</v>
      </c>
      <c r="B1" s="160">
        <v>45359</v>
      </c>
      <c r="C1" s="99"/>
    </row>
    <row r="2" spans="1:3" ht="16.5">
      <c r="A2" s="154" t="s">
        <v>178</v>
      </c>
      <c r="B2" s="153">
        <v>5090348734.1000004</v>
      </c>
      <c r="C2" s="99"/>
    </row>
    <row r="3" spans="1:3" ht="16.5">
      <c r="A3" s="154" t="s">
        <v>15</v>
      </c>
      <c r="B3" s="153">
        <v>27049856478.8204</v>
      </c>
      <c r="C3" s="99"/>
    </row>
    <row r="4" spans="1:3" ht="16.5">
      <c r="A4" s="154" t="s">
        <v>154</v>
      </c>
      <c r="B4" s="156">
        <v>48553395375.67646</v>
      </c>
      <c r="C4" s="99"/>
    </row>
    <row r="5" spans="1:3" ht="16.5">
      <c r="A5" s="154" t="s">
        <v>225</v>
      </c>
      <c r="B5" s="153">
        <v>49747304277.79908</v>
      </c>
      <c r="C5" s="99"/>
    </row>
    <row r="6" spans="1:3" ht="16.5">
      <c r="A6" s="154" t="s">
        <v>224</v>
      </c>
      <c r="B6" s="153">
        <v>99778864135.110001</v>
      </c>
      <c r="C6" s="99"/>
    </row>
    <row r="7" spans="1:3" ht="16.5">
      <c r="A7" s="154" t="s">
        <v>223</v>
      </c>
      <c r="B7" s="153">
        <v>279125520198.89612</v>
      </c>
      <c r="C7" s="99"/>
    </row>
    <row r="8" spans="1:3" ht="16.5">
      <c r="A8" s="154" t="s">
        <v>47</v>
      </c>
      <c r="B8" s="155">
        <v>920625552385.95117</v>
      </c>
      <c r="C8" s="99"/>
    </row>
    <row r="9" spans="1:3" ht="16.5">
      <c r="A9" s="154" t="s">
        <v>128</v>
      </c>
      <c r="B9" s="155">
        <v>1459704501021.9133</v>
      </c>
      <c r="C9" s="99"/>
    </row>
    <row r="10" spans="1:3">
      <c r="A10" s="99"/>
      <c r="B10" s="99"/>
      <c r="C10" s="99"/>
    </row>
    <row r="11" spans="1:3">
      <c r="A11" s="99"/>
      <c r="B11" s="99"/>
      <c r="C11" s="99"/>
    </row>
    <row r="12" spans="1:3" ht="16.5">
      <c r="A12" s="153">
        <v>5090348734.1000004</v>
      </c>
      <c r="B12" s="99"/>
      <c r="C12" s="99"/>
    </row>
    <row r="13" spans="1:3" ht="16.5">
      <c r="A13" s="153">
        <v>27049856478.8204</v>
      </c>
      <c r="B13" s="153"/>
      <c r="C13" s="99"/>
    </row>
    <row r="14" spans="1:3" ht="16.5">
      <c r="A14" s="156">
        <v>48553395375.67646</v>
      </c>
      <c r="B14" s="153"/>
      <c r="C14" s="99"/>
    </row>
    <row r="15" spans="1:3" ht="16.5" customHeight="1">
      <c r="A15" s="153">
        <v>49747304277.79908</v>
      </c>
      <c r="B15" s="156"/>
      <c r="C15" s="99"/>
    </row>
    <row r="16" spans="1:3" ht="16.5">
      <c r="A16" s="153">
        <v>99778864135.110001</v>
      </c>
      <c r="B16" s="153"/>
      <c r="C16" s="99"/>
    </row>
    <row r="17" spans="1:17" ht="16.5">
      <c r="A17" s="153">
        <v>279125520198.89612</v>
      </c>
      <c r="B17" s="153"/>
      <c r="C17" s="99"/>
    </row>
    <row r="18" spans="1:17" ht="16.5">
      <c r="A18" s="155">
        <v>920625552385.95117</v>
      </c>
      <c r="B18" s="153"/>
      <c r="C18" s="99"/>
    </row>
    <row r="19" spans="1:17" ht="16.5">
      <c r="A19" s="155">
        <v>1459704501021.9133</v>
      </c>
      <c r="B19" s="161"/>
      <c r="C19" s="99"/>
    </row>
    <row r="20" spans="1:17" ht="16.5">
      <c r="A20" s="159"/>
      <c r="B20" s="159"/>
      <c r="C20" s="99"/>
    </row>
    <row r="21" spans="1:17" ht="16.5">
      <c r="A21" s="114"/>
      <c r="B21" s="159"/>
      <c r="C21" s="99"/>
    </row>
    <row r="22" spans="1:17" ht="16.5">
      <c r="A22" s="101"/>
      <c r="B22" s="121"/>
      <c r="C22" s="101"/>
    </row>
    <row r="23" spans="1:17">
      <c r="A23" s="101"/>
      <c r="B23" s="101"/>
      <c r="C23" s="101"/>
    </row>
    <row r="24" spans="1:17">
      <c r="A24" s="101"/>
      <c r="B24" s="101"/>
      <c r="C24" s="101"/>
    </row>
    <row r="25" spans="1:17">
      <c r="A25" s="101"/>
      <c r="B25" s="101"/>
    </row>
    <row r="26" spans="1:17">
      <c r="A26" s="101"/>
      <c r="B26" s="101"/>
    </row>
    <row r="32" spans="1:17" ht="16.5" customHeight="1">
      <c r="A32" s="146" t="s">
        <v>270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07"/>
    </row>
    <row r="33" spans="1:17" ht="15" customHeight="1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07"/>
    </row>
  </sheetData>
  <sheetProtection algorithmName="SHA-512" hashValue="Ni2HZk9qbaKJ4D/lxibL7HIjhzHSf5xYs+Dmk5pNI0thyFpdPuRs2oJkSnKadWllWpUWqP4TekzpBfoswgw1fg==" saltValue="+avfK5840k+7gGmdwgsZWg==" spinCount="100000" sheet="1" objects="1" scenarios="1"/>
  <sortState xmlns:xlrd2="http://schemas.microsoft.com/office/spreadsheetml/2017/richdata2" ref="A12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"/>
  <sheetViews>
    <sheetView zoomScale="110" zoomScaleNormal="110" workbookViewId="0">
      <selection activeCell="G6" sqref="G6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  <c r="M1" s="101"/>
    </row>
    <row r="2" spans="1:13">
      <c r="A2" s="148" t="s">
        <v>233</v>
      </c>
      <c r="B2" s="149">
        <v>45310</v>
      </c>
      <c r="C2" s="149">
        <v>45317</v>
      </c>
      <c r="D2" s="149">
        <v>45324</v>
      </c>
      <c r="E2" s="149">
        <v>45331</v>
      </c>
      <c r="F2" s="149">
        <v>45338</v>
      </c>
      <c r="G2" s="149">
        <v>45345</v>
      </c>
      <c r="H2" s="149">
        <v>45352</v>
      </c>
      <c r="I2" s="149">
        <v>45359</v>
      </c>
      <c r="J2" s="99"/>
      <c r="K2" s="101"/>
      <c r="L2" s="101"/>
      <c r="M2" s="101"/>
    </row>
    <row r="3" spans="1:13">
      <c r="A3" s="148" t="s">
        <v>234</v>
      </c>
      <c r="B3" s="129">
        <f>2215471403911.63/1000000000</f>
        <v>2215.4714039116297</v>
      </c>
      <c r="C3" s="129">
        <f>2278172196680.68/1000000000</f>
        <v>2278.1721966806804</v>
      </c>
      <c r="D3" s="129">
        <f>2700558814021.03/1000000000</f>
        <v>2700.5588140210298</v>
      </c>
      <c r="E3" s="129">
        <f>2722532361445.49/1000000000</f>
        <v>2722.5323614454901</v>
      </c>
      <c r="F3" s="129">
        <f>2804014031742.22/1000000000</f>
        <v>2804.0140317422201</v>
      </c>
      <c r="G3" s="129">
        <f>2818098609361.04/1000000000</f>
        <v>2818.09860936104</v>
      </c>
      <c r="H3" s="129">
        <f>2842126915961.48/1000000000</f>
        <v>2842.1269159614799</v>
      </c>
      <c r="I3" s="129">
        <f>2889675342608.27/1000000000</f>
        <v>2889.6753426082701</v>
      </c>
      <c r="J3" s="99"/>
      <c r="K3" s="101"/>
      <c r="L3" s="101"/>
      <c r="M3" s="101"/>
    </row>
    <row r="4" spans="1:13">
      <c r="A4" s="99"/>
      <c r="B4" s="99"/>
      <c r="C4" s="99"/>
      <c r="D4" s="99"/>
      <c r="E4" s="99"/>
      <c r="F4" s="99"/>
      <c r="G4" s="99"/>
      <c r="H4" s="99"/>
      <c r="I4" s="99"/>
      <c r="J4" s="99"/>
      <c r="K4" s="101"/>
      <c r="L4" s="101"/>
      <c r="M4" s="101"/>
    </row>
    <row r="5" spans="1:13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3">
      <c r="A7" s="101"/>
      <c r="B7" s="101"/>
      <c r="C7" s="101"/>
      <c r="D7" s="101"/>
      <c r="E7" s="101"/>
      <c r="F7" s="101"/>
      <c r="G7" s="101"/>
      <c r="H7" s="101"/>
      <c r="I7" s="101"/>
      <c r="J7" s="101"/>
    </row>
  </sheetData>
  <sheetProtection algorithmName="SHA-512" hashValue="cBsO8Rds2QteZf2XOJmYfdf7ZZb8KevDHH4fb/V5NfNlojX5nhpNZFLk+BwaxvOICA9ocAyT7JB2la/BBH18gg==" saltValue="GRvVbpvaxUmBpJ9IAV8Ij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C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45303</v>
      </c>
      <c r="C1" s="45">
        <v>45310</v>
      </c>
      <c r="D1" s="45">
        <v>45317</v>
      </c>
      <c r="E1" s="45">
        <v>45324</v>
      </c>
      <c r="F1" s="45">
        <v>45331</v>
      </c>
      <c r="G1" s="45">
        <v>45338</v>
      </c>
      <c r="H1" s="45">
        <v>45345</v>
      </c>
      <c r="I1" s="45">
        <v>45352</v>
      </c>
      <c r="J1" s="45">
        <v>45359</v>
      </c>
    </row>
    <row r="2" spans="1:11" ht="16.5">
      <c r="A2" s="46" t="s">
        <v>15</v>
      </c>
      <c r="B2" s="47">
        <v>27950770849.196804</v>
      </c>
      <c r="C2" s="47">
        <v>30206984491.494904</v>
      </c>
      <c r="D2" s="47">
        <v>31149538694.629303</v>
      </c>
      <c r="E2" s="47">
        <v>31133318704.695301</v>
      </c>
      <c r="F2" s="47">
        <v>29773154676.329697</v>
      </c>
      <c r="G2" s="47">
        <v>29579029239.597099</v>
      </c>
      <c r="H2" s="47">
        <v>28192321561.754601</v>
      </c>
      <c r="I2" s="47">
        <v>27345380292.449997</v>
      </c>
      <c r="J2" s="47">
        <v>27049856478.8204</v>
      </c>
    </row>
    <row r="3" spans="1:11" ht="16.5">
      <c r="A3" s="46" t="s">
        <v>47</v>
      </c>
      <c r="B3" s="48">
        <v>912572121651.28699</v>
      </c>
      <c r="C3" s="48">
        <v>930010368618.9447</v>
      </c>
      <c r="D3" s="48">
        <v>949716593900.38049</v>
      </c>
      <c r="E3" s="48">
        <v>962897181294.703</v>
      </c>
      <c r="F3" s="48">
        <v>965954238325.48999</v>
      </c>
      <c r="G3" s="48">
        <v>966685157443.69678</v>
      </c>
      <c r="H3" s="48">
        <v>949382861578.85535</v>
      </c>
      <c r="I3" s="48">
        <v>959419740927.82495</v>
      </c>
      <c r="J3" s="48">
        <v>920625552385.95117</v>
      </c>
    </row>
    <row r="4" spans="1:11" ht="16.5">
      <c r="A4" s="46" t="s">
        <v>223</v>
      </c>
      <c r="B4" s="47">
        <v>288835807549.41266</v>
      </c>
      <c r="C4" s="47">
        <v>288027196204.47491</v>
      </c>
      <c r="D4" s="47">
        <v>287140620370.69159</v>
      </c>
      <c r="E4" s="47">
        <v>285837472467.20758</v>
      </c>
      <c r="F4" s="47">
        <v>284109657368.59705</v>
      </c>
      <c r="G4" s="47">
        <v>283536298257.91882</v>
      </c>
      <c r="H4" s="47">
        <v>281780566180.14624</v>
      </c>
      <c r="I4" s="47">
        <v>282274672291.84991</v>
      </c>
      <c r="J4" s="47">
        <v>279125520198.89612</v>
      </c>
    </row>
    <row r="5" spans="1:11" ht="16.5">
      <c r="A5" s="46" t="s">
        <v>128</v>
      </c>
      <c r="B5" s="48">
        <v>790548059586.41138</v>
      </c>
      <c r="C5" s="48">
        <v>765722989499.45947</v>
      </c>
      <c r="D5" s="48">
        <v>804116651844.98926</v>
      </c>
      <c r="E5" s="48">
        <v>1213277971788.4419</v>
      </c>
      <c r="F5" s="48">
        <v>1237172786827.9678</v>
      </c>
      <c r="G5" s="48">
        <v>1318494922122.7168</v>
      </c>
      <c r="H5" s="48">
        <v>1354299215906.8804</v>
      </c>
      <c r="I5" s="48">
        <v>1370513862524.3679</v>
      </c>
      <c r="J5" s="48">
        <v>1459704501021.9133</v>
      </c>
    </row>
    <row r="6" spans="1:11" ht="16.5">
      <c r="A6" s="46" t="s">
        <v>224</v>
      </c>
      <c r="B6" s="47">
        <v>99637490377.51947</v>
      </c>
      <c r="C6" s="47">
        <v>99595668997.222809</v>
      </c>
      <c r="D6" s="47">
        <v>100204717801.01483</v>
      </c>
      <c r="E6" s="47">
        <v>100225758223.61491</v>
      </c>
      <c r="F6" s="47">
        <v>99671501901.347351</v>
      </c>
      <c r="G6" s="47">
        <v>99704526748.85936</v>
      </c>
      <c r="H6" s="47">
        <v>99722351454.056747</v>
      </c>
      <c r="I6" s="47">
        <v>99747815398.121429</v>
      </c>
      <c r="J6" s="47">
        <v>99778864135.110001</v>
      </c>
    </row>
    <row r="7" spans="1:11" ht="16.5">
      <c r="A7" s="46" t="s">
        <v>154</v>
      </c>
      <c r="B7" s="49">
        <v>47102830010.420479</v>
      </c>
      <c r="C7" s="49">
        <v>49666823038.976089</v>
      </c>
      <c r="D7" s="49">
        <v>50649516378.670189</v>
      </c>
      <c r="E7" s="49">
        <v>51726288214.56089</v>
      </c>
      <c r="F7" s="49">
        <v>50580214127.421928</v>
      </c>
      <c r="G7" s="49">
        <v>50622521144.020866</v>
      </c>
      <c r="H7" s="49">
        <v>49943289569.649658</v>
      </c>
      <c r="I7" s="49">
        <v>48445217858.992096</v>
      </c>
      <c r="J7" s="49">
        <v>48553395375.67646</v>
      </c>
    </row>
    <row r="8" spans="1:11" ht="16.5">
      <c r="A8" s="46" t="s">
        <v>178</v>
      </c>
      <c r="B8" s="47">
        <v>4848445844.8000002</v>
      </c>
      <c r="C8" s="47">
        <v>5180809308.1199999</v>
      </c>
      <c r="D8" s="47">
        <v>5351667060.3500004</v>
      </c>
      <c r="E8" s="47">
        <v>5492189675.5599995</v>
      </c>
      <c r="F8" s="47">
        <v>5371622450.7000008</v>
      </c>
      <c r="G8" s="47">
        <v>5382185314.8400002</v>
      </c>
      <c r="H8" s="47">
        <v>5257385484.9699993</v>
      </c>
      <c r="I8" s="47">
        <v>5112400375.6199999</v>
      </c>
      <c r="J8" s="47">
        <v>5090348734.1000004</v>
      </c>
    </row>
    <row r="9" spans="1:11" ht="16.5">
      <c r="A9" s="46" t="s">
        <v>225</v>
      </c>
      <c r="B9" s="47">
        <v>46709251286.749229</v>
      </c>
      <c r="C9" s="47">
        <v>47060563752.939224</v>
      </c>
      <c r="D9" s="47">
        <v>49842890629.950577</v>
      </c>
      <c r="E9" s="47">
        <v>49968633652.242981</v>
      </c>
      <c r="F9" s="47">
        <v>49899185767.63131</v>
      </c>
      <c r="G9" s="47">
        <v>50009391470.574211</v>
      </c>
      <c r="H9" s="47">
        <v>49520617624.730827</v>
      </c>
      <c r="I9" s="47">
        <v>49267826292.249893</v>
      </c>
      <c r="J9" s="47">
        <v>49747304277.79908</v>
      </c>
    </row>
    <row r="10" spans="1:11" ht="15.75">
      <c r="A10" s="50" t="s">
        <v>226</v>
      </c>
      <c r="B10" s="51">
        <f t="shared" ref="B10:J10" si="0">SUM(B2:B9)</f>
        <v>2218204777155.7969</v>
      </c>
      <c r="C10" s="51">
        <f t="shared" si="0"/>
        <v>2215471403911.6323</v>
      </c>
      <c r="D10" s="51">
        <f t="shared" si="0"/>
        <v>2278172196680.6768</v>
      </c>
      <c r="E10" s="51">
        <f t="shared" si="0"/>
        <v>2700558814021.0269</v>
      </c>
      <c r="F10" s="51">
        <f t="shared" si="0"/>
        <v>2722532361445.4854</v>
      </c>
      <c r="G10" s="51">
        <f t="shared" si="0"/>
        <v>2804014031742.2241</v>
      </c>
      <c r="H10" s="51">
        <f t="shared" si="0"/>
        <v>2818098609361.0439</v>
      </c>
      <c r="I10" s="51">
        <f t="shared" si="0"/>
        <v>2842126915961.4766</v>
      </c>
      <c r="J10" s="51">
        <f t="shared" si="0"/>
        <v>2889675342608.2666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2216838090533.7148</v>
      </c>
      <c r="D12" s="57">
        <f t="shared" ref="D12:J12" si="1">(C10+D10)/2</f>
        <v>2246821800296.1543</v>
      </c>
      <c r="E12" s="57">
        <f t="shared" si="1"/>
        <v>2489365505350.8516</v>
      </c>
      <c r="F12" s="57">
        <f t="shared" si="1"/>
        <v>2711545587733.2559</v>
      </c>
      <c r="G12" s="57">
        <f>(F10+G10)/2</f>
        <v>2763273196593.8545</v>
      </c>
      <c r="H12" s="57">
        <f t="shared" si="1"/>
        <v>2811056320551.6338</v>
      </c>
      <c r="I12" s="57">
        <f t="shared" si="1"/>
        <v>2830112762661.2603</v>
      </c>
      <c r="J12" s="57">
        <f t="shared" si="1"/>
        <v>2865901129284.8716</v>
      </c>
    </row>
    <row r="13" spans="1:11"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>
      <c r="B15" s="101"/>
      <c r="C15" s="132"/>
      <c r="D15" s="132"/>
      <c r="E15" s="132"/>
      <c r="F15" s="132"/>
      <c r="G15" s="132"/>
      <c r="H15" s="132"/>
      <c r="I15" s="132"/>
      <c r="J15" s="132"/>
      <c r="K15" s="101"/>
    </row>
    <row r="16" spans="1:11">
      <c r="B16" s="101"/>
      <c r="C16" s="129">
        <f>2215471403911.63/1000000000</f>
        <v>2215.4714039116297</v>
      </c>
      <c r="D16" s="129">
        <f>2278172196680.68/1000000000</f>
        <v>2278.1721966806804</v>
      </c>
      <c r="E16" s="129">
        <f>2700558814021.03/1000000000</f>
        <v>2700.5588140210298</v>
      </c>
      <c r="F16" s="129">
        <f>2722532361445.49/1000000000</f>
        <v>2722.5323614454901</v>
      </c>
      <c r="G16" s="129">
        <f>2804014031742.22/1000000000</f>
        <v>2804.0140317422201</v>
      </c>
      <c r="H16" s="129">
        <f>2818098609361.04/1000000000</f>
        <v>2818.09860936104</v>
      </c>
      <c r="I16" s="129">
        <f>2842126915961.48/1000000000</f>
        <v>2842.1269159614799</v>
      </c>
      <c r="J16" s="129">
        <f>2889675342608.27/1000000000</f>
        <v>2889.6753426082701</v>
      </c>
      <c r="K16" s="101"/>
    </row>
    <row r="17" spans="2:11">
      <c r="B17" s="101"/>
      <c r="C17" s="99"/>
      <c r="D17" s="99"/>
      <c r="E17" s="99"/>
      <c r="F17" s="99"/>
      <c r="G17" s="99"/>
      <c r="H17" s="99"/>
      <c r="I17" s="99"/>
      <c r="J17" s="99"/>
      <c r="K17" s="101"/>
    </row>
    <row r="18" spans="2:11">
      <c r="B18" s="101"/>
      <c r="C18" s="130">
        <v>2215471403911.6299</v>
      </c>
      <c r="D18" s="130">
        <v>2278172196680.6802</v>
      </c>
      <c r="E18" s="130">
        <v>2700558814021.0298</v>
      </c>
      <c r="F18" s="130">
        <v>2722532361445.4902</v>
      </c>
      <c r="G18" s="130">
        <v>2804014031742.2202</v>
      </c>
      <c r="H18" s="130">
        <v>2818098609361.04</v>
      </c>
      <c r="I18" s="130">
        <v>2842126915961.48</v>
      </c>
      <c r="J18" s="130">
        <v>2889675342608.27</v>
      </c>
      <c r="K18" s="101"/>
    </row>
    <row r="19" spans="2:11">
      <c r="B19" s="101"/>
      <c r="C19" s="99"/>
      <c r="D19" s="99"/>
      <c r="E19" s="99"/>
      <c r="F19" s="99"/>
      <c r="G19" s="99"/>
      <c r="H19" s="99"/>
      <c r="I19" s="99"/>
      <c r="J19" s="99"/>
      <c r="K19" s="101"/>
    </row>
    <row r="20" spans="2:11"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2:11"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2:11">
      <c r="B22" s="101"/>
      <c r="C22" s="101"/>
      <c r="D22" s="101"/>
      <c r="E22" s="101"/>
      <c r="F22" s="101"/>
      <c r="G22" s="101"/>
      <c r="H22" s="101"/>
      <c r="I22" s="101"/>
      <c r="J22" s="101"/>
      <c r="K22" s="99"/>
    </row>
  </sheetData>
  <sheetProtection algorithmName="SHA-512" hashValue="EuKcjQdAgYlqgp/9wk6GQ3KG15jEAn+bCw/JiTzwg19GgtUR+ledfSU4VN5htKWqANnP9ToUN6c+otU55/HP3Q==" saltValue="NmjbZzH4eBz31S6TCzTw/Q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I10:J10 G10:H10 B10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2024-03-25T12:00:17Z</dcterms:modified>
</cp:coreProperties>
</file>