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9E6410A8-0A09-4456-9818-D4C2934F1F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/>
  <c r="C5" i="2"/>
  <c r="C4" i="2"/>
  <c r="C3" i="2"/>
  <c r="I3" i="5"/>
  <c r="H3" i="5"/>
  <c r="G3" i="5"/>
  <c r="F3" i="5"/>
  <c r="E3" i="5"/>
  <c r="D3" i="5"/>
  <c r="C3" i="5"/>
  <c r="B3" i="5"/>
  <c r="J16" i="4"/>
  <c r="I16" i="4"/>
  <c r="H16" i="4"/>
  <c r="G16" i="4"/>
  <c r="F16" i="4"/>
  <c r="E16" i="4"/>
  <c r="D16" i="4"/>
  <c r="C16" i="4"/>
  <c r="B10" i="2"/>
  <c r="B9" i="2"/>
  <c r="B8" i="2"/>
  <c r="B7" i="2"/>
  <c r="B6" i="2"/>
  <c r="B5" i="2"/>
  <c r="B4" i="2"/>
  <c r="B3" i="2"/>
  <c r="N103" i="1" l="1"/>
  <c r="M103" i="1"/>
  <c r="K103" i="1"/>
  <c r="N114" i="1" l="1"/>
  <c r="M114" i="1"/>
  <c r="K114" i="1"/>
  <c r="N119" i="1"/>
  <c r="M119" i="1"/>
  <c r="N113" i="1"/>
  <c r="M113" i="1"/>
  <c r="N98" i="1" l="1"/>
  <c r="M98" i="1"/>
  <c r="K98" i="1"/>
  <c r="N97" i="1"/>
  <c r="M97" i="1"/>
  <c r="K97" i="1"/>
  <c r="N104" i="1"/>
  <c r="M104" i="1"/>
  <c r="K104" i="1"/>
  <c r="N110" i="1"/>
  <c r="M110" i="1"/>
  <c r="K110" i="1"/>
  <c r="N105" i="1"/>
  <c r="M105" i="1"/>
  <c r="K105" i="1"/>
  <c r="N116" i="1" l="1"/>
  <c r="M116" i="1"/>
  <c r="N96" i="1"/>
  <c r="M96" i="1"/>
  <c r="K96" i="1"/>
  <c r="N102" i="1" l="1"/>
  <c r="M102" i="1"/>
  <c r="K102" i="1"/>
  <c r="N115" i="1"/>
  <c r="M115" i="1"/>
  <c r="G119" i="1"/>
  <c r="F119" i="1"/>
  <c r="G116" i="1"/>
  <c r="F116" i="1"/>
  <c r="G115" i="1"/>
  <c r="F115" i="1"/>
  <c r="G114" i="1"/>
  <c r="F114" i="1"/>
  <c r="G113" i="1"/>
  <c r="F113" i="1"/>
  <c r="G110" i="1"/>
  <c r="F110" i="1"/>
  <c r="D114" i="1"/>
  <c r="D110" i="1"/>
  <c r="G105" i="1"/>
  <c r="F105" i="1"/>
  <c r="G104" i="1"/>
  <c r="F104" i="1"/>
  <c r="G103" i="1"/>
  <c r="F103" i="1"/>
  <c r="G102" i="1"/>
  <c r="F102" i="1"/>
  <c r="G98" i="1"/>
  <c r="F98" i="1"/>
  <c r="G97" i="1"/>
  <c r="F97" i="1"/>
  <c r="G96" i="1"/>
  <c r="F96" i="1"/>
  <c r="G95" i="1"/>
  <c r="F95" i="1"/>
  <c r="D105" i="1"/>
  <c r="D104" i="1"/>
  <c r="D103" i="1"/>
  <c r="D102" i="1"/>
  <c r="D98" i="1"/>
  <c r="D97" i="1"/>
  <c r="D96" i="1"/>
  <c r="R114" i="1" l="1"/>
  <c r="S114" i="1"/>
  <c r="T114" i="1"/>
  <c r="U114" i="1"/>
  <c r="V114" i="1"/>
  <c r="R76" i="1"/>
  <c r="S76" i="1"/>
  <c r="T76" i="1"/>
  <c r="U76" i="1"/>
  <c r="V76" i="1"/>
  <c r="V187" i="1" l="1"/>
  <c r="T150" i="1"/>
  <c r="S150" i="1"/>
  <c r="R117" i="1" l="1"/>
  <c r="V146" i="1" l="1"/>
  <c r="T138" i="1" l="1"/>
  <c r="R132" i="1"/>
  <c r="S132" i="1"/>
  <c r="T132" i="1"/>
  <c r="U132" i="1"/>
  <c r="V132" i="1"/>
  <c r="R152" i="1"/>
  <c r="S152" i="1"/>
  <c r="T152" i="1"/>
  <c r="U152" i="1"/>
  <c r="V152" i="1"/>
  <c r="R113" i="1" l="1"/>
  <c r="S113" i="1"/>
  <c r="S174" i="1" l="1"/>
  <c r="V113" i="1"/>
  <c r="U113" i="1"/>
  <c r="T113" i="1"/>
  <c r="R193" i="1" l="1"/>
  <c r="R194" i="1"/>
  <c r="R65" i="1" l="1"/>
  <c r="V73" i="1" l="1"/>
  <c r="U73" i="1"/>
  <c r="T73" i="1"/>
  <c r="S73" i="1"/>
  <c r="R73" i="1"/>
  <c r="V79" i="1" l="1"/>
  <c r="U79" i="1"/>
  <c r="T79" i="1"/>
  <c r="S79" i="1"/>
  <c r="R79" i="1"/>
  <c r="I10" i="4" l="1"/>
  <c r="H10" i="4"/>
  <c r="G10" i="4"/>
  <c r="F10" i="4"/>
  <c r="E10" i="4"/>
  <c r="D10" i="4"/>
  <c r="C10" i="4"/>
  <c r="B10" i="4"/>
  <c r="V175" i="1" l="1"/>
  <c r="U175" i="1"/>
  <c r="T175" i="1"/>
  <c r="S175" i="1"/>
  <c r="R175" i="1"/>
  <c r="T32" i="1" l="1"/>
  <c r="S21" i="1" l="1"/>
  <c r="T21" i="1"/>
  <c r="V97" i="1" l="1"/>
  <c r="R97" i="1"/>
  <c r="S97" i="1"/>
  <c r="T97" i="1"/>
  <c r="U97" i="1"/>
  <c r="R12" i="1" l="1"/>
  <c r="R48" i="1" l="1"/>
  <c r="V48" i="1"/>
  <c r="U48" i="1"/>
  <c r="T48" i="1"/>
  <c r="S48" i="1"/>
  <c r="V98" i="1" l="1"/>
  <c r="U98" i="1"/>
  <c r="T98" i="1"/>
  <c r="S98" i="1"/>
  <c r="R98" i="1"/>
  <c r="V124" i="1" l="1"/>
  <c r="U124" i="1"/>
  <c r="T124" i="1"/>
  <c r="S124" i="1"/>
  <c r="R124" i="1"/>
  <c r="R70" i="1" l="1"/>
  <c r="V180" i="1" l="1"/>
  <c r="U180" i="1"/>
  <c r="T180" i="1"/>
  <c r="S180" i="1"/>
  <c r="R180" i="1"/>
  <c r="S168" i="1" l="1"/>
  <c r="D163" i="1" l="1"/>
  <c r="D120" i="1"/>
  <c r="E110" i="1" l="1"/>
  <c r="E114" i="1"/>
  <c r="E98" i="1"/>
  <c r="E113" i="1"/>
  <c r="R89" i="1"/>
  <c r="S89" i="1"/>
  <c r="T89" i="1"/>
  <c r="U89" i="1"/>
  <c r="V89" i="1"/>
  <c r="D203" i="1"/>
  <c r="D182" i="1"/>
  <c r="D128" i="1"/>
  <c r="E124" i="1" s="1"/>
  <c r="D55" i="1"/>
  <c r="E172" i="1" l="1"/>
  <c r="E173" i="1"/>
  <c r="E174" i="1"/>
  <c r="E175" i="1"/>
  <c r="E176" i="1"/>
  <c r="E177" i="1"/>
  <c r="E178" i="1"/>
  <c r="E179" i="1"/>
  <c r="E180" i="1"/>
  <c r="E181" i="1"/>
  <c r="R161" i="1"/>
  <c r="R81" i="1" l="1"/>
  <c r="S81" i="1"/>
  <c r="T81" i="1"/>
  <c r="V81" i="1"/>
  <c r="U81" i="1"/>
  <c r="D22" i="1" l="1"/>
  <c r="R111" i="1" l="1"/>
  <c r="R19" i="1" l="1"/>
  <c r="R192" i="1" l="1"/>
  <c r="S192" i="1"/>
  <c r="T192" i="1"/>
  <c r="U192" i="1"/>
  <c r="V192" i="1"/>
  <c r="S193" i="1"/>
  <c r="T193" i="1"/>
  <c r="U193" i="1"/>
  <c r="V193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S203" i="1"/>
  <c r="U203" i="1"/>
  <c r="V203" i="1"/>
  <c r="V191" i="1"/>
  <c r="U191" i="1"/>
  <c r="T191" i="1"/>
  <c r="S191" i="1"/>
  <c r="R191" i="1"/>
  <c r="U187" i="1"/>
  <c r="T187" i="1"/>
  <c r="S187" i="1"/>
  <c r="R187" i="1"/>
  <c r="V186" i="1"/>
  <c r="U186" i="1"/>
  <c r="T186" i="1"/>
  <c r="S186" i="1"/>
  <c r="R186" i="1"/>
  <c r="R172" i="1"/>
  <c r="S172" i="1"/>
  <c r="T172" i="1"/>
  <c r="U172" i="1"/>
  <c r="V172" i="1"/>
  <c r="R173" i="1"/>
  <c r="S173" i="1"/>
  <c r="T173" i="1"/>
  <c r="U173" i="1"/>
  <c r="V173" i="1"/>
  <c r="R174" i="1"/>
  <c r="T174" i="1"/>
  <c r="U174" i="1"/>
  <c r="V174" i="1"/>
  <c r="R176" i="1"/>
  <c r="S176" i="1"/>
  <c r="T176" i="1"/>
  <c r="U176" i="1"/>
  <c r="V176" i="1"/>
  <c r="R177" i="1"/>
  <c r="S177" i="1"/>
  <c r="T177" i="1"/>
  <c r="U177" i="1"/>
  <c r="V177" i="1"/>
  <c r="R178" i="1"/>
  <c r="S178" i="1"/>
  <c r="T178" i="1"/>
  <c r="U178" i="1"/>
  <c r="V178" i="1"/>
  <c r="R179" i="1"/>
  <c r="S179" i="1"/>
  <c r="T179" i="1"/>
  <c r="U179" i="1"/>
  <c r="V179" i="1"/>
  <c r="R181" i="1"/>
  <c r="S181" i="1"/>
  <c r="T181" i="1"/>
  <c r="U181" i="1"/>
  <c r="V181" i="1"/>
  <c r="S182" i="1"/>
  <c r="U182" i="1"/>
  <c r="V182" i="1"/>
  <c r="V171" i="1"/>
  <c r="U171" i="1"/>
  <c r="T171" i="1"/>
  <c r="S171" i="1"/>
  <c r="R171" i="1"/>
  <c r="V168" i="1"/>
  <c r="U168" i="1"/>
  <c r="T168" i="1"/>
  <c r="R168" i="1"/>
  <c r="V167" i="1"/>
  <c r="U167" i="1"/>
  <c r="T167" i="1"/>
  <c r="S167" i="1"/>
  <c r="R167" i="1"/>
  <c r="S161" i="1"/>
  <c r="T161" i="1"/>
  <c r="U161" i="1"/>
  <c r="V161" i="1"/>
  <c r="R162" i="1"/>
  <c r="S162" i="1"/>
  <c r="T162" i="1"/>
  <c r="U162" i="1"/>
  <c r="V162" i="1"/>
  <c r="S163" i="1"/>
  <c r="U163" i="1"/>
  <c r="V163" i="1"/>
  <c r="V160" i="1"/>
  <c r="U160" i="1"/>
  <c r="T160" i="1"/>
  <c r="S160" i="1"/>
  <c r="R160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U150" i="1"/>
  <c r="V150" i="1"/>
  <c r="R151" i="1"/>
  <c r="S151" i="1"/>
  <c r="T151" i="1"/>
  <c r="U151" i="1"/>
  <c r="V151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S157" i="1"/>
  <c r="U157" i="1"/>
  <c r="V157" i="1"/>
  <c r="V131" i="1"/>
  <c r="U131" i="1"/>
  <c r="T131" i="1"/>
  <c r="S131" i="1"/>
  <c r="R131" i="1"/>
  <c r="R125" i="1"/>
  <c r="S125" i="1"/>
  <c r="T125" i="1"/>
  <c r="U125" i="1"/>
  <c r="V125" i="1"/>
  <c r="R126" i="1"/>
  <c r="S126" i="1"/>
  <c r="T126" i="1"/>
  <c r="U126" i="1"/>
  <c r="V126" i="1"/>
  <c r="R127" i="1"/>
  <c r="S127" i="1"/>
  <c r="T127" i="1"/>
  <c r="U127" i="1"/>
  <c r="V127" i="1"/>
  <c r="S128" i="1"/>
  <c r="U128" i="1"/>
  <c r="V128" i="1"/>
  <c r="V123" i="1"/>
  <c r="U123" i="1"/>
  <c r="T123" i="1"/>
  <c r="S123" i="1"/>
  <c r="R123" i="1"/>
  <c r="R110" i="1"/>
  <c r="S110" i="1"/>
  <c r="T110" i="1"/>
  <c r="U110" i="1"/>
  <c r="V110" i="1"/>
  <c r="S111" i="1"/>
  <c r="T111" i="1"/>
  <c r="U111" i="1"/>
  <c r="V111" i="1"/>
  <c r="R112" i="1"/>
  <c r="S112" i="1"/>
  <c r="T112" i="1"/>
  <c r="U112" i="1"/>
  <c r="V112" i="1"/>
  <c r="R115" i="1"/>
  <c r="S115" i="1"/>
  <c r="T115" i="1"/>
  <c r="U115" i="1"/>
  <c r="V115" i="1"/>
  <c r="R116" i="1"/>
  <c r="S116" i="1"/>
  <c r="T116" i="1"/>
  <c r="U116" i="1"/>
  <c r="V116" i="1"/>
  <c r="S117" i="1"/>
  <c r="T117" i="1"/>
  <c r="U117" i="1"/>
  <c r="V117" i="1"/>
  <c r="R118" i="1"/>
  <c r="S118" i="1"/>
  <c r="T118" i="1"/>
  <c r="U118" i="1"/>
  <c r="V118" i="1"/>
  <c r="R119" i="1"/>
  <c r="S119" i="1"/>
  <c r="T119" i="1"/>
  <c r="U119" i="1"/>
  <c r="V119" i="1"/>
  <c r="S120" i="1"/>
  <c r="U120" i="1"/>
  <c r="V120" i="1"/>
  <c r="V109" i="1"/>
  <c r="U109" i="1"/>
  <c r="T109" i="1"/>
  <c r="S109" i="1"/>
  <c r="R109" i="1"/>
  <c r="R96" i="1"/>
  <c r="S96" i="1"/>
  <c r="T96" i="1"/>
  <c r="U96" i="1"/>
  <c r="V96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V95" i="1"/>
  <c r="U95" i="1"/>
  <c r="T95" i="1"/>
  <c r="S95" i="1"/>
  <c r="R95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4" i="1"/>
  <c r="S74" i="1"/>
  <c r="T74" i="1"/>
  <c r="U74" i="1"/>
  <c r="V74" i="1"/>
  <c r="R75" i="1"/>
  <c r="S75" i="1"/>
  <c r="T75" i="1"/>
  <c r="U75" i="1"/>
  <c r="V75" i="1"/>
  <c r="R77" i="1"/>
  <c r="S77" i="1"/>
  <c r="T77" i="1"/>
  <c r="U77" i="1"/>
  <c r="V77" i="1"/>
  <c r="R78" i="1"/>
  <c r="S78" i="1"/>
  <c r="T78" i="1"/>
  <c r="U78" i="1"/>
  <c r="V78" i="1"/>
  <c r="R80" i="1"/>
  <c r="S80" i="1"/>
  <c r="T80" i="1"/>
  <c r="U80" i="1"/>
  <c r="V80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90" i="1"/>
  <c r="S90" i="1"/>
  <c r="T90" i="1"/>
  <c r="U90" i="1"/>
  <c r="V90" i="1"/>
  <c r="S91" i="1"/>
  <c r="U91" i="1"/>
  <c r="V91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5" i="1"/>
  <c r="O182" i="1" l="1"/>
  <c r="O203" i="1"/>
  <c r="K203" i="1"/>
  <c r="H203" i="1"/>
  <c r="K188" i="1"/>
  <c r="H188" i="1"/>
  <c r="D188" i="1"/>
  <c r="H182" i="1"/>
  <c r="K182" i="1"/>
  <c r="L178" i="1" s="1"/>
  <c r="H163" i="1"/>
  <c r="O163" i="1"/>
  <c r="K163" i="1"/>
  <c r="O157" i="1"/>
  <c r="K157" i="1"/>
  <c r="H157" i="1"/>
  <c r="D157" i="1"/>
  <c r="O128" i="1"/>
  <c r="K128" i="1"/>
  <c r="L124" i="1" s="1"/>
  <c r="H128" i="1"/>
  <c r="T128" i="1" s="1"/>
  <c r="H120" i="1"/>
  <c r="O120" i="1"/>
  <c r="K120" i="1"/>
  <c r="O91" i="1"/>
  <c r="K91" i="1"/>
  <c r="L76" i="1" s="1"/>
  <c r="H91" i="1"/>
  <c r="D91" i="1"/>
  <c r="O55" i="1"/>
  <c r="K55" i="1"/>
  <c r="H55" i="1"/>
  <c r="O22" i="1"/>
  <c r="H22" i="1"/>
  <c r="L113" i="1" l="1"/>
  <c r="L114" i="1"/>
  <c r="E73" i="1"/>
  <c r="E76" i="1"/>
  <c r="E151" i="1"/>
  <c r="E152" i="1"/>
  <c r="L83" i="1"/>
  <c r="L90" i="1"/>
  <c r="L73" i="1"/>
  <c r="L132" i="1"/>
  <c r="L152" i="1"/>
  <c r="E132" i="1"/>
  <c r="L172" i="1"/>
  <c r="L173" i="1"/>
  <c r="L174" i="1"/>
  <c r="L175" i="1"/>
  <c r="L177" i="1"/>
  <c r="L179" i="1"/>
  <c r="L180" i="1"/>
  <c r="L181" i="1"/>
  <c r="L98" i="1"/>
  <c r="L111" i="1"/>
  <c r="L171" i="1"/>
  <c r="E79" i="1"/>
  <c r="L79" i="1"/>
  <c r="L52" i="1"/>
  <c r="L35" i="1"/>
  <c r="L201" i="1"/>
  <c r="L202" i="1"/>
  <c r="E48" i="1"/>
  <c r="L47" i="1"/>
  <c r="L49" i="1"/>
  <c r="L48" i="1"/>
  <c r="L50" i="1"/>
  <c r="L95" i="1"/>
  <c r="L109" i="1"/>
  <c r="L147" i="1"/>
  <c r="L153" i="1"/>
  <c r="L84" i="1"/>
  <c r="L61" i="1"/>
  <c r="L151" i="1"/>
  <c r="L97" i="1"/>
  <c r="L25" i="1"/>
  <c r="L38" i="1"/>
  <c r="T182" i="1"/>
  <c r="L88" i="1"/>
  <c r="L89" i="1"/>
  <c r="E81" i="1"/>
  <c r="E89" i="1"/>
  <c r="T203" i="1"/>
  <c r="L81" i="1"/>
  <c r="T55" i="1"/>
  <c r="T163" i="1"/>
  <c r="R163" i="1"/>
  <c r="T91" i="1"/>
  <c r="T157" i="1"/>
  <c r="T22" i="1"/>
  <c r="R128" i="1"/>
  <c r="R203" i="1"/>
  <c r="T120" i="1"/>
  <c r="O183" i="1"/>
  <c r="O204" i="1" s="1"/>
  <c r="R157" i="1"/>
  <c r="L146" i="1"/>
  <c r="R120" i="1"/>
  <c r="R91" i="1"/>
  <c r="L60" i="1"/>
  <c r="L62" i="1"/>
  <c r="L64" i="1"/>
  <c r="L66" i="1"/>
  <c r="L68" i="1"/>
  <c r="L70" i="1"/>
  <c r="L72" i="1"/>
  <c r="L75" i="1"/>
  <c r="L78" i="1"/>
  <c r="L82" i="1"/>
  <c r="L86" i="1"/>
  <c r="L59" i="1"/>
  <c r="L63" i="1"/>
  <c r="L65" i="1"/>
  <c r="L67" i="1"/>
  <c r="L69" i="1"/>
  <c r="L71" i="1"/>
  <c r="L74" i="1"/>
  <c r="L77" i="1"/>
  <c r="L80" i="1"/>
  <c r="L85" i="1"/>
  <c r="L87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2" i="1"/>
  <c r="H183" i="1"/>
  <c r="H204" i="1" s="1"/>
  <c r="J10" i="4"/>
  <c r="J12" i="4" s="1"/>
  <c r="I12" i="4"/>
  <c r="H12" i="4"/>
  <c r="G12" i="4"/>
  <c r="F12" i="4"/>
  <c r="E12" i="4"/>
  <c r="C12" i="4"/>
  <c r="E199" i="1"/>
  <c r="L200" i="1"/>
  <c r="L199" i="1"/>
  <c r="L197" i="1"/>
  <c r="L196" i="1"/>
  <c r="L195" i="1"/>
  <c r="L193" i="1"/>
  <c r="L192" i="1"/>
  <c r="L191" i="1"/>
  <c r="V188" i="1"/>
  <c r="U188" i="1"/>
  <c r="L186" i="1"/>
  <c r="E186" i="1"/>
  <c r="L168" i="1"/>
  <c r="L160" i="1"/>
  <c r="E162" i="1"/>
  <c r="E156" i="1"/>
  <c r="E153" i="1"/>
  <c r="L145" i="1"/>
  <c r="L143" i="1"/>
  <c r="L140" i="1"/>
  <c r="L137" i="1"/>
  <c r="L135" i="1"/>
  <c r="L131" i="1"/>
  <c r="L126" i="1"/>
  <c r="E127" i="1"/>
  <c r="L127" i="1"/>
  <c r="E88" i="1"/>
  <c r="E87" i="1"/>
  <c r="E85" i="1"/>
  <c r="E83" i="1"/>
  <c r="E80" i="1"/>
  <c r="E77" i="1"/>
  <c r="E74" i="1"/>
  <c r="E71" i="1"/>
  <c r="E69" i="1"/>
  <c r="E67" i="1"/>
  <c r="E65" i="1"/>
  <c r="E63" i="1"/>
  <c r="E61" i="1"/>
  <c r="E59" i="1"/>
  <c r="L51" i="1"/>
  <c r="R55" i="1"/>
  <c r="L32" i="1"/>
  <c r="K22" i="1"/>
  <c r="E14" i="1"/>
  <c r="S6" i="1"/>
  <c r="R6" i="1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E8" i="1"/>
  <c r="E6" i="1"/>
  <c r="E10" i="1"/>
  <c r="E9" i="1"/>
  <c r="E19" i="1"/>
  <c r="R22" i="1"/>
  <c r="L6" i="1"/>
  <c r="L40" i="1"/>
  <c r="L123" i="1"/>
  <c r="L133" i="1"/>
  <c r="L136" i="1"/>
  <c r="L139" i="1"/>
  <c r="L141" i="1"/>
  <c r="L144" i="1"/>
  <c r="L148" i="1"/>
  <c r="E18" i="1"/>
  <c r="L58" i="1"/>
  <c r="E62" i="1"/>
  <c r="E123" i="1"/>
  <c r="E131" i="1"/>
  <c r="E133" i="1"/>
  <c r="E134" i="1"/>
  <c r="E139" i="1"/>
  <c r="E140" i="1"/>
  <c r="E141" i="1"/>
  <c r="E142" i="1"/>
  <c r="E147" i="1"/>
  <c r="E150" i="1"/>
  <c r="E155" i="1"/>
  <c r="E11" i="1"/>
  <c r="E13" i="1"/>
  <c r="E16" i="1"/>
  <c r="E20" i="1"/>
  <c r="L29" i="1"/>
  <c r="L37" i="1"/>
  <c r="L43" i="1"/>
  <c r="K183" i="1"/>
  <c r="L125" i="1"/>
  <c r="E135" i="1"/>
  <c r="E136" i="1"/>
  <c r="E137" i="1"/>
  <c r="E138" i="1"/>
  <c r="E143" i="1"/>
  <c r="E144" i="1"/>
  <c r="E145" i="1"/>
  <c r="E146" i="1"/>
  <c r="E148" i="1"/>
  <c r="E149" i="1"/>
  <c r="E154" i="1"/>
  <c r="L167" i="1"/>
  <c r="L102" i="1"/>
  <c r="L101" i="1"/>
  <c r="L33" i="1"/>
  <c r="L44" i="1"/>
  <c r="L53" i="1"/>
  <c r="E126" i="1"/>
  <c r="L150" i="1"/>
  <c r="L155" i="1"/>
  <c r="L162" i="1"/>
  <c r="E194" i="1"/>
  <c r="E198" i="1"/>
  <c r="E202" i="1"/>
  <c r="D12" i="4"/>
  <c r="E96" i="1"/>
  <c r="L36" i="1"/>
  <c r="L39" i="1"/>
  <c r="L30" i="1"/>
  <c r="L41" i="1"/>
  <c r="L134" i="1"/>
  <c r="L138" i="1"/>
  <c r="L142" i="1"/>
  <c r="E161" i="1"/>
  <c r="E171" i="1"/>
  <c r="E187" i="1"/>
  <c r="L194" i="1"/>
  <c r="L198" i="1"/>
  <c r="L28" i="1"/>
  <c r="E7" i="1"/>
  <c r="E17" i="1"/>
  <c r="E21" i="1"/>
  <c r="L27" i="1"/>
  <c r="L46" i="1"/>
  <c r="E58" i="1"/>
  <c r="E66" i="1"/>
  <c r="E70" i="1"/>
  <c r="E75" i="1"/>
  <c r="E82" i="1"/>
  <c r="E86" i="1"/>
  <c r="E90" i="1"/>
  <c r="E125" i="1"/>
  <c r="L149" i="1"/>
  <c r="L154" i="1"/>
  <c r="L161" i="1"/>
  <c r="L187" i="1"/>
  <c r="R188" i="1"/>
  <c r="E193" i="1"/>
  <c r="E197" i="1"/>
  <c r="E201" i="1"/>
  <c r="E160" i="1"/>
  <c r="E168" i="1"/>
  <c r="E192" i="1"/>
  <c r="E196" i="1"/>
  <c r="E200" i="1"/>
  <c r="L45" i="1"/>
  <c r="L54" i="1"/>
  <c r="L26" i="1"/>
  <c r="L34" i="1"/>
  <c r="E167" i="1"/>
  <c r="E12" i="1"/>
  <c r="E15" i="1"/>
  <c r="L31" i="1"/>
  <c r="L42" i="1"/>
  <c r="E60" i="1"/>
  <c r="E64" i="1"/>
  <c r="E68" i="1"/>
  <c r="E72" i="1"/>
  <c r="E78" i="1"/>
  <c r="E84" i="1"/>
  <c r="L156" i="1"/>
  <c r="E191" i="1"/>
  <c r="E195" i="1"/>
  <c r="L112" i="1" l="1"/>
  <c r="L96" i="1"/>
  <c r="L99" i="1"/>
  <c r="L105" i="1"/>
  <c r="L116" i="1"/>
  <c r="L100" i="1"/>
  <c r="K204" i="1"/>
  <c r="L22" i="1"/>
  <c r="L157" i="1"/>
  <c r="L55" i="1"/>
  <c r="L128" i="1"/>
  <c r="L91" i="1"/>
  <c r="L120" i="1"/>
  <c r="L182" i="1"/>
  <c r="L163" i="1"/>
  <c r="L104" i="1"/>
  <c r="L103" i="1"/>
  <c r="L119" i="1"/>
  <c r="L115" i="1"/>
  <c r="L117" i="1"/>
  <c r="L106" i="1"/>
  <c r="L118" i="1"/>
  <c r="L110" i="1"/>
  <c r="E118" i="1"/>
  <c r="E115" i="1"/>
  <c r="E106" i="1"/>
  <c r="E103" i="1"/>
  <c r="E100" i="1"/>
  <c r="E105" i="1"/>
  <c r="E101" i="1"/>
  <c r="E111" i="1"/>
  <c r="E102" i="1"/>
  <c r="D183" i="1"/>
  <c r="E119" i="1"/>
  <c r="E95" i="1"/>
  <c r="E104" i="1"/>
  <c r="E99" i="1"/>
  <c r="E117" i="1"/>
  <c r="E116" i="1"/>
  <c r="E112" i="1"/>
  <c r="E109" i="1"/>
  <c r="E120" i="1" l="1"/>
  <c r="R183" i="1"/>
  <c r="E55" i="1"/>
  <c r="E157" i="1"/>
  <c r="D204" i="1"/>
  <c r="E91" i="1"/>
  <c r="E22" i="1"/>
  <c r="E182" i="1"/>
  <c r="E128" i="1"/>
  <c r="E163" i="1"/>
</calcChain>
</file>

<file path=xl/sharedStrings.xml><?xml version="1.0" encoding="utf-8"?>
<sst xmlns="http://schemas.openxmlformats.org/spreadsheetml/2006/main" count="418" uniqueCount="268">
  <si>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</si>
  <si>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</si>
  <si>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</si>
  <si>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</si>
  <si>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</si>
  <si>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</si>
  <si>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</si>
  <si>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</si>
  <si>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</si>
  <si>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</si>
  <si>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</si>
  <si>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</si>
  <si>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</si>
  <si>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</si>
  <si>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</si>
  <si>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</si>
  <si>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</si>
  <si>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</si>
  <si>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</si>
  <si>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</si>
  <si>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</si>
  <si>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</si>
  <si>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</si>
  <si>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</si>
  <si>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</si>
  <si>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</si>
  <si>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</si>
  <si>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</si>
  <si>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</si>
  <si>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</si>
  <si>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</si>
  <si>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</si>
  <si>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</si>
  <si>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</si>
  <si>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</si>
  <si>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</si>
  <si>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</si>
  <si>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</si>
  <si>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</si>
  <si>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</si>
  <si>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</si>
  <si>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</si>
  <si>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</si>
  <si>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</si>
  <si>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</si>
  <si>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</si>
  <si>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</si>
  <si>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</si>
  <si>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</si>
  <si>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</si>
  <si>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</si>
  <si>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</si>
  <si>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</si>
  <si>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</si>
  <si>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</si>
  <si>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</si>
  <si>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</si>
  <si>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</si>
  <si>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</si>
  <si>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</si>
  <si>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</si>
  <si>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</si>
  <si>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</si>
  <si>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</si>
  <si>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</si>
  <si>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</si>
  <si>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</si>
  <si>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</si>
  <si>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</si>
  <si>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</si>
  <si>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</si>
  <si>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</si>
  <si>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</si>
  <si>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</si>
  <si>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</si>
  <si>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</si>
  <si>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</si>
  <si>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</si>
  <si>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</si>
  <si>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</si>
  <si>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</si>
  <si>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</si>
  <si>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</si>
  <si>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</si>
  <si>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</si>
  <si>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</si>
  <si>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</si>
  <si>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</si>
  <si>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</si>
  <si>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</si>
  <si>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</si>
  <si>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</si>
  <si>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</si>
  <si>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</si>
  <si>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</si>
  <si>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</si>
  <si>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</si>
  <si>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</si>
  <si>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</si>
  <si>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</si>
  <si>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</si>
  <si>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</si>
  <si>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</si>
  <si>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</si>
  <si>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</si>
  <si>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</si>
  <si>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</si>
  <si>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</si>
  <si>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</si>
  <si>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</si>
  <si>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</si>
  <si>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</si>
  <si>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</si>
  <si>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</si>
  <si>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</si>
  <si>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</si>
  <si>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</si>
  <si>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</si>
  <si>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</si>
  <si>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</si>
  <si>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</si>
  <si>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</si>
  <si>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</si>
  <si>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</si>
  <si>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</si>
  <si>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</si>
  <si>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</si>
  <si>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</si>
  <si>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</si>
  <si>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</si>
  <si>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</si>
  <si>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</si>
  <si>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</si>
  <si>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</si>
  <si>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</si>
  <si>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</si>
  <si>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</si>
  <si>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</si>
  <si>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</si>
  <si>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</si>
  <si>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</si>
  <si>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</si>
  <si>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</si>
  <si>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</si>
  <si>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</si>
  <si>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</si>
  <si>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</si>
  <si>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</si>
  <si>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</si>
  <si>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</si>
  <si>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</si>
  <si>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</si>
  <si>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</si>
  <si>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</si>
  <si>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</si>
  <si>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</si>
  <si>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</si>
  <si>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</si>
  <si>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</si>
  <si>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</si>
  <si>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</si>
  <si>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</si>
  <si>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</si>
  <si>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</si>
  <si>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</si>
  <si>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</si>
  <si>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</si>
  <si>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</si>
  <si>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</si>
  <si>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</si>
  <si>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</si>
  <si>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</si>
  <si>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</si>
  <si>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</si>
  <si>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</si>
  <si>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</si>
  <si>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</si>
  <si>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</si>
  <si>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</si>
  <si>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</si>
  <si>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</si>
  <si>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</si>
  <si>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</si>
  <si>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</si>
  <si>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</si>
  <si>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</si>
  <si>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</si>
  <si>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</si>
  <si>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</si>
  <si>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</si>
  <si>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</si>
  <si>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</si>
  <si>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</si>
  <si>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</si>
  <si>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</si>
  <si>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</si>
  <si>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</si>
  <si>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</si>
  <si>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</si>
  <si>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</si>
  <si>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</si>
  <si>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</si>
  <si>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</si>
  <si>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</si>
  <si>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</si>
  <si>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</si>
  <si>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</si>
  <si>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</si>
  <si>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</si>
  <si>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</si>
  <si>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</si>
  <si>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</si>
  <si>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</si>
  <si>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</si>
  <si>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</si>
  <si>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</si>
  <si>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</si>
  <si>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</si>
  <si>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</si>
  <si>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</si>
  <si>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</si>
  <si>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</si>
  <si>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</si>
  <si>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</si>
  <si>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</si>
  <si>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</si>
  <si>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</si>
  <si>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</si>
  <si>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</si>
  <si>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</si>
  <si>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</si>
  <si>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</si>
  <si>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</si>
  <si>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</si>
  <si>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</si>
  <si>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</si>
  <si>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</si>
  <si>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</si>
  <si>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</si>
  <si>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</si>
  <si>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</si>
  <si>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</si>
  <si>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</si>
  <si>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</si>
  <si>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</si>
  <si>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</si>
  <si>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</si>
  <si>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</si>
  <si>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</si>
  <si>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</si>
  <si>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</si>
  <si>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</si>
  <si>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</si>
  <si>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</si>
  <si>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</si>
  <si>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</si>
  <si>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</si>
  <si>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</si>
  <si>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</si>
  <si>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</si>
  <si>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NAV, Unit Price and Yield as at Week Ended February 23, 2024</t>
  </si>
  <si>
    <t>16.51% </t>
  </si>
  <si>
    <t>Week Ended February 23, 2024</t>
  </si>
  <si>
    <t>WEEKLY VALUATION REPORT OF COLLECTIVE INVESTMENT SCHEMES AS AT WEEK ENDED FRIDAY, MARCH 1, 2024</t>
  </si>
  <si>
    <t>NAV, Unit Price and Yield as at Week Ended March 1,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</si>
  <si>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1st March, 2024 = </t>
    </r>
    <r>
      <rPr>
        <strike/>
        <sz val="6"/>
        <color theme="0"/>
        <rFont val="Times New Roman"/>
        <family val="1"/>
      </rPr>
      <t>N1,538</t>
    </r>
    <r>
      <rPr>
        <sz val="6"/>
        <color theme="0"/>
        <rFont val="Times New Roman"/>
        <family val="1"/>
      </rPr>
      <t>.743</t>
    </r>
  </si>
  <si>
    <t>Week Ended March 1, 2024</t>
  </si>
  <si>
    <t>The chart above shows that the Dollar Fund category (Eurobonds and Fixed Income) has the highest share of the Aggregate Net Asset Value (NAV) at 48.22%, followed by Money Market Fund with 33.76%, Bond/Fixed Income Fund at 9.93%, Real Estate Investment Trust at 3.51%.  Next is Shari'ah Compliant Fund at 1.73%, Balanced Fund at 1.70%, Equity Fund at 0.96% and Ethical Fund at 0.18%.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</si>
</sst>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17" borderId="14" applyNumberFormat="0" applyAlignment="0" applyProtection="0"/>
    <xf numFmtId="0" fontId="38" fillId="18" borderId="15" applyNumberFormat="0" applyAlignment="0" applyProtection="0"/>
    <xf numFmtId="0" fontId="39" fillId="18" borderId="14" applyNumberFormat="0" applyAlignment="0" applyProtection="0"/>
    <xf numFmtId="0" fontId="40" fillId="0" borderId="16" applyNumberFormat="0" applyFill="0" applyAlignment="0" applyProtection="0"/>
    <xf numFmtId="0" fontId="41" fillId="19" borderId="17" applyNumberFormat="0" applyAlignment="0" applyProtection="0"/>
    <xf numFmtId="0" fontId="42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61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0" fontId="30" fillId="0" borderId="0" xfId="0" applyFont="1" applyAlignment="1">
      <alignment horizontal="right"/>
    </xf>
    <xf numFmtId="164" fontId="31" fillId="3" borderId="0" xfId="1" applyFont="1" applyFill="1" applyBorder="1" applyAlignment="1">
      <alignment horizontal="right" vertical="top" wrapText="1"/>
    </xf>
    <xf numFmtId="4" fontId="31" fillId="3" borderId="0" xfId="0" applyNumberFormat="1" applyFont="1" applyFill="1"/>
    <xf numFmtId="4" fontId="0" fillId="0" borderId="0" xfId="0" applyNumberFormat="1"/>
    <xf numFmtId="0" fontId="47" fillId="0" borderId="0" xfId="0" applyFont="1" applyAlignment="1">
      <alignment horizontal="right"/>
    </xf>
    <xf numFmtId="166" fontId="0" fillId="0" borderId="0" xfId="0" applyNumberFormat="1"/>
    <xf numFmtId="4" fontId="48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9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165" fontId="6" fillId="5" borderId="5" xfId="2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0" fontId="50" fillId="0" borderId="5" xfId="0" applyFont="1" applyBorder="1" applyAlignment="1">
      <alignment horizontal="right"/>
    </xf>
    <xf numFmtId="16" fontId="30" fillId="3" borderId="5" xfId="0" applyNumberFormat="1" applyFont="1" applyFill="1" applyBorder="1"/>
    <xf numFmtId="0" fontId="30" fillId="0" borderId="5" xfId="0" applyFont="1" applyBorder="1" applyAlignment="1">
      <alignment horizontal="right"/>
    </xf>
    <xf numFmtId="4" fontId="31" fillId="3" borderId="5" xfId="0" applyNumberFormat="1" applyFont="1" applyFill="1" applyBorder="1"/>
    <xf numFmtId="164" fontId="31" fillId="3" borderId="5" xfId="1" applyFont="1" applyFill="1" applyBorder="1" applyAlignment="1">
      <alignment horizontal="right" vertical="top" wrapText="1"/>
    </xf>
    <xf numFmtId="4" fontId="31" fillId="3" borderId="5" xfId="0" applyNumberFormat="1" applyFont="1" applyFill="1" applyBorder="1" applyAlignment="1">
      <alignment horizontal="right"/>
    </xf>
    <xf numFmtId="4" fontId="31" fillId="3" borderId="10" xfId="0" applyNumberFormat="1" applyFont="1" applyFill="1" applyBorder="1" applyAlignment="1">
      <alignment horizontal="right"/>
    </xf>
    <xf numFmtId="4" fontId="31" fillId="3" borderId="0" xfId="0" applyNumberFormat="1" applyFont="1" applyFill="1" applyAlignment="1">
      <alignment horizontal="right"/>
    </xf>
    <xf numFmtId="0" fontId="41" fillId="0" borderId="0" xfId="0" applyFont="1"/>
    <xf numFmtId="16" fontId="51" fillId="3" borderId="0" xfId="0" applyNumberFormat="1" applyFont="1" applyFill="1"/>
    <xf numFmtId="164" fontId="52" fillId="0" borderId="0" xfId="1" applyFont="1"/>
    <xf numFmtId="16" fontId="30" fillId="3" borderId="5" xfId="0" applyNumberFormat="1" applyFont="1" applyFill="1" applyBorder="1" applyAlignment="1">
      <alignment wrapText="1"/>
    </xf>
    <xf numFmtId="0" fontId="30" fillId="0" borderId="5" xfId="0" applyFont="1" applyBorder="1" applyAlignment="1">
      <alignment horizontal="right" wrapText="1"/>
    </xf>
    <xf numFmtId="16" fontId="30" fillId="3" borderId="0" xfId="0" applyNumberFormat="1" applyFont="1" applyFill="1"/>
    <xf numFmtId="0" fontId="50" fillId="0" borderId="0" xfId="0" applyFont="1" applyAlignment="1">
      <alignment horizontal="right"/>
    </xf>
    <xf numFmtId="164" fontId="18" fillId="0" borderId="0" xfId="1" applyFont="1"/>
  </cellXfs>
  <cellStyles count="59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February 23,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28.1923215617546</c:v>
                </c:pt>
                <c:pt idx="1">
                  <c:v>949.382861578855</c:v>
                </c:pt>
                <c:pt idx="2">
                  <c:v>281.78056618014597</c:v>
                </c:pt>
                <c:pt idx="3">
                  <c:v>1354.2992159068799</c:v>
                </c:pt>
                <c:pt idx="4">
                  <c:v>99.722351454056707</c:v>
                </c:pt>
                <c:pt idx="5" formatCode="_-* #,##0.00_-;\-* #,##0.00_-;_-* &quot;-&quot;??_-;_-@_-">
                  <c:v>49.9432895696497</c:v>
                </c:pt>
                <c:pt idx="6">
                  <c:v>5.2573854849700004</c:v>
                </c:pt>
                <c:pt idx="7">
                  <c:v>49.520617624730797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March 1,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27.345380292450002</c:v>
                </c:pt>
                <c:pt idx="1">
                  <c:v>959.41974092782493</c:v>
                </c:pt>
                <c:pt idx="2">
                  <c:v>282.27467229184998</c:v>
                </c:pt>
                <c:pt idx="3">
                  <c:v>1370.5138625243701</c:v>
                </c:pt>
                <c:pt idx="4">
                  <c:v>99.747815398121404</c:v>
                </c:pt>
                <c:pt idx="5" formatCode="_-* #,##0.00_-;\-* #,##0.00_-;_-* &quot;-&quot;??_-;_-@_-">
                  <c:v>48.445217858992102</c:v>
                </c:pt>
                <c:pt idx="6">
                  <c:v>5.11240037562</c:v>
                </c:pt>
                <c:pt idx="7">
                  <c:v>49.2678262922499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1ST MARCH,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1-Mar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5112400375.6199999</c:v>
                </c:pt>
                <c:pt idx="1">
                  <c:v>27345380292.449997</c:v>
                </c:pt>
                <c:pt idx="2" formatCode="_-* #,##0.00_-;\-* #,##0.00_-;_-* &quot;-&quot;??_-;_-@_-">
                  <c:v>48445217858.992096</c:v>
                </c:pt>
                <c:pt idx="3">
                  <c:v>49267826292.249893</c:v>
                </c:pt>
                <c:pt idx="4">
                  <c:v>99747815398.121429</c:v>
                </c:pt>
                <c:pt idx="5">
                  <c:v>282274672291.84991</c:v>
                </c:pt>
                <c:pt idx="6">
                  <c:v>959419740927.82495</c:v>
                </c:pt>
                <c:pt idx="7">
                  <c:v>1370513862524.3679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Movement'!$B$2:$I$2</c:f>
              <c:numCache>
                <c:formatCode>d\-mmm</c:formatCode>
                <c:ptCount val="8"/>
                <c:pt idx="0">
                  <c:v>45303</c:v>
                </c:pt>
                <c:pt idx="1">
                  <c:v>45310</c:v>
                </c:pt>
                <c:pt idx="2">
                  <c:v>45317</c:v>
                </c:pt>
                <c:pt idx="3">
                  <c:v>45324</c:v>
                </c:pt>
                <c:pt idx="4">
                  <c:v>45331</c:v>
                </c:pt>
                <c:pt idx="5">
                  <c:v>45338</c:v>
                </c:pt>
                <c:pt idx="6">
                  <c:v>45345</c:v>
                </c:pt>
                <c:pt idx="7">
                  <c:v>45352</c:v>
                </c:pt>
              </c:numCache>
            </c:numRef>
          </c:cat>
          <c:val>
            <c:numRef>
              <c:f>'NAV Movement'!$B$3:$I$3</c:f>
              <c:numCache>
                <c:formatCode>_-* #,##0.00_-;\-* #,##0.00_-;_-* "-"??_-;_-@_-</c:formatCode>
                <c:ptCount val="8"/>
                <c:pt idx="0">
                  <c:v>2218.2047771558</c:v>
                </c:pt>
                <c:pt idx="1">
                  <c:v>2215.4714039116297</c:v>
                </c:pt>
                <c:pt idx="2">
                  <c:v>2278.1721966806804</c:v>
                </c:pt>
                <c:pt idx="3">
                  <c:v>2700.5588140210298</c:v>
                </c:pt>
                <c:pt idx="4">
                  <c:v>2722.5323614454901</c:v>
                </c:pt>
                <c:pt idx="5">
                  <c:v>2804.0140317422201</c:v>
                </c:pt>
                <c:pt idx="6">
                  <c:v>2818.09860936104</c:v>
                </c:pt>
                <c:pt idx="7">
                  <c:v>2842.1269159614799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396240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8"/>
  <sheetViews>
    <sheetView tabSelected="1" zoomScaleNormal="100" workbookViewId="0">
      <pane ySplit="3" topLeftCell="A4" activePane="bottomLeft" state="frozen"/>
      <selection activeCell="P12" sqref="P12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35" t="s">
        <v>263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8"/>
    </row>
    <row r="2" spans="1:25" ht="15" customHeight="1">
      <c r="A2" s="1"/>
      <c r="B2" s="1"/>
      <c r="C2" s="1"/>
      <c r="D2" s="141" t="s">
        <v>260</v>
      </c>
      <c r="E2" s="142"/>
      <c r="F2" s="142"/>
      <c r="G2" s="142"/>
      <c r="H2" s="142"/>
      <c r="I2" s="142"/>
      <c r="J2" s="143"/>
      <c r="K2" s="141" t="s">
        <v>264</v>
      </c>
      <c r="L2" s="142"/>
      <c r="M2" s="142"/>
      <c r="N2" s="142"/>
      <c r="O2" s="142"/>
      <c r="P2" s="142"/>
      <c r="Q2" s="143"/>
      <c r="R2" s="141" t="s">
        <v>0</v>
      </c>
      <c r="S2" s="142"/>
      <c r="T2" s="143"/>
      <c r="U2" s="139" t="s">
        <v>1</v>
      </c>
      <c r="V2" s="139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</row>
    <row r="5" spans="1:25" ht="15" customHeight="1">
      <c r="A5" s="132" t="s">
        <v>15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25">
      <c r="A6" s="75">
        <v>1</v>
      </c>
      <c r="B6" s="125" t="s">
        <v>16</v>
      </c>
      <c r="C6" s="126" t="s">
        <v>17</v>
      </c>
      <c r="D6" s="2">
        <v>1257197223.5899999</v>
      </c>
      <c r="E6" s="3">
        <f t="shared" ref="E6:E21" si="0">(D6/$D$22)</f>
        <v>4.4593604000867391E-2</v>
      </c>
      <c r="F6" s="8">
        <v>350.26389999999998</v>
      </c>
      <c r="G6" s="8">
        <v>350.26389999999998</v>
      </c>
      <c r="H6" s="60">
        <v>1731</v>
      </c>
      <c r="I6" s="5">
        <v>2.1600000000000001E-2</v>
      </c>
      <c r="J6" s="5">
        <v>0.1303</v>
      </c>
      <c r="K6" s="2">
        <v>1205608278.1800001</v>
      </c>
      <c r="L6" s="3">
        <f>(K6/$K$22)</f>
        <v>4.4088188399152232E-2</v>
      </c>
      <c r="M6" s="8">
        <v>338.40870000000001</v>
      </c>
      <c r="N6" s="8">
        <v>338.40870000000001</v>
      </c>
      <c r="O6" s="60">
        <v>1731</v>
      </c>
      <c r="P6" s="5">
        <v>-3.3799999999999997E-2</v>
      </c>
      <c r="Q6" s="5">
        <v>9.2100000000000001E-2</v>
      </c>
      <c r="R6" s="80">
        <f>((K6-D6)/D6)</f>
        <v>-4.1034886525349305E-2</v>
      </c>
      <c r="S6" s="80">
        <f>((N6-G6)/G6)</f>
        <v>-3.3846479754265198E-2</v>
      </c>
      <c r="T6" s="80">
        <f>((O6-H6)/H6)</f>
        <v>0</v>
      </c>
      <c r="U6" s="81">
        <f>P6-I6</f>
        <v>-5.5399999999999998E-2</v>
      </c>
      <c r="V6" s="83">
        <f>Q6-J6</f>
        <v>-3.8199999999999998E-2</v>
      </c>
    </row>
    <row r="7" spans="1:25">
      <c r="A7" s="75">
        <v>2</v>
      </c>
      <c r="B7" s="125" t="s">
        <v>18</v>
      </c>
      <c r="C7" s="126" t="s">
        <v>19</v>
      </c>
      <c r="D7" s="4">
        <v>620666292.78999996</v>
      </c>
      <c r="E7" s="3">
        <f t="shared" si="0"/>
        <v>2.2015437481104398E-2</v>
      </c>
      <c r="F7" s="4">
        <v>227.3092</v>
      </c>
      <c r="G7" s="4">
        <v>229.77950000000001</v>
      </c>
      <c r="H7" s="60">
        <v>385</v>
      </c>
      <c r="I7" s="5">
        <v>8.9599999999999999E-4</v>
      </c>
      <c r="J7" s="5">
        <v>0.17499999999999999</v>
      </c>
      <c r="K7" s="4">
        <v>604494154.22000003</v>
      </c>
      <c r="L7" s="3">
        <f t="shared" ref="L7:L21" si="1">(K7/$K$22)</f>
        <v>2.2105896782386298E-2</v>
      </c>
      <c r="M7" s="4">
        <v>221.4076</v>
      </c>
      <c r="N7" s="4">
        <v>223.8135</v>
      </c>
      <c r="O7" s="60">
        <v>385</v>
      </c>
      <c r="P7" s="5">
        <v>-5.5199999999999997E-4</v>
      </c>
      <c r="Q7" s="5">
        <v>0.14449999999999999</v>
      </c>
      <c r="R7" s="80">
        <f t="shared" ref="R7:R22" si="2">((K7-D7)/D7)</f>
        <v>-2.6056092876098419E-2</v>
      </c>
      <c r="S7" s="80">
        <f t="shared" ref="S7:S22" si="3">((N7-G7)/G7)</f>
        <v>-2.5964022029815573E-2</v>
      </c>
      <c r="T7" s="80">
        <f t="shared" ref="T7:T22" si="4">((O7-H7)/H7)</f>
        <v>0</v>
      </c>
      <c r="U7" s="81">
        <f t="shared" ref="U7:U22" si="5">P7-I7</f>
        <v>-1.4480000000000001E-3</v>
      </c>
      <c r="V7" s="83">
        <f t="shared" ref="V7:V22" si="6">Q7-J7</f>
        <v>-3.0499999999999999E-2</v>
      </c>
    </row>
    <row r="8" spans="1:25">
      <c r="A8" s="75">
        <v>3</v>
      </c>
      <c r="B8" s="125" t="s">
        <v>20</v>
      </c>
      <c r="C8" s="126" t="s">
        <v>21</v>
      </c>
      <c r="D8" s="4">
        <v>4085480564.6500001</v>
      </c>
      <c r="E8" s="3">
        <f t="shared" si="0"/>
        <v>0.14491465542136547</v>
      </c>
      <c r="F8" s="4">
        <v>37.511400000000002</v>
      </c>
      <c r="G8" s="4">
        <v>38.642400000000002</v>
      </c>
      <c r="H8" s="62">
        <v>6377</v>
      </c>
      <c r="I8" s="6">
        <v>-2.2467000000000001</v>
      </c>
      <c r="J8" s="6">
        <v>1.5447</v>
      </c>
      <c r="K8" s="4">
        <v>3911495046.5300002</v>
      </c>
      <c r="L8" s="3">
        <f t="shared" si="1"/>
        <v>0.1430404333272321</v>
      </c>
      <c r="M8" s="4">
        <v>36.610900000000001</v>
      </c>
      <c r="N8" s="4">
        <v>37.714799999999997</v>
      </c>
      <c r="O8" s="62">
        <v>6382</v>
      </c>
      <c r="P8" s="6">
        <v>1.1906000000000001</v>
      </c>
      <c r="Q8" s="6">
        <v>-1.2551000000000001</v>
      </c>
      <c r="R8" s="80">
        <f t="shared" si="2"/>
        <v>-4.2586304197705829E-2</v>
      </c>
      <c r="S8" s="80">
        <f t="shared" si="3"/>
        <v>-2.4004720203714192E-2</v>
      </c>
      <c r="T8" s="80">
        <f t="shared" si="4"/>
        <v>7.8406774345303432E-4</v>
      </c>
      <c r="U8" s="81">
        <f t="shared" si="5"/>
        <v>3.4373000000000005</v>
      </c>
      <c r="V8" s="83">
        <f t="shared" si="6"/>
        <v>-2.7998000000000003</v>
      </c>
      <c r="X8" s="102"/>
      <c r="Y8" s="102"/>
    </row>
    <row r="9" spans="1:25">
      <c r="A9" s="75">
        <v>4</v>
      </c>
      <c r="B9" s="125" t="s">
        <v>22</v>
      </c>
      <c r="C9" s="126" t="s">
        <v>23</v>
      </c>
      <c r="D9" s="4">
        <v>774285281.07000005</v>
      </c>
      <c r="E9" s="3">
        <f t="shared" si="0"/>
        <v>2.7464403006823925E-2</v>
      </c>
      <c r="F9" s="4">
        <v>240.53</v>
      </c>
      <c r="G9" s="4">
        <v>240.53</v>
      </c>
      <c r="H9" s="60">
        <v>1774</v>
      </c>
      <c r="I9" s="5">
        <v>-2.5499999999999998E-2</v>
      </c>
      <c r="J9" s="5">
        <v>0.18049999999999999</v>
      </c>
      <c r="K9" s="4">
        <v>717262387.99000001</v>
      </c>
      <c r="L9" s="3">
        <f t="shared" si="1"/>
        <v>2.6229746316164222E-2</v>
      </c>
      <c r="M9" s="4">
        <v>228.85</v>
      </c>
      <c r="N9" s="4">
        <v>228.85</v>
      </c>
      <c r="O9" s="60">
        <v>1769</v>
      </c>
      <c r="P9" s="5">
        <v>-4.8500000000000001E-2</v>
      </c>
      <c r="Q9" s="5">
        <v>0.1232</v>
      </c>
      <c r="R9" s="80">
        <f t="shared" si="2"/>
        <v>-7.3645844075970274E-2</v>
      </c>
      <c r="S9" s="80">
        <f t="shared" si="3"/>
        <v>-4.8559431255976414E-2</v>
      </c>
      <c r="T9" s="80">
        <f t="shared" si="4"/>
        <v>-2.8184892897406989E-3</v>
      </c>
      <c r="U9" s="81">
        <f t="shared" si="5"/>
        <v>-2.3000000000000003E-2</v>
      </c>
      <c r="V9" s="83">
        <f t="shared" si="6"/>
        <v>-5.729999999999999E-2</v>
      </c>
    </row>
    <row r="10" spans="1:25">
      <c r="A10" s="75">
        <v>5</v>
      </c>
      <c r="B10" s="125" t="s">
        <v>24</v>
      </c>
      <c r="C10" s="126" t="s">
        <v>25</v>
      </c>
      <c r="D10" s="7">
        <v>98455352.439999998</v>
      </c>
      <c r="E10" s="3">
        <f t="shared" si="0"/>
        <v>3.4922754489847855E-3</v>
      </c>
      <c r="F10" s="4">
        <v>155.90209999999999</v>
      </c>
      <c r="G10" s="4">
        <v>156.40020000000001</v>
      </c>
      <c r="H10" s="62">
        <v>86</v>
      </c>
      <c r="I10" s="6">
        <v>-2.3609999999999999E-2</v>
      </c>
      <c r="J10" s="6">
        <v>0.3412</v>
      </c>
      <c r="K10" s="7">
        <v>98439326.930000007</v>
      </c>
      <c r="L10" s="3">
        <f t="shared" si="1"/>
        <v>3.5998521826071991E-3</v>
      </c>
      <c r="M10" s="4">
        <v>153.74170000000001</v>
      </c>
      <c r="N10" s="4">
        <v>154.1292</v>
      </c>
      <c r="O10" s="62">
        <v>87</v>
      </c>
      <c r="P10" s="6">
        <v>-1.4232E-2</v>
      </c>
      <c r="Q10" s="6">
        <v>0.32819999999999999</v>
      </c>
      <c r="R10" s="80">
        <f t="shared" si="2"/>
        <v>-1.6276931220937554E-4</v>
      </c>
      <c r="S10" s="80">
        <f t="shared" si="3"/>
        <v>-1.4520441789716476E-2</v>
      </c>
      <c r="T10" s="80">
        <f t="shared" si="4"/>
        <v>1.1627906976744186E-2</v>
      </c>
      <c r="U10" s="81">
        <f t="shared" si="5"/>
        <v>9.3779999999999992E-3</v>
      </c>
      <c r="V10" s="83">
        <f t="shared" si="6"/>
        <v>-1.3000000000000012E-2</v>
      </c>
    </row>
    <row r="11" spans="1:25">
      <c r="A11" s="75">
        <v>6</v>
      </c>
      <c r="B11" s="125" t="s">
        <v>26</v>
      </c>
      <c r="C11" s="126" t="s">
        <v>27</v>
      </c>
      <c r="D11" s="4">
        <v>1117190540.04</v>
      </c>
      <c r="E11" s="3">
        <f t="shared" si="0"/>
        <v>3.9627475786015741E-2</v>
      </c>
      <c r="F11" s="4">
        <v>264.54000000000002</v>
      </c>
      <c r="G11" s="4">
        <v>268.14999999999998</v>
      </c>
      <c r="H11" s="62">
        <v>1618</v>
      </c>
      <c r="I11" s="6">
        <v>-4.4600000000000001E-2</v>
      </c>
      <c r="J11" s="6">
        <v>6.3799999999999996E-2</v>
      </c>
      <c r="K11" s="4">
        <v>1062359912.67</v>
      </c>
      <c r="L11" s="3">
        <f t="shared" si="1"/>
        <v>3.8849703361533261E-2</v>
      </c>
      <c r="M11" s="4">
        <v>258.92</v>
      </c>
      <c r="N11" s="4">
        <v>262.51</v>
      </c>
      <c r="O11" s="62">
        <v>1620</v>
      </c>
      <c r="P11" s="6">
        <v>-2.12E-2</v>
      </c>
      <c r="Q11" s="6">
        <v>4.1200000000000001E-2</v>
      </c>
      <c r="R11" s="80">
        <f t="shared" si="2"/>
        <v>-4.9079029408928616E-2</v>
      </c>
      <c r="S11" s="80">
        <f t="shared" si="3"/>
        <v>-2.1033003915718766E-2</v>
      </c>
      <c r="T11" s="80">
        <f t="shared" si="4"/>
        <v>1.2360939431396785E-3</v>
      </c>
      <c r="U11" s="81">
        <f t="shared" si="5"/>
        <v>2.3400000000000001E-2</v>
      </c>
      <c r="V11" s="83">
        <f t="shared" si="6"/>
        <v>-2.2599999999999995E-2</v>
      </c>
    </row>
    <row r="12" spans="1:25">
      <c r="A12" s="75">
        <v>7</v>
      </c>
      <c r="B12" s="125" t="s">
        <v>28</v>
      </c>
      <c r="C12" s="126" t="s">
        <v>29</v>
      </c>
      <c r="D12" s="2">
        <v>320379940.85000002</v>
      </c>
      <c r="E12" s="3">
        <f t="shared" si="0"/>
        <v>1.1364085080691758E-2</v>
      </c>
      <c r="F12" s="4">
        <v>161.15</v>
      </c>
      <c r="G12" s="4">
        <v>163.83000000000001</v>
      </c>
      <c r="H12" s="60">
        <v>2379</v>
      </c>
      <c r="I12" s="5">
        <v>-1.4614E-2</v>
      </c>
      <c r="J12" s="5">
        <v>-3.9570000000000001E-2</v>
      </c>
      <c r="K12" s="2">
        <v>317037897.69</v>
      </c>
      <c r="L12" s="3">
        <f t="shared" si="1"/>
        <v>1.1593837580585175E-2</v>
      </c>
      <c r="M12" s="4">
        <v>159.47</v>
      </c>
      <c r="N12" s="4">
        <v>162.07</v>
      </c>
      <c r="O12" s="60">
        <v>2379</v>
      </c>
      <c r="P12" s="5">
        <v>-1.042E-2</v>
      </c>
      <c r="Q12" s="5">
        <v>-4.9584999999999997E-2</v>
      </c>
      <c r="R12" s="80">
        <f t="shared" si="2"/>
        <v>-1.0431499397662823E-2</v>
      </c>
      <c r="S12" s="80">
        <f t="shared" si="3"/>
        <v>-1.0742843191112857E-2</v>
      </c>
      <c r="T12" s="80">
        <f t="shared" si="4"/>
        <v>0</v>
      </c>
      <c r="U12" s="81">
        <f t="shared" si="5"/>
        <v>4.1939999999999998E-3</v>
      </c>
      <c r="V12" s="83">
        <f t="shared" si="6"/>
        <v>-1.0014999999999996E-2</v>
      </c>
    </row>
    <row r="13" spans="1:25">
      <c r="A13" s="75">
        <v>8</v>
      </c>
      <c r="B13" s="125" t="s">
        <v>30</v>
      </c>
      <c r="C13" s="126" t="s">
        <v>31</v>
      </c>
      <c r="D13" s="7">
        <v>51533087.700000003</v>
      </c>
      <c r="E13" s="3">
        <f t="shared" si="0"/>
        <v>1.8279121705929047E-3</v>
      </c>
      <c r="F13" s="4">
        <v>198.48</v>
      </c>
      <c r="G13" s="4">
        <v>205.5</v>
      </c>
      <c r="H13" s="60">
        <v>7</v>
      </c>
      <c r="I13" s="5">
        <v>-6.1400000000000003E-2</v>
      </c>
      <c r="J13" s="5">
        <v>-6.2600000000000003E-2</v>
      </c>
      <c r="K13" s="7">
        <v>40753369.060000002</v>
      </c>
      <c r="L13" s="3">
        <f t="shared" si="1"/>
        <v>1.4903200695750398E-3</v>
      </c>
      <c r="M13" s="4">
        <v>147.4</v>
      </c>
      <c r="N13" s="4">
        <v>152.47999999999999</v>
      </c>
      <c r="O13" s="60">
        <v>7</v>
      </c>
      <c r="P13" s="5">
        <v>-0.2092</v>
      </c>
      <c r="Q13" s="5">
        <v>-0.25769999999999998</v>
      </c>
      <c r="R13" s="80">
        <f t="shared" si="2"/>
        <v>-0.20918053082233612</v>
      </c>
      <c r="S13" s="80">
        <f t="shared" si="3"/>
        <v>-0.2580048661800487</v>
      </c>
      <c r="T13" s="80">
        <f t="shared" si="4"/>
        <v>0</v>
      </c>
      <c r="U13" s="81">
        <f t="shared" si="5"/>
        <v>-0.14779999999999999</v>
      </c>
      <c r="V13" s="83">
        <f t="shared" si="6"/>
        <v>-0.1951</v>
      </c>
    </row>
    <row r="14" spans="1:25" ht="14.25" customHeight="1">
      <c r="A14" s="75">
        <v>9</v>
      </c>
      <c r="B14" s="125" t="s">
        <v>238</v>
      </c>
      <c r="C14" s="126" t="s">
        <v>32</v>
      </c>
      <c r="D14" s="2">
        <v>501373546.4346</v>
      </c>
      <c r="E14" s="3">
        <f t="shared" si="0"/>
        <v>1.7784046104055436E-2</v>
      </c>
      <c r="F14" s="4">
        <v>1.6162000000000001</v>
      </c>
      <c r="G14" s="4">
        <v>1.6688000000000001</v>
      </c>
      <c r="H14" s="60">
        <v>436</v>
      </c>
      <c r="I14" s="5">
        <v>-2.1789129645321315E-2</v>
      </c>
      <c r="J14" s="5">
        <v>-4.6320882752109549E-2</v>
      </c>
      <c r="K14" s="2">
        <v>451509996.52999997</v>
      </c>
      <c r="L14" s="3">
        <f t="shared" si="1"/>
        <v>1.6511381143770779E-2</v>
      </c>
      <c r="M14" s="4">
        <v>1.4520999999999999</v>
      </c>
      <c r="N14" s="4">
        <v>1.5005999999999999</v>
      </c>
      <c r="O14" s="60">
        <v>435</v>
      </c>
      <c r="P14" s="5">
        <v>-0.10153446355649065</v>
      </c>
      <c r="Q14" s="5">
        <v>-0.14315218032690158</v>
      </c>
      <c r="R14" s="80">
        <f t="shared" si="2"/>
        <v>-9.9453890735147335E-2</v>
      </c>
      <c r="S14" s="80">
        <f t="shared" si="3"/>
        <v>-0.10079098753595406</v>
      </c>
      <c r="T14" s="80">
        <f t="shared" si="4"/>
        <v>-2.2935779816513763E-3</v>
      </c>
      <c r="U14" s="81">
        <f t="shared" si="5"/>
        <v>-7.9745333911169336E-2</v>
      </c>
      <c r="V14" s="83">
        <f t="shared" si="6"/>
        <v>-9.683129757479203E-2</v>
      </c>
    </row>
    <row r="15" spans="1:25">
      <c r="A15" s="75">
        <v>10</v>
      </c>
      <c r="B15" s="125" t="s">
        <v>33</v>
      </c>
      <c r="C15" s="126" t="s">
        <v>34</v>
      </c>
      <c r="D15" s="2">
        <v>1617008706.1500001</v>
      </c>
      <c r="E15" s="3">
        <f t="shared" si="0"/>
        <v>5.7356351537349685E-2</v>
      </c>
      <c r="F15" s="4">
        <v>3.26</v>
      </c>
      <c r="G15" s="4">
        <v>3.32</v>
      </c>
      <c r="H15" s="60">
        <v>3668</v>
      </c>
      <c r="I15" s="5">
        <v>-5.0599999999999999E-2</v>
      </c>
      <c r="J15" s="5">
        <v>0.17580000000000001</v>
      </c>
      <c r="K15" s="2">
        <v>1617008706.1500001</v>
      </c>
      <c r="L15" s="3">
        <f t="shared" si="1"/>
        <v>5.9132792773646407E-2</v>
      </c>
      <c r="M15" s="4">
        <v>3.14</v>
      </c>
      <c r="N15" s="4">
        <v>3.19</v>
      </c>
      <c r="O15" s="60">
        <v>3668</v>
      </c>
      <c r="P15" s="5">
        <v>-4.7E-2</v>
      </c>
      <c r="Q15" s="5">
        <v>0.13039999999999999</v>
      </c>
      <c r="R15" s="80">
        <f t="shared" si="2"/>
        <v>0</v>
      </c>
      <c r="S15" s="80">
        <f t="shared" si="3"/>
        <v>-3.9156626506024063E-2</v>
      </c>
      <c r="T15" s="80">
        <f t="shared" si="4"/>
        <v>0</v>
      </c>
      <c r="U15" s="81">
        <f t="shared" si="5"/>
        <v>3.599999999999999E-3</v>
      </c>
      <c r="V15" s="83">
        <f t="shared" si="6"/>
        <v>-4.5400000000000024E-2</v>
      </c>
    </row>
    <row r="16" spans="1:25">
      <c r="A16" s="75">
        <v>11</v>
      </c>
      <c r="B16" s="125" t="s">
        <v>35</v>
      </c>
      <c r="C16" s="126" t="s">
        <v>36</v>
      </c>
      <c r="D16" s="4">
        <v>648021137.63999999</v>
      </c>
      <c r="E16" s="3">
        <f t="shared" si="0"/>
        <v>2.2985731636911325E-2</v>
      </c>
      <c r="F16" s="4">
        <v>19.143170000000001</v>
      </c>
      <c r="G16" s="4">
        <v>19.326777</v>
      </c>
      <c r="H16" s="60">
        <v>326</v>
      </c>
      <c r="I16" s="5">
        <v>-4.6222450656911329E-2</v>
      </c>
      <c r="J16" s="5">
        <v>4.2674320684077172E-2</v>
      </c>
      <c r="K16" s="4">
        <v>611529487.30999994</v>
      </c>
      <c r="L16" s="3">
        <f t="shared" si="1"/>
        <v>2.2363173624571679E-2</v>
      </c>
      <c r="M16" s="4">
        <v>18.359683</v>
      </c>
      <c r="N16" s="4">
        <v>18.52732</v>
      </c>
      <c r="O16" s="60">
        <v>324</v>
      </c>
      <c r="P16" s="5">
        <v>-4.0927756479203881E-2</v>
      </c>
      <c r="Q16" s="5">
        <v>0</v>
      </c>
      <c r="R16" s="80">
        <f t="shared" si="2"/>
        <v>-5.6312438299308258E-2</v>
      </c>
      <c r="S16" s="80">
        <f t="shared" si="3"/>
        <v>-4.136525195070033E-2</v>
      </c>
      <c r="T16" s="80">
        <f t="shared" si="4"/>
        <v>-6.1349693251533744E-3</v>
      </c>
      <c r="U16" s="81">
        <f t="shared" si="5"/>
        <v>5.2946941777074485E-3</v>
      </c>
      <c r="V16" s="83">
        <f t="shared" si="6"/>
        <v>-4.2674320684077172E-2</v>
      </c>
    </row>
    <row r="17" spans="1:22">
      <c r="A17" s="75">
        <v>12</v>
      </c>
      <c r="B17" s="125" t="s">
        <v>37</v>
      </c>
      <c r="C17" s="126" t="s">
        <v>38</v>
      </c>
      <c r="D17" s="4">
        <v>340820033.80000001</v>
      </c>
      <c r="E17" s="3">
        <f t="shared" si="0"/>
        <v>1.2089108484856132E-2</v>
      </c>
      <c r="F17" s="4">
        <v>2.455463</v>
      </c>
      <c r="G17" s="4">
        <v>2.4873729999999998</v>
      </c>
      <c r="H17" s="60">
        <v>18</v>
      </c>
      <c r="I17" s="5">
        <v>-3.6700000000000003E-2</v>
      </c>
      <c r="J17" s="5">
        <v>0.13850000000000001</v>
      </c>
      <c r="K17" s="4">
        <v>331461439.70999998</v>
      </c>
      <c r="L17" s="3">
        <f t="shared" si="1"/>
        <v>1.2121295669145103E-2</v>
      </c>
      <c r="M17" s="4">
        <v>2.3880340000000002</v>
      </c>
      <c r="N17" s="4">
        <v>2.4207860000000001</v>
      </c>
      <c r="O17" s="60">
        <v>20</v>
      </c>
      <c r="P17" s="5">
        <v>-2.7900000000000001E-2</v>
      </c>
      <c r="Q17" s="5">
        <v>0.1077</v>
      </c>
      <c r="R17" s="80">
        <f t="shared" si="2"/>
        <v>-2.7459049239728212E-2</v>
      </c>
      <c r="S17" s="80">
        <f t="shared" si="3"/>
        <v>-2.6770009966337872E-2</v>
      </c>
      <c r="T17" s="80">
        <f t="shared" si="4"/>
        <v>0.1111111111111111</v>
      </c>
      <c r="U17" s="81">
        <f t="shared" si="5"/>
        <v>8.8000000000000023E-3</v>
      </c>
      <c r="V17" s="83">
        <f t="shared" si="6"/>
        <v>-3.0800000000000008E-2</v>
      </c>
    </row>
    <row r="18" spans="1:22">
      <c r="A18" s="75">
        <v>13</v>
      </c>
      <c r="B18" s="125" t="s">
        <v>39</v>
      </c>
      <c r="C18" s="126" t="s">
        <v>40</v>
      </c>
      <c r="D18" s="2">
        <v>1176621118.3</v>
      </c>
      <c r="E18" s="3">
        <f t="shared" si="0"/>
        <v>4.1735517088319234E-2</v>
      </c>
      <c r="F18" s="4">
        <v>26.21</v>
      </c>
      <c r="G18" s="4">
        <v>26.81</v>
      </c>
      <c r="H18" s="60">
        <v>8834</v>
      </c>
      <c r="I18" s="5">
        <v>-3.4000000000000002E-2</v>
      </c>
      <c r="J18" s="5">
        <v>4.2999999999999997E-2</v>
      </c>
      <c r="K18" s="2">
        <v>1127949729.3199999</v>
      </c>
      <c r="L18" s="3">
        <f t="shared" si="1"/>
        <v>4.1248273648307042E-2</v>
      </c>
      <c r="M18" s="4">
        <v>25.13</v>
      </c>
      <c r="N18" s="4">
        <v>25.71</v>
      </c>
      <c r="O18" s="60">
        <v>8834</v>
      </c>
      <c r="P18" s="5">
        <v>-4.1300000000000003E-2</v>
      </c>
      <c r="Q18" s="5">
        <v>0</v>
      </c>
      <c r="R18" s="80">
        <f t="shared" si="2"/>
        <v>-4.1365387908659318E-2</v>
      </c>
      <c r="S18" s="80">
        <f t="shared" si="3"/>
        <v>-4.10294666169339E-2</v>
      </c>
      <c r="T18" s="80">
        <f t="shared" si="4"/>
        <v>0</v>
      </c>
      <c r="U18" s="81">
        <f t="shared" si="5"/>
        <v>-7.3000000000000009E-3</v>
      </c>
      <c r="V18" s="83">
        <f t="shared" si="6"/>
        <v>-4.2999999999999997E-2</v>
      </c>
    </row>
    <row r="19" spans="1:22" ht="12.75" customHeight="1">
      <c r="A19" s="75">
        <v>14</v>
      </c>
      <c r="B19" s="125" t="s">
        <v>41</v>
      </c>
      <c r="C19" s="126" t="s">
        <v>42</v>
      </c>
      <c r="D19" s="2">
        <v>579653508.25</v>
      </c>
      <c r="E19" s="3">
        <f t="shared" si="0"/>
        <v>2.0560687312688421E-2</v>
      </c>
      <c r="F19" s="4">
        <v>5751.78</v>
      </c>
      <c r="G19" s="4">
        <v>5824.95</v>
      </c>
      <c r="H19" s="60">
        <v>21</v>
      </c>
      <c r="I19" s="5">
        <v>-4.2299999999999997E-2</v>
      </c>
      <c r="J19" s="5">
        <v>6.93E-2</v>
      </c>
      <c r="K19" s="2">
        <v>575596087.13</v>
      </c>
      <c r="L19" s="3">
        <f t="shared" si="1"/>
        <v>2.1049116193455203E-2</v>
      </c>
      <c r="M19" s="4">
        <v>5711.67</v>
      </c>
      <c r="N19" s="4">
        <v>5784.08</v>
      </c>
      <c r="O19" s="60">
        <v>21</v>
      </c>
      <c r="P19" s="5">
        <v>-7.0000000000000001E-3</v>
      </c>
      <c r="Q19" s="5">
        <v>6.1800000000000001E-2</v>
      </c>
      <c r="R19" s="80">
        <f t="shared" si="2"/>
        <v>-6.9997352940199421E-3</v>
      </c>
      <c r="S19" s="80">
        <f t="shared" si="3"/>
        <v>-7.0163692392209188E-3</v>
      </c>
      <c r="T19" s="80">
        <f t="shared" si="4"/>
        <v>0</v>
      </c>
      <c r="U19" s="81">
        <f t="shared" si="5"/>
        <v>3.5299999999999998E-2</v>
      </c>
      <c r="V19" s="83">
        <f t="shared" si="6"/>
        <v>-7.4999999999999997E-3</v>
      </c>
    </row>
    <row r="20" spans="1:22">
      <c r="A20" s="75">
        <v>15</v>
      </c>
      <c r="B20" s="125" t="s">
        <v>43</v>
      </c>
      <c r="C20" s="126" t="s">
        <v>42</v>
      </c>
      <c r="D20" s="4">
        <v>11708551424.790001</v>
      </c>
      <c r="E20" s="3">
        <f t="shared" si="0"/>
        <v>0.41530994172092928</v>
      </c>
      <c r="F20" s="4">
        <v>19365.759999999998</v>
      </c>
      <c r="G20" s="4">
        <v>19584.73</v>
      </c>
      <c r="H20" s="60">
        <v>17364</v>
      </c>
      <c r="I20" s="5">
        <v>-4.6300000000000001E-2</v>
      </c>
      <c r="J20" s="5">
        <v>6.6500000000000004E-2</v>
      </c>
      <c r="K20" s="4">
        <v>11453953116.52</v>
      </c>
      <c r="L20" s="3">
        <f t="shared" si="1"/>
        <v>0.41886245479213224</v>
      </c>
      <c r="M20" s="4">
        <v>19016.48</v>
      </c>
      <c r="N20" s="4">
        <v>19230.57</v>
      </c>
      <c r="O20" s="60">
        <v>17364</v>
      </c>
      <c r="P20" s="5">
        <v>-1.8100000000000002E-2</v>
      </c>
      <c r="Q20" s="5">
        <v>4.7199999999999999E-2</v>
      </c>
      <c r="R20" s="80">
        <f t="shared" si="2"/>
        <v>-2.1744646202001613E-2</v>
      </c>
      <c r="S20" s="80">
        <f t="shared" si="3"/>
        <v>-1.8083476259310179E-2</v>
      </c>
      <c r="T20" s="80">
        <f t="shared" si="4"/>
        <v>0</v>
      </c>
      <c r="U20" s="81">
        <f t="shared" si="5"/>
        <v>2.8199999999999999E-2</v>
      </c>
      <c r="V20" s="83">
        <f t="shared" si="6"/>
        <v>-1.9300000000000005E-2</v>
      </c>
    </row>
    <row r="21" spans="1:22">
      <c r="A21" s="75">
        <v>16</v>
      </c>
      <c r="B21" s="126" t="s">
        <v>44</v>
      </c>
      <c r="C21" s="126" t="s">
        <v>45</v>
      </c>
      <c r="D21" s="4">
        <v>3295083803.2600002</v>
      </c>
      <c r="E21" s="3">
        <f t="shared" si="0"/>
        <v>0.11687876771844413</v>
      </c>
      <c r="F21" s="4">
        <v>1.5783</v>
      </c>
      <c r="G21" s="8">
        <v>1.5956999999999999</v>
      </c>
      <c r="H21" s="60">
        <v>3666</v>
      </c>
      <c r="I21" s="5">
        <v>-3.8899999999999997E-2</v>
      </c>
      <c r="J21" s="5">
        <v>0.16139999999999999</v>
      </c>
      <c r="K21" s="4">
        <v>3218921356.5100002</v>
      </c>
      <c r="L21" s="3">
        <f t="shared" si="1"/>
        <v>0.11771353413573618</v>
      </c>
      <c r="M21" s="4">
        <v>1.6420999999999999</v>
      </c>
      <c r="N21" s="8">
        <v>1.5419</v>
      </c>
      <c r="O21" s="60">
        <v>3693</v>
      </c>
      <c r="P21" s="5">
        <v>-2.3E-2</v>
      </c>
      <c r="Q21" s="5">
        <v>0.13450000000000001</v>
      </c>
      <c r="R21" s="80">
        <f t="shared" si="2"/>
        <v>-2.3113963497574316E-2</v>
      </c>
      <c r="S21" s="80">
        <f t="shared" si="3"/>
        <v>-3.3715610703766281E-2</v>
      </c>
      <c r="T21" s="80">
        <f t="shared" si="4"/>
        <v>7.3649754500818331E-3</v>
      </c>
      <c r="U21" s="81">
        <f t="shared" si="5"/>
        <v>1.5899999999999997E-2</v>
      </c>
      <c r="V21" s="83">
        <f t="shared" si="6"/>
        <v>-2.6899999999999979E-2</v>
      </c>
    </row>
    <row r="22" spans="1:22">
      <c r="A22" s="75"/>
      <c r="B22" s="19"/>
      <c r="C22" s="71" t="s">
        <v>46</v>
      </c>
      <c r="D22" s="58">
        <f>SUM(D6:D21)</f>
        <v>28192321561.754601</v>
      </c>
      <c r="E22" s="100">
        <f>(D22/$D$183)</f>
        <v>1.000402238165354E-2</v>
      </c>
      <c r="F22" s="30"/>
      <c r="G22" s="31"/>
      <c r="H22" s="65">
        <f>SUM(H6:H21)</f>
        <v>48690</v>
      </c>
      <c r="I22" s="28"/>
      <c r="J22" s="60">
        <v>0</v>
      </c>
      <c r="K22" s="58">
        <f>SUM(K6:K21)</f>
        <v>27345380292.449997</v>
      </c>
      <c r="L22" s="100">
        <f>(K22/$K$183)</f>
        <v>9.621449393718999E-3</v>
      </c>
      <c r="M22" s="30"/>
      <c r="N22" s="31"/>
      <c r="O22" s="65">
        <f>SUM(O6:O21)</f>
        <v>48719</v>
      </c>
      <c r="P22" s="28"/>
      <c r="Q22" s="65"/>
      <c r="R22" s="80">
        <f t="shared" si="2"/>
        <v>-3.0041558211139126E-2</v>
      </c>
      <c r="S22" s="80" t="e">
        <f t="shared" si="3"/>
        <v>#DIV/0!</v>
      </c>
      <c r="T22" s="80">
        <f t="shared" si="4"/>
        <v>5.9560484699116862E-4</v>
      </c>
      <c r="U22" s="81">
        <f t="shared" si="5"/>
        <v>0</v>
      </c>
      <c r="V22" s="83">
        <f t="shared" si="6"/>
        <v>0</v>
      </c>
    </row>
    <row r="23" spans="1:22" ht="9" customHeigh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  <row r="24" spans="1:22" ht="15" customHeight="1">
      <c r="A24" s="132" t="s">
        <v>47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</row>
    <row r="25" spans="1:22">
      <c r="A25" s="75">
        <v>17</v>
      </c>
      <c r="B25" s="125" t="s">
        <v>48</v>
      </c>
      <c r="C25" s="126" t="s">
        <v>17</v>
      </c>
      <c r="D25" s="9">
        <v>880738138.89999998</v>
      </c>
      <c r="E25" s="3">
        <f>(D25/$K$55)</f>
        <v>9.1799042830645273E-4</v>
      </c>
      <c r="F25" s="8">
        <v>100</v>
      </c>
      <c r="G25" s="8">
        <v>100</v>
      </c>
      <c r="H25" s="60">
        <v>756</v>
      </c>
      <c r="I25" s="5">
        <v>0.10290000000000001</v>
      </c>
      <c r="J25" s="5">
        <v>0.10290000000000001</v>
      </c>
      <c r="K25" s="9">
        <v>880860598.24000001</v>
      </c>
      <c r="L25" s="3">
        <f t="shared" ref="L25:L54" si="7">(K25/$K$55)</f>
        <v>9.1811806726860463E-4</v>
      </c>
      <c r="M25" s="8">
        <v>100</v>
      </c>
      <c r="N25" s="8">
        <v>100</v>
      </c>
      <c r="O25" s="60">
        <v>756</v>
      </c>
      <c r="P25" s="5">
        <v>0.10290000000000001</v>
      </c>
      <c r="Q25" s="5">
        <v>0.10290000000000001</v>
      </c>
      <c r="R25" s="80">
        <f>((K25-D25)/D25)</f>
        <v>1.3904171352563347E-4</v>
      </c>
      <c r="S25" s="80">
        <f>((N25-G25)/G25)</f>
        <v>0</v>
      </c>
      <c r="T25" s="80">
        <f>((O25-H25)/H25)</f>
        <v>0</v>
      </c>
      <c r="U25" s="81">
        <f>P25-I25</f>
        <v>0</v>
      </c>
      <c r="V25" s="83">
        <f>Q25-J25</f>
        <v>0</v>
      </c>
    </row>
    <row r="26" spans="1:22">
      <c r="A26" s="75">
        <v>18</v>
      </c>
      <c r="B26" s="125" t="s">
        <v>49</v>
      </c>
      <c r="C26" s="126" t="s">
        <v>50</v>
      </c>
      <c r="D26" s="9">
        <v>5153788096.4300003</v>
      </c>
      <c r="E26" s="3">
        <f t="shared" ref="E26:E54" si="8">(D26/$K$55)</f>
        <v>5.3717761648785049E-3</v>
      </c>
      <c r="F26" s="8">
        <v>100</v>
      </c>
      <c r="G26" s="8">
        <v>100</v>
      </c>
      <c r="H26" s="60">
        <v>1211</v>
      </c>
      <c r="I26" s="5">
        <v>0.13581699999999999</v>
      </c>
      <c r="J26" s="5">
        <v>0.13581699999999999</v>
      </c>
      <c r="K26" s="9">
        <v>5189692110.2700005</v>
      </c>
      <c r="L26" s="3">
        <f t="shared" si="7"/>
        <v>5.4091987989023562E-3</v>
      </c>
      <c r="M26" s="8">
        <v>100</v>
      </c>
      <c r="N26" s="8">
        <v>100</v>
      </c>
      <c r="O26" s="60">
        <v>1245</v>
      </c>
      <c r="P26" s="5">
        <v>3.4E-5</v>
      </c>
      <c r="Q26" s="5">
        <v>9.7439999999999992E-3</v>
      </c>
      <c r="R26" s="80">
        <f t="shared" ref="R26:R55" si="9">((K26-D26)/D26)</f>
        <v>6.9665289236223466E-3</v>
      </c>
      <c r="S26" s="80">
        <f t="shared" ref="S26:S55" si="10">((N26-G26)/G26)</f>
        <v>0</v>
      </c>
      <c r="T26" s="80">
        <f t="shared" ref="T26:T55" si="11">((O26-H26)/H26)</f>
        <v>2.8075970272502065E-2</v>
      </c>
      <c r="U26" s="81">
        <f t="shared" ref="U26:U55" si="12">P26-I26</f>
        <v>-0.13578299999999999</v>
      </c>
      <c r="V26" s="83">
        <f t="shared" ref="V26:V55" si="13">Q26-J26</f>
        <v>-0.12607299999999999</v>
      </c>
    </row>
    <row r="27" spans="1:22">
      <c r="A27" s="75">
        <v>19</v>
      </c>
      <c r="B27" s="125" t="s">
        <v>51</v>
      </c>
      <c r="C27" s="126" t="s">
        <v>19</v>
      </c>
      <c r="D27" s="9">
        <v>317231320.18000001</v>
      </c>
      <c r="E27" s="3">
        <f t="shared" si="8"/>
        <v>3.3064914827916247E-4</v>
      </c>
      <c r="F27" s="8">
        <v>100</v>
      </c>
      <c r="G27" s="8">
        <v>100</v>
      </c>
      <c r="H27" s="60">
        <v>1370</v>
      </c>
      <c r="I27" s="5">
        <v>0.1129</v>
      </c>
      <c r="J27" s="5">
        <v>0.1129</v>
      </c>
      <c r="K27" s="9">
        <v>311946370.06999999</v>
      </c>
      <c r="L27" s="3">
        <f t="shared" si="7"/>
        <v>3.2514066238445997E-4</v>
      </c>
      <c r="M27" s="8">
        <v>100</v>
      </c>
      <c r="N27" s="8">
        <v>100</v>
      </c>
      <c r="O27" s="60">
        <v>1373</v>
      </c>
      <c r="P27" s="5">
        <v>0.1313</v>
      </c>
      <c r="Q27" s="5">
        <v>0.1313</v>
      </c>
      <c r="R27" s="80">
        <f t="shared" si="9"/>
        <v>-1.665961011353256E-2</v>
      </c>
      <c r="S27" s="80">
        <f t="shared" si="10"/>
        <v>0</v>
      </c>
      <c r="T27" s="80">
        <f t="shared" si="11"/>
        <v>2.1897810218978104E-3</v>
      </c>
      <c r="U27" s="81">
        <f t="shared" si="12"/>
        <v>1.84E-2</v>
      </c>
      <c r="V27" s="83">
        <f t="shared" si="13"/>
        <v>1.84E-2</v>
      </c>
    </row>
    <row r="28" spans="1:22">
      <c r="A28" s="75">
        <v>20</v>
      </c>
      <c r="B28" s="125" t="s">
        <v>52</v>
      </c>
      <c r="C28" s="126" t="s">
        <v>21</v>
      </c>
      <c r="D28" s="9">
        <v>84377450498.570007</v>
      </c>
      <c r="E28" s="3">
        <f t="shared" si="8"/>
        <v>8.7946335580891016E-2</v>
      </c>
      <c r="F28" s="8">
        <v>1</v>
      </c>
      <c r="G28" s="8">
        <v>1</v>
      </c>
      <c r="H28" s="60">
        <v>56110</v>
      </c>
      <c r="I28" s="5">
        <v>0.10970000000000001</v>
      </c>
      <c r="J28" s="5">
        <v>0.10970000000000001</v>
      </c>
      <c r="K28" s="9">
        <v>85074285366.389999</v>
      </c>
      <c r="L28" s="3">
        <f t="shared" si="7"/>
        <v>8.8672644242359766E-2</v>
      </c>
      <c r="M28" s="8">
        <v>1</v>
      </c>
      <c r="N28" s="8">
        <v>1</v>
      </c>
      <c r="O28" s="60">
        <v>56261</v>
      </c>
      <c r="P28" s="5">
        <v>0.11509999999999999</v>
      </c>
      <c r="Q28" s="5">
        <v>0.11509999999999999</v>
      </c>
      <c r="R28" s="80">
        <f t="shared" si="9"/>
        <v>8.2585437661665505E-3</v>
      </c>
      <c r="S28" s="80">
        <f t="shared" si="10"/>
        <v>0</v>
      </c>
      <c r="T28" s="80">
        <f t="shared" si="11"/>
        <v>2.6911423988593836E-3</v>
      </c>
      <c r="U28" s="81">
        <f t="shared" si="12"/>
        <v>5.3999999999999881E-3</v>
      </c>
      <c r="V28" s="83">
        <f t="shared" si="13"/>
        <v>5.3999999999999881E-3</v>
      </c>
    </row>
    <row r="29" spans="1:22">
      <c r="A29" s="75">
        <v>21</v>
      </c>
      <c r="B29" s="125" t="s">
        <v>53</v>
      </c>
      <c r="C29" s="126" t="s">
        <v>23</v>
      </c>
      <c r="D29" s="9">
        <v>46933735777.339996</v>
      </c>
      <c r="E29" s="3">
        <f t="shared" si="8"/>
        <v>4.8918876457505284E-2</v>
      </c>
      <c r="F29" s="8">
        <v>1</v>
      </c>
      <c r="G29" s="8">
        <v>1</v>
      </c>
      <c r="H29" s="60">
        <v>26748</v>
      </c>
      <c r="I29" s="5">
        <v>9.5799999999999996E-2</v>
      </c>
      <c r="J29" s="5">
        <v>9.5799999999999996E-2</v>
      </c>
      <c r="K29" s="9">
        <v>49986309926.370003</v>
      </c>
      <c r="L29" s="3">
        <f t="shared" si="7"/>
        <v>5.2100564324463243E-2</v>
      </c>
      <c r="M29" s="8">
        <v>1</v>
      </c>
      <c r="N29" s="8">
        <v>1</v>
      </c>
      <c r="O29" s="60">
        <v>26806</v>
      </c>
      <c r="P29" s="5">
        <v>0.1231</v>
      </c>
      <c r="Q29" s="5">
        <v>0.1231</v>
      </c>
      <c r="R29" s="80">
        <f t="shared" si="9"/>
        <v>6.5040084674099496E-2</v>
      </c>
      <c r="S29" s="80">
        <f t="shared" si="10"/>
        <v>0</v>
      </c>
      <c r="T29" s="80">
        <f t="shared" si="11"/>
        <v>2.1683864214146853E-3</v>
      </c>
      <c r="U29" s="81">
        <f t="shared" si="12"/>
        <v>2.7300000000000005E-2</v>
      </c>
      <c r="V29" s="83">
        <f t="shared" si="13"/>
        <v>2.7300000000000005E-2</v>
      </c>
    </row>
    <row r="30" spans="1:22" ht="15" customHeight="1">
      <c r="A30" s="75">
        <v>22</v>
      </c>
      <c r="B30" s="125" t="s">
        <v>54</v>
      </c>
      <c r="C30" s="126" t="s">
        <v>40</v>
      </c>
      <c r="D30" s="9">
        <v>8604028685.6599998</v>
      </c>
      <c r="E30" s="3">
        <f t="shared" si="8"/>
        <v>8.9679504377711793E-3</v>
      </c>
      <c r="F30" s="8">
        <v>100</v>
      </c>
      <c r="G30" s="8">
        <v>100</v>
      </c>
      <c r="H30" s="60">
        <v>2885</v>
      </c>
      <c r="I30" s="5">
        <v>0.129</v>
      </c>
      <c r="J30" s="5">
        <v>0.129</v>
      </c>
      <c r="K30" s="9">
        <v>8542663857.1400003</v>
      </c>
      <c r="L30" s="3">
        <f t="shared" si="7"/>
        <v>8.9039900814201055E-3</v>
      </c>
      <c r="M30" s="8">
        <v>100</v>
      </c>
      <c r="N30" s="8">
        <v>100</v>
      </c>
      <c r="O30" s="60">
        <v>2881</v>
      </c>
      <c r="P30" s="5">
        <v>0.13400000000000001</v>
      </c>
      <c r="Q30" s="5">
        <v>0.13400000000000001</v>
      </c>
      <c r="R30" s="80">
        <f t="shared" si="9"/>
        <v>-7.1321041295775642E-3</v>
      </c>
      <c r="S30" s="80">
        <f t="shared" si="10"/>
        <v>0</v>
      </c>
      <c r="T30" s="80">
        <f t="shared" si="11"/>
        <v>-1.3864818024263432E-3</v>
      </c>
      <c r="U30" s="81">
        <f t="shared" si="12"/>
        <v>5.0000000000000044E-3</v>
      </c>
      <c r="V30" s="83">
        <f t="shared" si="13"/>
        <v>5.0000000000000044E-3</v>
      </c>
    </row>
    <row r="31" spans="1:22">
      <c r="A31" s="75">
        <v>23</v>
      </c>
      <c r="B31" s="125" t="s">
        <v>55</v>
      </c>
      <c r="C31" s="126" t="s">
        <v>56</v>
      </c>
      <c r="D31" s="9">
        <v>14414330041.32</v>
      </c>
      <c r="E31" s="3">
        <f t="shared" si="8"/>
        <v>1.5024008185802337E-2</v>
      </c>
      <c r="F31" s="8">
        <v>100</v>
      </c>
      <c r="G31" s="8">
        <v>100</v>
      </c>
      <c r="H31" s="60">
        <v>1987</v>
      </c>
      <c r="I31" s="5">
        <v>0.128060870987316</v>
      </c>
      <c r="J31" s="5">
        <v>0.128060870987316</v>
      </c>
      <c r="K31" s="9">
        <v>14967223153.290001</v>
      </c>
      <c r="L31" s="3">
        <f t="shared" si="7"/>
        <v>1.5600286834639931E-2</v>
      </c>
      <c r="M31" s="8">
        <v>100</v>
      </c>
      <c r="N31" s="8">
        <v>100</v>
      </c>
      <c r="O31" s="60">
        <v>2008</v>
      </c>
      <c r="P31" s="5">
        <v>0.12849452769917899</v>
      </c>
      <c r="Q31" s="5">
        <v>0.12849452769917899</v>
      </c>
      <c r="R31" s="80">
        <f t="shared" si="9"/>
        <v>3.835718416222484E-2</v>
      </c>
      <c r="S31" s="80">
        <f t="shared" si="10"/>
        <v>0</v>
      </c>
      <c r="T31" s="80">
        <f t="shared" si="11"/>
        <v>1.0568696527428284E-2</v>
      </c>
      <c r="U31" s="81">
        <f t="shared" si="12"/>
        <v>4.3365671186298971E-4</v>
      </c>
      <c r="V31" s="83">
        <f t="shared" si="13"/>
        <v>4.3365671186298971E-4</v>
      </c>
    </row>
    <row r="32" spans="1:22">
      <c r="A32" s="75">
        <v>24</v>
      </c>
      <c r="B32" s="125" t="s">
        <v>57</v>
      </c>
      <c r="C32" s="126" t="s">
        <v>58</v>
      </c>
      <c r="D32" s="9">
        <v>5711381190.3900003</v>
      </c>
      <c r="E32" s="3">
        <f t="shared" si="8"/>
        <v>5.9529535892879392E-3</v>
      </c>
      <c r="F32" s="8">
        <v>100</v>
      </c>
      <c r="G32" s="8">
        <v>100</v>
      </c>
      <c r="H32" s="60">
        <v>5807</v>
      </c>
      <c r="I32" s="5">
        <v>0.12280000000000001</v>
      </c>
      <c r="J32" s="5">
        <v>0.12280000000000001</v>
      </c>
      <c r="K32" s="9">
        <v>5654579908.3400002</v>
      </c>
      <c r="L32" s="3">
        <f t="shared" si="7"/>
        <v>5.8937498022206963E-3</v>
      </c>
      <c r="M32" s="8">
        <v>100</v>
      </c>
      <c r="N32" s="8">
        <v>100</v>
      </c>
      <c r="O32" s="60">
        <v>5817</v>
      </c>
      <c r="P32" s="5">
        <v>0.12839999999999999</v>
      </c>
      <c r="Q32" s="5">
        <v>0.12839999999999999</v>
      </c>
      <c r="R32" s="80">
        <f t="shared" si="9"/>
        <v>-9.9452794615730294E-3</v>
      </c>
      <c r="S32" s="80">
        <f t="shared" si="10"/>
        <v>0</v>
      </c>
      <c r="T32" s="80">
        <f t="shared" si="11"/>
        <v>1.7220595832615809E-3</v>
      </c>
      <c r="U32" s="81">
        <f t="shared" si="12"/>
        <v>5.59999999999998E-3</v>
      </c>
      <c r="V32" s="83">
        <f t="shared" si="13"/>
        <v>5.59999999999998E-3</v>
      </c>
    </row>
    <row r="33" spans="1:22">
      <c r="A33" s="75">
        <v>25</v>
      </c>
      <c r="B33" s="125" t="s">
        <v>59</v>
      </c>
      <c r="C33" s="126" t="s">
        <v>60</v>
      </c>
      <c r="D33" s="9">
        <v>44514190.369999997</v>
      </c>
      <c r="E33" s="3">
        <f t="shared" si="8"/>
        <v>4.6396992339298449E-5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4.6396992339298449E-5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75">
        <v>26</v>
      </c>
      <c r="B34" s="125" t="s">
        <v>61</v>
      </c>
      <c r="C34" s="126" t="s">
        <v>62</v>
      </c>
      <c r="D34" s="9">
        <v>5463908183.4499998</v>
      </c>
      <c r="E34" s="3">
        <f t="shared" si="8"/>
        <v>5.6950132985235683E-3</v>
      </c>
      <c r="F34" s="8">
        <v>1</v>
      </c>
      <c r="G34" s="8">
        <v>1</v>
      </c>
      <c r="H34" s="60">
        <v>2140</v>
      </c>
      <c r="I34" s="5">
        <v>0.1134</v>
      </c>
      <c r="J34" s="5">
        <v>0.1134</v>
      </c>
      <c r="K34" s="9">
        <v>5441424193.5900002</v>
      </c>
      <c r="L34" s="3">
        <f t="shared" si="7"/>
        <v>5.6715783107899867E-3</v>
      </c>
      <c r="M34" s="8">
        <v>1</v>
      </c>
      <c r="N34" s="8">
        <v>1</v>
      </c>
      <c r="O34" s="60">
        <v>2145</v>
      </c>
      <c r="P34" s="5">
        <v>0.114</v>
      </c>
      <c r="Q34" s="5">
        <v>0.114</v>
      </c>
      <c r="R34" s="80">
        <f t="shared" si="9"/>
        <v>-4.1150014065212386E-3</v>
      </c>
      <c r="S34" s="80">
        <f t="shared" si="10"/>
        <v>0</v>
      </c>
      <c r="T34" s="80">
        <f t="shared" si="11"/>
        <v>2.3364485981308409E-3</v>
      </c>
      <c r="U34" s="81">
        <f t="shared" si="12"/>
        <v>6.0000000000000331E-4</v>
      </c>
      <c r="V34" s="83">
        <f t="shared" si="13"/>
        <v>6.0000000000000331E-4</v>
      </c>
    </row>
    <row r="35" spans="1:22">
      <c r="A35" s="75">
        <v>27</v>
      </c>
      <c r="B35" s="125" t="s">
        <v>63</v>
      </c>
      <c r="C35" s="126" t="s">
        <v>64</v>
      </c>
      <c r="D35" s="9">
        <v>13721082969.17</v>
      </c>
      <c r="E35" s="3">
        <f t="shared" si="8"/>
        <v>1.4301439071808933E-2</v>
      </c>
      <c r="F35" s="11">
        <v>100</v>
      </c>
      <c r="G35" s="11">
        <v>100</v>
      </c>
      <c r="H35" s="60">
        <v>2572</v>
      </c>
      <c r="I35" s="5">
        <v>0.10829999999999999</v>
      </c>
      <c r="J35" s="5">
        <v>0.10829999999999999</v>
      </c>
      <c r="K35" s="9">
        <v>13423993298.559999</v>
      </c>
      <c r="L35" s="3">
        <f t="shared" si="7"/>
        <v>1.3991783497781768E-2</v>
      </c>
      <c r="M35" s="11">
        <v>100</v>
      </c>
      <c r="N35" s="11">
        <v>100</v>
      </c>
      <c r="O35" s="60">
        <v>2617</v>
      </c>
      <c r="P35" s="5">
        <v>0.1105</v>
      </c>
      <c r="Q35" s="5">
        <v>0.1105</v>
      </c>
      <c r="R35" s="80">
        <f t="shared" si="9"/>
        <v>-2.165205700435844E-2</v>
      </c>
      <c r="S35" s="80">
        <f t="shared" si="10"/>
        <v>0</v>
      </c>
      <c r="T35" s="80">
        <f t="shared" si="11"/>
        <v>1.7496111975116642E-2</v>
      </c>
      <c r="U35" s="81">
        <f t="shared" si="12"/>
        <v>2.2000000000000075E-3</v>
      </c>
      <c r="V35" s="83">
        <f t="shared" si="13"/>
        <v>2.2000000000000075E-3</v>
      </c>
    </row>
    <row r="36" spans="1:22">
      <c r="A36" s="75">
        <v>28</v>
      </c>
      <c r="B36" s="125" t="s">
        <v>65</v>
      </c>
      <c r="C36" s="126" t="s">
        <v>64</v>
      </c>
      <c r="D36" s="9">
        <v>1154814922.3499999</v>
      </c>
      <c r="E36" s="3">
        <f t="shared" si="8"/>
        <v>1.2036597467060812E-3</v>
      </c>
      <c r="F36" s="11">
        <v>1000000</v>
      </c>
      <c r="G36" s="11">
        <v>1000000</v>
      </c>
      <c r="H36" s="60">
        <v>6</v>
      </c>
      <c r="I36" s="5">
        <v>0.11550000000000001</v>
      </c>
      <c r="J36" s="5">
        <v>0.11550000000000001</v>
      </c>
      <c r="K36" s="9">
        <v>1157325622.78</v>
      </c>
      <c r="L36" s="3">
        <f t="shared" si="7"/>
        <v>1.2062766414007559E-3</v>
      </c>
      <c r="M36" s="11">
        <v>1000000</v>
      </c>
      <c r="N36" s="11">
        <v>1000000</v>
      </c>
      <c r="O36" s="60">
        <v>6</v>
      </c>
      <c r="P36" s="5">
        <v>0.11550000000000001</v>
      </c>
      <c r="Q36" s="5">
        <v>0.11550000000000001</v>
      </c>
      <c r="R36" s="80">
        <f t="shared" si="9"/>
        <v>2.1741149870932535E-3</v>
      </c>
      <c r="S36" s="80">
        <f t="shared" si="10"/>
        <v>0</v>
      </c>
      <c r="T36" s="80">
        <f t="shared" si="11"/>
        <v>0</v>
      </c>
      <c r="U36" s="81">
        <f t="shared" si="12"/>
        <v>0</v>
      </c>
      <c r="V36" s="83">
        <f t="shared" si="13"/>
        <v>0</v>
      </c>
    </row>
    <row r="37" spans="1:22">
      <c r="A37" s="75">
        <v>29</v>
      </c>
      <c r="B37" s="125" t="s">
        <v>66</v>
      </c>
      <c r="C37" s="126" t="s">
        <v>67</v>
      </c>
      <c r="D37" s="9">
        <v>3659655310.5700002</v>
      </c>
      <c r="E37" s="3">
        <f t="shared" si="8"/>
        <v>3.8144465393539447E-3</v>
      </c>
      <c r="F37" s="8">
        <v>1</v>
      </c>
      <c r="G37" s="8">
        <v>1</v>
      </c>
      <c r="H37" s="60">
        <v>455</v>
      </c>
      <c r="I37" s="5">
        <v>0.14099999999999999</v>
      </c>
      <c r="J37" s="5">
        <v>0.14099999999999999</v>
      </c>
      <c r="K37" s="9">
        <v>3089753423.5999999</v>
      </c>
      <c r="L37" s="3">
        <f t="shared" si="7"/>
        <v>3.2204397009925976E-3</v>
      </c>
      <c r="M37" s="8">
        <v>1</v>
      </c>
      <c r="N37" s="8">
        <v>1</v>
      </c>
      <c r="O37" s="60">
        <v>453</v>
      </c>
      <c r="P37" s="5">
        <v>0.14860000000000001</v>
      </c>
      <c r="Q37" s="5">
        <v>0.14860000000000001</v>
      </c>
      <c r="R37" s="80">
        <f t="shared" si="9"/>
        <v>-0.15572556391417</v>
      </c>
      <c r="S37" s="80">
        <f t="shared" si="10"/>
        <v>0</v>
      </c>
      <c r="T37" s="80">
        <f t="shared" si="11"/>
        <v>-4.3956043956043956E-3</v>
      </c>
      <c r="U37" s="81">
        <f t="shared" si="12"/>
        <v>7.6000000000000234E-3</v>
      </c>
      <c r="V37" s="83">
        <f t="shared" si="13"/>
        <v>7.6000000000000234E-3</v>
      </c>
    </row>
    <row r="38" spans="1:22">
      <c r="A38" s="75">
        <v>30</v>
      </c>
      <c r="B38" s="125" t="s">
        <v>68</v>
      </c>
      <c r="C38" s="126" t="s">
        <v>27</v>
      </c>
      <c r="D38" s="9">
        <v>209463896042.73001</v>
      </c>
      <c r="E38" s="3">
        <f t="shared" si="8"/>
        <v>0.21832352109011641</v>
      </c>
      <c r="F38" s="8">
        <v>100</v>
      </c>
      <c r="G38" s="8">
        <v>100</v>
      </c>
      <c r="H38" s="60">
        <v>15201</v>
      </c>
      <c r="I38" s="5">
        <v>0.13289999999999999</v>
      </c>
      <c r="J38" s="5">
        <v>0.13289999999999999</v>
      </c>
      <c r="K38" s="9">
        <v>209016266006.04001</v>
      </c>
      <c r="L38" s="3">
        <f t="shared" si="7"/>
        <v>0.21785695779399628</v>
      </c>
      <c r="M38" s="8">
        <v>100</v>
      </c>
      <c r="N38" s="8">
        <v>100</v>
      </c>
      <c r="O38" s="60">
        <v>15277</v>
      </c>
      <c r="P38" s="5">
        <v>0.13400000000000001</v>
      </c>
      <c r="Q38" s="5">
        <v>0.13400000000000001</v>
      </c>
      <c r="R38" s="80">
        <f t="shared" si="9"/>
        <v>-2.137027168628083E-3</v>
      </c>
      <c r="S38" s="80">
        <f t="shared" si="10"/>
        <v>0</v>
      </c>
      <c r="T38" s="80">
        <f t="shared" si="11"/>
        <v>4.9996710742714291E-3</v>
      </c>
      <c r="U38" s="81">
        <f t="shared" si="12"/>
        <v>1.1000000000000176E-3</v>
      </c>
      <c r="V38" s="83">
        <f t="shared" si="13"/>
        <v>1.1000000000000176E-3</v>
      </c>
    </row>
    <row r="39" spans="1:22">
      <c r="A39" s="75">
        <v>31</v>
      </c>
      <c r="B39" s="125" t="s">
        <v>69</v>
      </c>
      <c r="C39" s="126" t="s">
        <v>70</v>
      </c>
      <c r="D39" s="9">
        <v>286874017.74000001</v>
      </c>
      <c r="E39" s="3">
        <f t="shared" si="8"/>
        <v>2.9900783307061526E-4</v>
      </c>
      <c r="F39" s="8">
        <v>1</v>
      </c>
      <c r="G39" s="8">
        <v>1</v>
      </c>
      <c r="H39" s="61">
        <v>449</v>
      </c>
      <c r="I39" s="12">
        <v>0.1091</v>
      </c>
      <c r="J39" s="12">
        <v>0.1091</v>
      </c>
      <c r="K39" s="9">
        <v>286060625.35000002</v>
      </c>
      <c r="L39" s="3">
        <f t="shared" si="7"/>
        <v>2.9816003689204861E-4</v>
      </c>
      <c r="M39" s="8">
        <v>1</v>
      </c>
      <c r="N39" s="8">
        <v>1</v>
      </c>
      <c r="O39" s="61">
        <v>455</v>
      </c>
      <c r="P39" s="12">
        <v>0.1101</v>
      </c>
      <c r="Q39" s="12">
        <v>0.1101</v>
      </c>
      <c r="R39" s="80">
        <f t="shared" si="9"/>
        <v>-2.8353644446712507E-3</v>
      </c>
      <c r="S39" s="80">
        <f t="shared" si="10"/>
        <v>0</v>
      </c>
      <c r="T39" s="80">
        <f t="shared" si="11"/>
        <v>1.3363028953229399E-2</v>
      </c>
      <c r="U39" s="81">
        <f t="shared" si="12"/>
        <v>1.0000000000000009E-3</v>
      </c>
      <c r="V39" s="83">
        <f t="shared" si="13"/>
        <v>1.0000000000000009E-3</v>
      </c>
    </row>
    <row r="40" spans="1:22">
      <c r="A40" s="75">
        <v>32</v>
      </c>
      <c r="B40" s="125" t="s">
        <v>71</v>
      </c>
      <c r="C40" s="126" t="s">
        <v>72</v>
      </c>
      <c r="D40" s="9">
        <v>681525544.72000003</v>
      </c>
      <c r="E40" s="3">
        <f t="shared" si="8"/>
        <v>7.1035180499925705E-4</v>
      </c>
      <c r="F40" s="8">
        <v>10</v>
      </c>
      <c r="G40" s="8">
        <v>10</v>
      </c>
      <c r="H40" s="60">
        <v>358</v>
      </c>
      <c r="I40" s="5">
        <v>0.1043</v>
      </c>
      <c r="J40" s="5">
        <v>0.1043</v>
      </c>
      <c r="K40" s="9">
        <v>686252255.61000001</v>
      </c>
      <c r="L40" s="3">
        <f t="shared" si="7"/>
        <v>7.1527844001453085E-4</v>
      </c>
      <c r="M40" s="8">
        <v>10</v>
      </c>
      <c r="N40" s="8">
        <v>10</v>
      </c>
      <c r="O40" s="60">
        <v>356</v>
      </c>
      <c r="P40" s="5">
        <v>0.10440000000000001</v>
      </c>
      <c r="Q40" s="5">
        <v>0.10440000000000001</v>
      </c>
      <c r="R40" s="80">
        <f t="shared" si="9"/>
        <v>6.9354860234063882E-3</v>
      </c>
      <c r="S40" s="80">
        <f t="shared" si="10"/>
        <v>0</v>
      </c>
      <c r="T40" s="80">
        <f t="shared" si="11"/>
        <v>-5.5865921787709499E-3</v>
      </c>
      <c r="U40" s="81">
        <f t="shared" si="12"/>
        <v>1.0000000000000286E-4</v>
      </c>
      <c r="V40" s="83">
        <f t="shared" si="13"/>
        <v>1.0000000000000286E-4</v>
      </c>
    </row>
    <row r="41" spans="1:22">
      <c r="A41" s="75">
        <v>33</v>
      </c>
      <c r="B41" s="125" t="s">
        <v>73</v>
      </c>
      <c r="C41" s="126" t="s">
        <v>74</v>
      </c>
      <c r="D41" s="9">
        <v>3144682326.2276578</v>
      </c>
      <c r="E41" s="3">
        <f t="shared" si="8"/>
        <v>3.2776919132251059E-3</v>
      </c>
      <c r="F41" s="8">
        <v>100</v>
      </c>
      <c r="G41" s="8">
        <v>100</v>
      </c>
      <c r="H41" s="60">
        <v>1417</v>
      </c>
      <c r="I41" s="5">
        <v>0.10879999999999999</v>
      </c>
      <c r="J41" s="5">
        <v>0.10879999999999999</v>
      </c>
      <c r="K41" s="9">
        <v>3282981162.1764174</v>
      </c>
      <c r="L41" s="3">
        <f t="shared" si="7"/>
        <v>3.4218403292406185E-3</v>
      </c>
      <c r="M41" s="8">
        <v>100</v>
      </c>
      <c r="N41" s="8">
        <v>100</v>
      </c>
      <c r="O41" s="60">
        <v>1417</v>
      </c>
      <c r="P41" s="5">
        <v>0.11048380576075248</v>
      </c>
      <c r="Q41" s="5">
        <v>0.11048380576075248</v>
      </c>
      <c r="R41" s="80">
        <f t="shared" si="9"/>
        <v>4.3978634914981066E-2</v>
      </c>
      <c r="S41" s="80">
        <f t="shared" si="10"/>
        <v>0</v>
      </c>
      <c r="T41" s="80">
        <f t="shared" si="11"/>
        <v>0</v>
      </c>
      <c r="U41" s="81">
        <f t="shared" si="12"/>
        <v>1.6838057607524853E-3</v>
      </c>
      <c r="V41" s="83">
        <f t="shared" si="13"/>
        <v>1.6838057607524853E-3</v>
      </c>
    </row>
    <row r="42" spans="1:22" ht="15.75" customHeight="1">
      <c r="A42" s="75">
        <v>34</v>
      </c>
      <c r="B42" s="125" t="s">
        <v>239</v>
      </c>
      <c r="C42" s="126" t="s">
        <v>32</v>
      </c>
      <c r="D42" s="9">
        <v>20054929263.007702</v>
      </c>
      <c r="E42" s="3">
        <f t="shared" si="8"/>
        <v>2.090318596489708E-2</v>
      </c>
      <c r="F42" s="8">
        <v>1</v>
      </c>
      <c r="G42" s="8">
        <v>1</v>
      </c>
      <c r="H42" s="60">
        <v>11496</v>
      </c>
      <c r="I42" s="5">
        <v>0.12416187759966177</v>
      </c>
      <c r="J42" s="5">
        <v>0.12416187759966177</v>
      </c>
      <c r="K42" s="9">
        <v>20493319982.948299</v>
      </c>
      <c r="L42" s="3">
        <f t="shared" si="7"/>
        <v>2.136011915194683E-2</v>
      </c>
      <c r="M42" s="8">
        <v>1</v>
      </c>
      <c r="N42" s="8">
        <v>1</v>
      </c>
      <c r="O42" s="60">
        <v>11534</v>
      </c>
      <c r="P42" s="5">
        <v>0.11906740509561203</v>
      </c>
      <c r="Q42" s="5">
        <v>0.11906740509561203</v>
      </c>
      <c r="R42" s="80">
        <f t="shared" si="9"/>
        <v>2.1859499686654627E-2</v>
      </c>
      <c r="S42" s="80">
        <f t="shared" si="10"/>
        <v>0</v>
      </c>
      <c r="T42" s="80">
        <f t="shared" si="11"/>
        <v>3.3054975643702156E-3</v>
      </c>
      <c r="U42" s="81">
        <f t="shared" si="12"/>
        <v>-5.0944725040497352E-3</v>
      </c>
      <c r="V42" s="83">
        <f t="shared" si="13"/>
        <v>-5.0944725040497352E-3</v>
      </c>
    </row>
    <row r="43" spans="1:22">
      <c r="A43" s="75">
        <v>35</v>
      </c>
      <c r="B43" s="125" t="s">
        <v>75</v>
      </c>
      <c r="C43" s="126" t="s">
        <v>34</v>
      </c>
      <c r="D43" s="9">
        <v>3428875022.1399999</v>
      </c>
      <c r="E43" s="3">
        <f t="shared" si="8"/>
        <v>3.5739050134866329E-3</v>
      </c>
      <c r="F43" s="8">
        <v>1</v>
      </c>
      <c r="G43" s="8">
        <v>1</v>
      </c>
      <c r="H43" s="60">
        <v>839</v>
      </c>
      <c r="I43" s="5">
        <v>0.1002</v>
      </c>
      <c r="J43" s="5">
        <v>8.3199999999999996E-2</v>
      </c>
      <c r="K43" s="9">
        <v>3428875022.1399999</v>
      </c>
      <c r="L43" s="3">
        <f t="shared" si="7"/>
        <v>3.5739050134866329E-3</v>
      </c>
      <c r="M43" s="8">
        <v>1</v>
      </c>
      <c r="N43" s="8">
        <v>1</v>
      </c>
      <c r="O43" s="60">
        <v>845</v>
      </c>
      <c r="P43" s="5">
        <v>8.4900000000000003E-2</v>
      </c>
      <c r="Q43" s="5">
        <v>8.4900000000000003E-2</v>
      </c>
      <c r="R43" s="80">
        <f t="shared" si="9"/>
        <v>0</v>
      </c>
      <c r="S43" s="80">
        <f t="shared" si="10"/>
        <v>0</v>
      </c>
      <c r="T43" s="80">
        <f t="shared" si="11"/>
        <v>7.1513706793802142E-3</v>
      </c>
      <c r="U43" s="81">
        <f t="shared" si="12"/>
        <v>-1.5299999999999994E-2</v>
      </c>
      <c r="V43" s="83">
        <f t="shared" si="13"/>
        <v>1.7000000000000071E-3</v>
      </c>
    </row>
    <row r="44" spans="1:22">
      <c r="A44" s="75">
        <v>36</v>
      </c>
      <c r="B44" s="125" t="s">
        <v>76</v>
      </c>
      <c r="C44" s="126" t="s">
        <v>36</v>
      </c>
      <c r="D44" s="13">
        <v>4011645325.27</v>
      </c>
      <c r="E44" s="3">
        <f t="shared" si="8"/>
        <v>4.1813245591449501E-3</v>
      </c>
      <c r="F44" s="8">
        <v>10</v>
      </c>
      <c r="G44" s="8">
        <v>10</v>
      </c>
      <c r="H44" s="60">
        <v>1973</v>
      </c>
      <c r="I44" s="5">
        <v>0.14510000000000001</v>
      </c>
      <c r="J44" s="5">
        <v>0.14510000000000001</v>
      </c>
      <c r="K44" s="13">
        <v>3860175250.5700002</v>
      </c>
      <c r="L44" s="3">
        <f t="shared" si="7"/>
        <v>4.023447804854364E-3</v>
      </c>
      <c r="M44" s="8">
        <v>10</v>
      </c>
      <c r="N44" s="8">
        <v>10</v>
      </c>
      <c r="O44" s="60">
        <v>1987</v>
      </c>
      <c r="P44" s="5">
        <v>0.1449</v>
      </c>
      <c r="Q44" s="5">
        <v>0.1449</v>
      </c>
      <c r="R44" s="80">
        <f t="shared" si="9"/>
        <v>-3.7757593809668422E-2</v>
      </c>
      <c r="S44" s="80">
        <f t="shared" si="10"/>
        <v>0</v>
      </c>
      <c r="T44" s="80">
        <f t="shared" si="11"/>
        <v>7.0957932083122151E-3</v>
      </c>
      <c r="U44" s="81">
        <f t="shared" si="12"/>
        <v>-2.0000000000000573E-4</v>
      </c>
      <c r="V44" s="83">
        <f t="shared" si="13"/>
        <v>-2.0000000000000573E-4</v>
      </c>
    </row>
    <row r="45" spans="1:22">
      <c r="A45" s="75">
        <v>37</v>
      </c>
      <c r="B45" s="125" t="s">
        <v>77</v>
      </c>
      <c r="C45" s="126" t="s">
        <v>78</v>
      </c>
      <c r="D45" s="9">
        <v>4330345931.7200003</v>
      </c>
      <c r="E45" s="3">
        <f t="shared" si="8"/>
        <v>4.5135051396089244E-3</v>
      </c>
      <c r="F45" s="8">
        <v>100</v>
      </c>
      <c r="G45" s="8">
        <v>100</v>
      </c>
      <c r="H45" s="60">
        <v>2072</v>
      </c>
      <c r="I45" s="5">
        <v>0.11940000000000001</v>
      </c>
      <c r="J45" s="5">
        <v>0.11940000000000001</v>
      </c>
      <c r="K45" s="9">
        <v>4312189763.7799997</v>
      </c>
      <c r="L45" s="3">
        <f t="shared" si="7"/>
        <v>4.4945810262459421E-3</v>
      </c>
      <c r="M45" s="8">
        <v>100</v>
      </c>
      <c r="N45" s="8">
        <v>100</v>
      </c>
      <c r="O45" s="60">
        <v>2072</v>
      </c>
      <c r="P45" s="5">
        <v>0.1178</v>
      </c>
      <c r="Q45" s="5">
        <v>0.1178</v>
      </c>
      <c r="R45" s="80">
        <f t="shared" si="9"/>
        <v>-4.192775410159659E-3</v>
      </c>
      <c r="S45" s="80">
        <f t="shared" si="10"/>
        <v>0</v>
      </c>
      <c r="T45" s="80">
        <f t="shared" si="11"/>
        <v>0</v>
      </c>
      <c r="U45" s="81">
        <f t="shared" si="12"/>
        <v>-1.6000000000000042E-3</v>
      </c>
      <c r="V45" s="83">
        <f t="shared" si="13"/>
        <v>-1.6000000000000042E-3</v>
      </c>
    </row>
    <row r="46" spans="1:22">
      <c r="A46" s="75">
        <v>38</v>
      </c>
      <c r="B46" s="125" t="s">
        <v>79</v>
      </c>
      <c r="C46" s="126" t="s">
        <v>80</v>
      </c>
      <c r="D46" s="9">
        <v>150155912.02000001</v>
      </c>
      <c r="E46" s="3">
        <f t="shared" si="8"/>
        <v>1.5650700690689239E-4</v>
      </c>
      <c r="F46" s="8">
        <v>1</v>
      </c>
      <c r="G46" s="8">
        <v>1</v>
      </c>
      <c r="H46" s="60">
        <v>61</v>
      </c>
      <c r="I46" s="5">
        <v>7.4899999999999994E-2</v>
      </c>
      <c r="J46" s="5">
        <v>7.4899999999999994E-2</v>
      </c>
      <c r="K46" s="9">
        <v>151294235.61000001</v>
      </c>
      <c r="L46" s="3">
        <f t="shared" si="7"/>
        <v>1.5769347779282514E-4</v>
      </c>
      <c r="M46" s="8">
        <v>1</v>
      </c>
      <c r="N46" s="8">
        <v>1</v>
      </c>
      <c r="O46" s="60">
        <v>61</v>
      </c>
      <c r="P46" s="5">
        <v>6.6900000000000001E-2</v>
      </c>
      <c r="Q46" s="5">
        <v>6.6900000000000001E-2</v>
      </c>
      <c r="R46" s="80">
        <f t="shared" si="9"/>
        <v>7.5809441978440693E-3</v>
      </c>
      <c r="S46" s="80">
        <f t="shared" si="10"/>
        <v>0</v>
      </c>
      <c r="T46" s="80">
        <f t="shared" si="11"/>
        <v>0</v>
      </c>
      <c r="U46" s="81">
        <f t="shared" si="12"/>
        <v>-7.9999999999999932E-3</v>
      </c>
      <c r="V46" s="83">
        <f t="shared" si="13"/>
        <v>-7.9999999999999932E-3</v>
      </c>
    </row>
    <row r="47" spans="1:22">
      <c r="A47" s="75">
        <v>39</v>
      </c>
      <c r="B47" s="125" t="s">
        <v>81</v>
      </c>
      <c r="C47" s="126" t="s">
        <v>38</v>
      </c>
      <c r="D47" s="13">
        <v>709130417.88999999</v>
      </c>
      <c r="E47" s="3">
        <f t="shared" si="8"/>
        <v>7.3912427234843218E-4</v>
      </c>
      <c r="F47" s="8">
        <v>10</v>
      </c>
      <c r="G47" s="8">
        <v>10</v>
      </c>
      <c r="H47" s="60">
        <v>649</v>
      </c>
      <c r="I47" s="5">
        <v>0</v>
      </c>
      <c r="J47" s="5">
        <v>0</v>
      </c>
      <c r="K47" s="13">
        <v>682917864.13</v>
      </c>
      <c r="L47" s="3">
        <f t="shared" si="7"/>
        <v>7.1180301488227814E-4</v>
      </c>
      <c r="M47" s="8">
        <v>10</v>
      </c>
      <c r="N47" s="8">
        <v>10</v>
      </c>
      <c r="O47" s="60">
        <v>654</v>
      </c>
      <c r="P47" s="5">
        <v>0</v>
      </c>
      <c r="Q47" s="5">
        <v>0</v>
      </c>
      <c r="R47" s="80">
        <f t="shared" si="9"/>
        <v>-3.6964362405994086E-2</v>
      </c>
      <c r="S47" s="80">
        <f t="shared" si="10"/>
        <v>0</v>
      </c>
      <c r="T47" s="80">
        <f t="shared" si="11"/>
        <v>7.7041602465331279E-3</v>
      </c>
      <c r="U47" s="81">
        <f t="shared" si="12"/>
        <v>0</v>
      </c>
      <c r="V47" s="83">
        <f t="shared" si="13"/>
        <v>0</v>
      </c>
    </row>
    <row r="48" spans="1:22">
      <c r="A48" s="75">
        <v>40</v>
      </c>
      <c r="B48" s="125" t="s">
        <v>247</v>
      </c>
      <c r="C48" s="126" t="s">
        <v>248</v>
      </c>
      <c r="D48" s="13">
        <v>599349674.52999997</v>
      </c>
      <c r="E48" s="3">
        <f t="shared" si="8"/>
        <v>6.2470016924019885E-4</v>
      </c>
      <c r="F48" s="8">
        <v>1</v>
      </c>
      <c r="G48" s="8">
        <v>1</v>
      </c>
      <c r="H48" s="60">
        <v>37</v>
      </c>
      <c r="I48" s="5">
        <v>0.1263</v>
      </c>
      <c r="J48" s="5">
        <v>0.1263</v>
      </c>
      <c r="K48" s="13">
        <v>600494109.63</v>
      </c>
      <c r="L48" s="3">
        <f t="shared" si="7"/>
        <v>6.2589301013264622E-4</v>
      </c>
      <c r="M48" s="8">
        <v>1</v>
      </c>
      <c r="N48" s="8">
        <v>1</v>
      </c>
      <c r="O48" s="60">
        <v>38</v>
      </c>
      <c r="P48" s="5">
        <v>0.1263</v>
      </c>
      <c r="Q48" s="5">
        <v>0.1263</v>
      </c>
      <c r="R48" s="80">
        <f t="shared" si="9"/>
        <v>1.9094614523607956E-3</v>
      </c>
      <c r="S48" s="80">
        <f t="shared" si="10"/>
        <v>0</v>
      </c>
      <c r="T48" s="80">
        <f t="shared" si="11"/>
        <v>2.7027027027027029E-2</v>
      </c>
      <c r="U48" s="81">
        <f t="shared" si="12"/>
        <v>0</v>
      </c>
      <c r="V48" s="83">
        <f t="shared" si="13"/>
        <v>0</v>
      </c>
    </row>
    <row r="49" spans="1:22">
      <c r="A49" s="75">
        <v>41</v>
      </c>
      <c r="B49" s="125" t="s">
        <v>82</v>
      </c>
      <c r="C49" s="126" t="s">
        <v>42</v>
      </c>
      <c r="D49" s="9">
        <v>428561205185.57001</v>
      </c>
      <c r="E49" s="3">
        <f t="shared" si="8"/>
        <v>0.44668791656415346</v>
      </c>
      <c r="F49" s="8">
        <v>100</v>
      </c>
      <c r="G49" s="8">
        <v>100</v>
      </c>
      <c r="H49" s="60">
        <v>114644</v>
      </c>
      <c r="I49" s="5">
        <v>0.1255</v>
      </c>
      <c r="J49" s="5">
        <v>0.1255</v>
      </c>
      <c r="K49" s="9">
        <v>440836352593.70001</v>
      </c>
      <c r="L49" s="3">
        <f t="shared" si="7"/>
        <v>0.45948226181731566</v>
      </c>
      <c r="M49" s="8">
        <v>100</v>
      </c>
      <c r="N49" s="8">
        <v>100</v>
      </c>
      <c r="O49" s="60">
        <v>115135</v>
      </c>
      <c r="P49" s="5">
        <v>0.12839999999999999</v>
      </c>
      <c r="Q49" s="5">
        <v>0.12839999999999999</v>
      </c>
      <c r="R49" s="80">
        <f t="shared" si="9"/>
        <v>2.8642693878030281E-2</v>
      </c>
      <c r="S49" s="80">
        <f t="shared" si="10"/>
        <v>0</v>
      </c>
      <c r="T49" s="80">
        <f t="shared" si="11"/>
        <v>4.2828233488015075E-3</v>
      </c>
      <c r="U49" s="81">
        <f t="shared" si="12"/>
        <v>2.8999999999999859E-3</v>
      </c>
      <c r="V49" s="83">
        <f t="shared" si="13"/>
        <v>2.8999999999999859E-3</v>
      </c>
    </row>
    <row r="50" spans="1:22">
      <c r="A50" s="75">
        <v>42</v>
      </c>
      <c r="B50" s="125" t="s">
        <v>83</v>
      </c>
      <c r="C50" s="126" t="s">
        <v>84</v>
      </c>
      <c r="D50" s="9">
        <v>2983157694.52</v>
      </c>
      <c r="E50" s="3">
        <f t="shared" si="8"/>
        <v>3.1093353276586545E-3</v>
      </c>
      <c r="F50" s="8">
        <v>1</v>
      </c>
      <c r="G50" s="8">
        <v>1</v>
      </c>
      <c r="H50" s="60">
        <v>327</v>
      </c>
      <c r="I50" s="5">
        <v>0.1469494338</v>
      </c>
      <c r="J50" s="5">
        <v>0.1469494338</v>
      </c>
      <c r="K50" s="9">
        <v>2957623517.2199998</v>
      </c>
      <c r="L50" s="3">
        <f t="shared" si="7"/>
        <v>3.0827211397169859E-3</v>
      </c>
      <c r="M50" s="8">
        <v>1</v>
      </c>
      <c r="N50" s="8">
        <v>1</v>
      </c>
      <c r="O50" s="60">
        <v>324</v>
      </c>
      <c r="P50" s="5">
        <v>0.14746806496928397</v>
      </c>
      <c r="Q50" s="5">
        <v>0.14746806496928397</v>
      </c>
      <c r="R50" s="80">
        <f t="shared" si="9"/>
        <v>-8.5594460349534846E-3</v>
      </c>
      <c r="S50" s="80">
        <f t="shared" si="10"/>
        <v>0</v>
      </c>
      <c r="T50" s="80">
        <f t="shared" si="11"/>
        <v>-9.1743119266055051E-3</v>
      </c>
      <c r="U50" s="81">
        <f t="shared" si="12"/>
        <v>5.1863116928396735E-4</v>
      </c>
      <c r="V50" s="83">
        <f t="shared" si="13"/>
        <v>5.1863116928396735E-4</v>
      </c>
    </row>
    <row r="51" spans="1:22">
      <c r="A51" s="75">
        <v>43</v>
      </c>
      <c r="B51" s="125" t="s">
        <v>85</v>
      </c>
      <c r="C51" s="126" t="s">
        <v>45</v>
      </c>
      <c r="D51" s="9">
        <v>46547019127.889999</v>
      </c>
      <c r="E51" s="3">
        <f t="shared" si="8"/>
        <v>4.8515802981993914E-2</v>
      </c>
      <c r="F51" s="8">
        <v>1</v>
      </c>
      <c r="G51" s="8">
        <v>1</v>
      </c>
      <c r="H51" s="60">
        <v>19753</v>
      </c>
      <c r="I51" s="5">
        <v>0.1197</v>
      </c>
      <c r="J51" s="5">
        <v>0.1197</v>
      </c>
      <c r="K51" s="9">
        <v>43086695255.650002</v>
      </c>
      <c r="L51" s="3">
        <f t="shared" si="7"/>
        <v>4.4909118936808823E-2</v>
      </c>
      <c r="M51" s="8">
        <v>1</v>
      </c>
      <c r="N51" s="8">
        <v>1</v>
      </c>
      <c r="O51" s="60">
        <v>19990</v>
      </c>
      <c r="P51" s="5">
        <v>0.1135</v>
      </c>
      <c r="Q51" s="5">
        <v>0.1135</v>
      </c>
      <c r="R51" s="80">
        <f t="shared" si="9"/>
        <v>-7.4340396808925707E-2</v>
      </c>
      <c r="S51" s="80">
        <f t="shared" si="10"/>
        <v>0</v>
      </c>
      <c r="T51" s="80">
        <f t="shared" si="11"/>
        <v>1.1998177492026528E-2</v>
      </c>
      <c r="U51" s="81">
        <f t="shared" si="12"/>
        <v>-6.1999999999999972E-3</v>
      </c>
      <c r="V51" s="83">
        <f t="shared" si="13"/>
        <v>-6.1999999999999972E-3</v>
      </c>
    </row>
    <row r="52" spans="1:22">
      <c r="A52" s="75">
        <v>44</v>
      </c>
      <c r="B52" s="125" t="s">
        <v>86</v>
      </c>
      <c r="C52" s="126" t="s">
        <v>87</v>
      </c>
      <c r="D52" s="9">
        <v>1413269665.8699999</v>
      </c>
      <c r="E52" s="3">
        <f t="shared" si="8"/>
        <v>1.4730462649259967E-3</v>
      </c>
      <c r="F52" s="8">
        <v>1</v>
      </c>
      <c r="G52" s="8">
        <v>1</v>
      </c>
      <c r="H52" s="60">
        <v>74</v>
      </c>
      <c r="I52" s="5">
        <v>0.10730000000000001</v>
      </c>
      <c r="J52" s="5">
        <v>0.10730000000000001</v>
      </c>
      <c r="K52" s="9">
        <v>1367641363.4299998</v>
      </c>
      <c r="L52" s="3">
        <f t="shared" si="7"/>
        <v>1.4254880372874092E-3</v>
      </c>
      <c r="M52" s="8">
        <v>1</v>
      </c>
      <c r="N52" s="8">
        <v>1</v>
      </c>
      <c r="O52" s="60">
        <v>77</v>
      </c>
      <c r="P52" s="5">
        <v>0.1046</v>
      </c>
      <c r="Q52" s="5">
        <v>0.1046</v>
      </c>
      <c r="R52" s="80">
        <f t="shared" si="9"/>
        <v>-3.2285630649202084E-2</v>
      </c>
      <c r="S52" s="80">
        <f t="shared" si="10"/>
        <v>0</v>
      </c>
      <c r="T52" s="80">
        <f t="shared" si="11"/>
        <v>4.0540540540540543E-2</v>
      </c>
      <c r="U52" s="81">
        <f t="shared" si="12"/>
        <v>-2.7000000000000079E-3</v>
      </c>
      <c r="V52" s="83">
        <f t="shared" si="13"/>
        <v>-2.7000000000000079E-3</v>
      </c>
    </row>
    <row r="53" spans="1:22">
      <c r="A53" s="75">
        <v>45</v>
      </c>
      <c r="B53" s="125" t="s">
        <v>88</v>
      </c>
      <c r="C53" s="126" t="s">
        <v>89</v>
      </c>
      <c r="D53" s="9">
        <v>1002572591.71</v>
      </c>
      <c r="E53" s="3">
        <f t="shared" si="8"/>
        <v>1.044978072621732E-3</v>
      </c>
      <c r="F53" s="8">
        <v>1</v>
      </c>
      <c r="G53" s="8">
        <v>1</v>
      </c>
      <c r="H53" s="60">
        <v>210</v>
      </c>
      <c r="I53" s="5">
        <v>0.11070000000000001</v>
      </c>
      <c r="J53" s="5">
        <v>0.11070000000000001</v>
      </c>
      <c r="K53" s="9">
        <v>1020696373.04</v>
      </c>
      <c r="L53" s="3">
        <f t="shared" si="7"/>
        <v>1.0638684295289946E-3</v>
      </c>
      <c r="M53" s="8">
        <v>1</v>
      </c>
      <c r="N53" s="8">
        <v>1</v>
      </c>
      <c r="O53" s="60">
        <v>208</v>
      </c>
      <c r="P53" s="5">
        <v>0.1096</v>
      </c>
      <c r="Q53" s="5">
        <v>0.1096</v>
      </c>
      <c r="R53" s="80">
        <f t="shared" si="9"/>
        <v>1.8077275879931829E-2</v>
      </c>
      <c r="S53" s="80">
        <f t="shared" si="10"/>
        <v>0</v>
      </c>
      <c r="T53" s="80">
        <f t="shared" si="11"/>
        <v>-9.5238095238095247E-3</v>
      </c>
      <c r="U53" s="81">
        <f t="shared" si="12"/>
        <v>-1.1000000000000038E-3</v>
      </c>
      <c r="V53" s="83">
        <f t="shared" si="13"/>
        <v>-1.1000000000000038E-3</v>
      </c>
    </row>
    <row r="54" spans="1:22">
      <c r="A54" s="75">
        <v>46</v>
      </c>
      <c r="B54" s="125" t="s">
        <v>90</v>
      </c>
      <c r="C54" s="126" t="s">
        <v>91</v>
      </c>
      <c r="D54" s="9">
        <v>31577568510.599998</v>
      </c>
      <c r="E54" s="3">
        <f t="shared" si="8"/>
        <v>3.2913194469046794E-2</v>
      </c>
      <c r="F54" s="8">
        <v>1</v>
      </c>
      <c r="G54" s="8">
        <v>1</v>
      </c>
      <c r="H54" s="60">
        <v>3286</v>
      </c>
      <c r="I54" s="5">
        <v>0.11840000000000001</v>
      </c>
      <c r="J54" s="5">
        <v>0.11840000000000001</v>
      </c>
      <c r="K54" s="9">
        <v>29585333527.790001</v>
      </c>
      <c r="L54" s="3">
        <f t="shared" si="7"/>
        <v>3.0836694582893349E-2</v>
      </c>
      <c r="M54" s="8">
        <v>1</v>
      </c>
      <c r="N54" s="8">
        <v>1</v>
      </c>
      <c r="O54" s="60">
        <v>3298</v>
      </c>
      <c r="P54" s="5">
        <v>0.13009999999999999</v>
      </c>
      <c r="Q54" s="5">
        <v>0.13009999999999999</v>
      </c>
      <c r="R54" s="80">
        <f t="shared" si="9"/>
        <v>-6.3090195881967334E-2</v>
      </c>
      <c r="S54" s="80">
        <f t="shared" si="10"/>
        <v>0</v>
      </c>
      <c r="T54" s="80">
        <f t="shared" si="11"/>
        <v>3.6518563603164943E-3</v>
      </c>
      <c r="U54" s="81">
        <f t="shared" si="12"/>
        <v>1.1699999999999988E-2</v>
      </c>
      <c r="V54" s="83">
        <f t="shared" si="13"/>
        <v>1.1699999999999988E-2</v>
      </c>
    </row>
    <row r="55" spans="1:22">
      <c r="A55" s="75"/>
      <c r="B55" s="19"/>
      <c r="C55" s="71" t="s">
        <v>46</v>
      </c>
      <c r="D55" s="59">
        <f>SUM(D25:D54)</f>
        <v>949382861578.85535</v>
      </c>
      <c r="E55" s="100">
        <f>(D55/$D$183)</f>
        <v>0.33688773644230702</v>
      </c>
      <c r="F55" s="30"/>
      <c r="G55" s="11"/>
      <c r="H55" s="65">
        <f>SUM(H25:H54)</f>
        <v>274893</v>
      </c>
      <c r="I55" s="32"/>
      <c r="J55" s="32"/>
      <c r="K55" s="59">
        <f>SUM(K25:K54)</f>
        <v>959419740927.82495</v>
      </c>
      <c r="L55" s="100">
        <f>(K55/$K$183)</f>
        <v>0.33757104073702432</v>
      </c>
      <c r="M55" s="30"/>
      <c r="N55" s="11"/>
      <c r="O55" s="65">
        <f>SUM(O25:O54)</f>
        <v>276096</v>
      </c>
      <c r="P55" s="32"/>
      <c r="Q55" s="32"/>
      <c r="R55" s="80">
        <f t="shared" si="9"/>
        <v>1.0572003935564983E-2</v>
      </c>
      <c r="S55" s="80" t="e">
        <f t="shared" si="10"/>
        <v>#DIV/0!</v>
      </c>
      <c r="T55" s="80">
        <f t="shared" si="11"/>
        <v>4.3762482129410356E-3</v>
      </c>
      <c r="U55" s="81">
        <f t="shared" si="12"/>
        <v>0</v>
      </c>
      <c r="V55" s="83">
        <f t="shared" si="13"/>
        <v>0</v>
      </c>
    </row>
    <row r="56" spans="1:22" ht="9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</row>
    <row r="57" spans="1:22" ht="15" customHeight="1">
      <c r="A57" s="132" t="s">
        <v>92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</row>
    <row r="58" spans="1:22">
      <c r="A58" s="75">
        <v>47</v>
      </c>
      <c r="B58" s="125" t="s">
        <v>93</v>
      </c>
      <c r="C58" s="126" t="s">
        <v>19</v>
      </c>
      <c r="D58" s="2">
        <v>446053573.60000002</v>
      </c>
      <c r="E58" s="3">
        <f>(D58/$D$91)</f>
        <v>1.5829820333132262E-3</v>
      </c>
      <c r="F58" s="14">
        <v>1.2139</v>
      </c>
      <c r="G58" s="14">
        <v>1.2139</v>
      </c>
      <c r="H58" s="60">
        <v>397</v>
      </c>
      <c r="I58" s="5">
        <v>4.1199999999999999E-4</v>
      </c>
      <c r="J58" s="5">
        <v>-5.1700000000000003E-2</v>
      </c>
      <c r="K58" s="2">
        <v>438737296.27999997</v>
      </c>
      <c r="L58" s="3">
        <f t="shared" ref="L58:L78" si="14">(K58/$K$91)</f>
        <v>1.5542921110059068E-3</v>
      </c>
      <c r="M58" s="14">
        <v>1.1942999999999999</v>
      </c>
      <c r="N58" s="14">
        <v>1.1942999999999999</v>
      </c>
      <c r="O58" s="60">
        <v>397</v>
      </c>
      <c r="P58" s="5">
        <v>3.3500000000000001E-4</v>
      </c>
      <c r="Q58" s="5">
        <v>-6.7000000000000004E-2</v>
      </c>
      <c r="R58" s="80">
        <f>((K58-D58)/D58)</f>
        <v>-1.6402238997777759E-2</v>
      </c>
      <c r="S58" s="80">
        <f>((N58-G58)/G58)</f>
        <v>-1.6146305296976738E-2</v>
      </c>
      <c r="T58" s="80">
        <f>((O58-H58)/H58)</f>
        <v>0</v>
      </c>
      <c r="U58" s="81">
        <f>P58-I58</f>
        <v>-7.6999999999999974E-5</v>
      </c>
      <c r="V58" s="83">
        <f>Q58-J58</f>
        <v>-1.5300000000000001E-2</v>
      </c>
    </row>
    <row r="59" spans="1:22">
      <c r="A59" s="75">
        <v>48</v>
      </c>
      <c r="B59" s="125" t="s">
        <v>94</v>
      </c>
      <c r="C59" s="126" t="s">
        <v>21</v>
      </c>
      <c r="D59" s="2">
        <v>1356113488.47</v>
      </c>
      <c r="E59" s="3">
        <f>(D59/$D$91)</f>
        <v>4.8126579730236535E-3</v>
      </c>
      <c r="F59" s="14">
        <v>1.101</v>
      </c>
      <c r="G59" s="14">
        <v>1.101</v>
      </c>
      <c r="H59" s="60">
        <v>584</v>
      </c>
      <c r="I59" s="5">
        <v>-0.161</v>
      </c>
      <c r="J59" s="5">
        <v>-0.3458</v>
      </c>
      <c r="K59" s="2">
        <v>1371841959.73</v>
      </c>
      <c r="L59" s="3">
        <f t="shared" si="14"/>
        <v>4.8599541311720052E-3</v>
      </c>
      <c r="M59" s="14">
        <v>1.1012999999999999</v>
      </c>
      <c r="N59" s="14">
        <v>1.1012999999999999</v>
      </c>
      <c r="O59" s="60">
        <v>586</v>
      </c>
      <c r="P59" s="5">
        <v>1.4200000000000001E-2</v>
      </c>
      <c r="Q59" s="5">
        <v>-0.30459999999999998</v>
      </c>
      <c r="R59" s="80">
        <f t="shared" ref="R59:R91" si="15">((K59-D59)/D59)</f>
        <v>1.1598196901459355E-2</v>
      </c>
      <c r="S59" s="80">
        <f t="shared" ref="S59:S91" si="16">((N59-G59)/G59)</f>
        <v>2.7247956403266753E-4</v>
      </c>
      <c r="T59" s="80">
        <f t="shared" ref="T59:T91" si="17">((O59-H59)/H59)</f>
        <v>3.4246575342465752E-3</v>
      </c>
      <c r="U59" s="81">
        <f t="shared" ref="U59:U91" si="18">P59-I59</f>
        <v>0.17519999999999999</v>
      </c>
      <c r="V59" s="83">
        <f t="shared" ref="V59:V91" si="19">Q59-J59</f>
        <v>4.1200000000000014E-2</v>
      </c>
    </row>
    <row r="60" spans="1:22">
      <c r="A60" s="75">
        <v>49</v>
      </c>
      <c r="B60" s="125" t="s">
        <v>95</v>
      </c>
      <c r="C60" s="126" t="s">
        <v>21</v>
      </c>
      <c r="D60" s="2">
        <v>1016724174.46</v>
      </c>
      <c r="E60" s="3">
        <f>(D60/$D$91)</f>
        <v>3.6082125472414379E-3</v>
      </c>
      <c r="F60" s="14">
        <v>1.016</v>
      </c>
      <c r="G60" s="14">
        <v>1.016</v>
      </c>
      <c r="H60" s="60">
        <v>144</v>
      </c>
      <c r="I60" s="5">
        <v>8.7599999999999997E-2</v>
      </c>
      <c r="J60" s="5">
        <v>-0.34329999999999999</v>
      </c>
      <c r="K60" s="2">
        <v>1018879640.78</v>
      </c>
      <c r="L60" s="3">
        <f t="shared" si="14"/>
        <v>3.6095326318422156E-3</v>
      </c>
      <c r="M60" s="14">
        <v>1.0178</v>
      </c>
      <c r="N60" s="14">
        <v>1.0178</v>
      </c>
      <c r="O60" s="60">
        <v>144</v>
      </c>
      <c r="P60" s="5">
        <v>9.2600000000000002E-2</v>
      </c>
      <c r="Q60" s="5">
        <v>-0.29380000000000001</v>
      </c>
      <c r="R60" s="80">
        <f t="shared" si="15"/>
        <v>2.1200108880510674E-3</v>
      </c>
      <c r="S60" s="80">
        <f t="shared" si="16"/>
        <v>1.77165354330711E-3</v>
      </c>
      <c r="T60" s="80">
        <f t="shared" si="17"/>
        <v>0</v>
      </c>
      <c r="U60" s="81">
        <f t="shared" si="18"/>
        <v>5.0000000000000044E-3</v>
      </c>
      <c r="V60" s="83">
        <f t="shared" si="19"/>
        <v>4.9499999999999988E-2</v>
      </c>
    </row>
    <row r="61" spans="1:22">
      <c r="A61" s="75">
        <v>50</v>
      </c>
      <c r="B61" s="125" t="s">
        <v>96</v>
      </c>
      <c r="C61" s="126" t="s">
        <v>97</v>
      </c>
      <c r="D61" s="2">
        <v>268569354.38</v>
      </c>
      <c r="E61" s="3">
        <f>(D61/$D$91)</f>
        <v>9.5311524858069827E-4</v>
      </c>
      <c r="F61" s="7">
        <v>1131.6300000000001</v>
      </c>
      <c r="G61" s="7">
        <v>1131.6300000000001</v>
      </c>
      <c r="H61" s="60">
        <v>116</v>
      </c>
      <c r="I61" s="5">
        <v>-8.2000000000000007E-3</v>
      </c>
      <c r="J61" s="5">
        <v>1.9599999999999999E-2</v>
      </c>
      <c r="K61" s="2">
        <v>268569354.38</v>
      </c>
      <c r="L61" s="3">
        <f t="shared" si="14"/>
        <v>9.5144687335716859E-4</v>
      </c>
      <c r="M61" s="7">
        <v>1122.8399999999999</v>
      </c>
      <c r="N61" s="7">
        <v>1122.8399999999999</v>
      </c>
      <c r="O61" s="60">
        <v>116</v>
      </c>
      <c r="P61" s="5">
        <v>-7.4000000000000003E-3</v>
      </c>
      <c r="Q61" s="5">
        <v>1.9599999999999999E-2</v>
      </c>
      <c r="R61" s="80">
        <f t="shared" si="15"/>
        <v>0</v>
      </c>
      <c r="S61" s="80">
        <f t="shared" si="16"/>
        <v>-7.767556533496099E-3</v>
      </c>
      <c r="T61" s="80">
        <f t="shared" si="17"/>
        <v>0</v>
      </c>
      <c r="U61" s="81">
        <f t="shared" si="18"/>
        <v>8.0000000000000036E-4</v>
      </c>
      <c r="V61" s="83">
        <f t="shared" si="19"/>
        <v>0</v>
      </c>
    </row>
    <row r="62" spans="1:22" ht="15" customHeight="1">
      <c r="A62" s="75">
        <v>51</v>
      </c>
      <c r="B62" s="125" t="s">
        <v>98</v>
      </c>
      <c r="C62" s="126" t="s">
        <v>99</v>
      </c>
      <c r="D62" s="2">
        <v>1643743088.26</v>
      </c>
      <c r="E62" s="3">
        <f>(D62/$K$91)</f>
        <v>5.8232043098804783E-3</v>
      </c>
      <c r="F62" s="7">
        <v>1.0287999999999999</v>
      </c>
      <c r="G62" s="7">
        <v>1.0287999999999999</v>
      </c>
      <c r="H62" s="60">
        <v>825</v>
      </c>
      <c r="I62" s="5">
        <v>1.5E-3</v>
      </c>
      <c r="J62" s="5">
        <v>1.1900000000000001E-2</v>
      </c>
      <c r="K62" s="2">
        <v>1651991692.55</v>
      </c>
      <c r="L62" s="3">
        <f t="shared" si="14"/>
        <v>5.8524262171207831E-3</v>
      </c>
      <c r="M62" s="7">
        <v>1.0319</v>
      </c>
      <c r="N62" s="7">
        <v>1.0319</v>
      </c>
      <c r="O62" s="60">
        <v>827</v>
      </c>
      <c r="P62" s="5">
        <v>3.0000000000000001E-3</v>
      </c>
      <c r="Q62" s="5">
        <v>1.4800000000000001E-2</v>
      </c>
      <c r="R62" s="80">
        <f t="shared" si="15"/>
        <v>5.0181834064662754E-3</v>
      </c>
      <c r="S62" s="80">
        <f t="shared" si="16"/>
        <v>3.0132192846035214E-3</v>
      </c>
      <c r="T62" s="80">
        <f t="shared" si="17"/>
        <v>2.4242424242424242E-3</v>
      </c>
      <c r="U62" s="81">
        <f t="shared" si="18"/>
        <v>1.5E-3</v>
      </c>
      <c r="V62" s="83">
        <v>7.87</v>
      </c>
    </row>
    <row r="63" spans="1:22">
      <c r="A63" s="75">
        <v>52</v>
      </c>
      <c r="B63" s="125" t="s">
        <v>100</v>
      </c>
      <c r="C63" s="126" t="s">
        <v>101</v>
      </c>
      <c r="D63" s="2">
        <v>400197354.91140842</v>
      </c>
      <c r="E63" s="3">
        <f t="shared" ref="E63:E78" si="20">(D63/$D$91)</f>
        <v>1.4202446972711264E-3</v>
      </c>
      <c r="F63" s="7">
        <v>2.2700999999999998</v>
      </c>
      <c r="G63" s="7">
        <v>2.2700999999999998</v>
      </c>
      <c r="H63" s="60">
        <v>1398</v>
      </c>
      <c r="I63" s="5">
        <v>0.10150000000000001</v>
      </c>
      <c r="J63" s="5">
        <v>0.1</v>
      </c>
      <c r="K63" s="2">
        <v>401022436.00999999</v>
      </c>
      <c r="L63" s="3">
        <f t="shared" si="14"/>
        <v>1.4206816104116284E-3</v>
      </c>
      <c r="M63" s="7">
        <v>2.2747999999999999</v>
      </c>
      <c r="N63" s="7">
        <v>2.2747999999999999</v>
      </c>
      <c r="O63" s="60">
        <v>1398</v>
      </c>
      <c r="P63" s="5">
        <v>0.10829999999999999</v>
      </c>
      <c r="Q63" s="5">
        <v>0.1011</v>
      </c>
      <c r="R63" s="80">
        <f t="shared" si="15"/>
        <v>2.0616855370626176E-3</v>
      </c>
      <c r="S63" s="80">
        <f t="shared" si="16"/>
        <v>2.0703933747412665E-3</v>
      </c>
      <c r="T63" s="80">
        <f t="shared" si="17"/>
        <v>0</v>
      </c>
      <c r="U63" s="81">
        <f t="shared" si="18"/>
        <v>6.7999999999999866E-3</v>
      </c>
      <c r="V63" s="83">
        <f t="shared" si="19"/>
        <v>1.0999999999999899E-3</v>
      </c>
    </row>
    <row r="64" spans="1:22">
      <c r="A64" s="75">
        <v>53</v>
      </c>
      <c r="B64" s="125" t="s">
        <v>102</v>
      </c>
      <c r="C64" s="126" t="s">
        <v>56</v>
      </c>
      <c r="D64" s="2">
        <v>2607031388.0695128</v>
      </c>
      <c r="E64" s="3">
        <f t="shared" si="20"/>
        <v>9.2519914464321198E-3</v>
      </c>
      <c r="F64" s="2">
        <v>4045.7023297422957</v>
      </c>
      <c r="G64" s="2">
        <v>4045.7023297422957</v>
      </c>
      <c r="H64" s="60">
        <v>1051</v>
      </c>
      <c r="I64" s="5">
        <v>7.5641388352582689E-2</v>
      </c>
      <c r="J64" s="5">
        <v>7.9696343907535258E-2</v>
      </c>
      <c r="K64" s="2">
        <v>2609904166.2920899</v>
      </c>
      <c r="L64" s="3">
        <f t="shared" si="14"/>
        <v>9.2459735940943841E-3</v>
      </c>
      <c r="M64" s="2">
        <v>4051.92470591749</v>
      </c>
      <c r="N64" s="2">
        <v>4051.92470591749</v>
      </c>
      <c r="O64" s="60">
        <v>1049</v>
      </c>
      <c r="P64" s="5">
        <v>8.0416539912655724E-2</v>
      </c>
      <c r="Q64" s="5">
        <v>7.9887498075794497E-2</v>
      </c>
      <c r="R64" s="80">
        <f t="shared" si="15"/>
        <v>1.1019346509304462E-3</v>
      </c>
      <c r="S64" s="80">
        <f t="shared" si="16"/>
        <v>1.538021255160082E-3</v>
      </c>
      <c r="T64" s="80">
        <f t="shared" si="17"/>
        <v>-1.9029495718363464E-3</v>
      </c>
      <c r="U64" s="81">
        <f t="shared" si="18"/>
        <v>4.7751515600730349E-3</v>
      </c>
      <c r="V64" s="83">
        <f t="shared" si="19"/>
        <v>1.9115416825923881E-4</v>
      </c>
    </row>
    <row r="65" spans="1:22">
      <c r="A65" s="75">
        <v>54</v>
      </c>
      <c r="B65" s="125" t="s">
        <v>103</v>
      </c>
      <c r="C65" s="126" t="s">
        <v>58</v>
      </c>
      <c r="D65" s="2">
        <v>344561078.86000001</v>
      </c>
      <c r="E65" s="3">
        <f t="shared" si="20"/>
        <v>1.222799299223912E-3</v>
      </c>
      <c r="F65" s="14">
        <v>109.15</v>
      </c>
      <c r="G65" s="14">
        <v>109.15</v>
      </c>
      <c r="H65" s="60">
        <v>125</v>
      </c>
      <c r="I65" s="5">
        <v>2.5000000000000001E-3</v>
      </c>
      <c r="J65" s="5">
        <v>0.10440000000000001</v>
      </c>
      <c r="K65" s="2">
        <v>345542239.49000001</v>
      </c>
      <c r="L65" s="3">
        <f t="shared" si="14"/>
        <v>1.2241347644989431E-3</v>
      </c>
      <c r="M65" s="14">
        <v>109.36</v>
      </c>
      <c r="N65" s="14">
        <v>109.36</v>
      </c>
      <c r="O65" s="60">
        <v>125</v>
      </c>
      <c r="P65" s="5">
        <v>1.9E-3</v>
      </c>
      <c r="Q65" s="5">
        <v>0.10249999999999999</v>
      </c>
      <c r="R65" s="80">
        <f t="shared" si="15"/>
        <v>2.8475666295398805E-3</v>
      </c>
      <c r="S65" s="80">
        <f t="shared" si="16"/>
        <v>1.9239578561611886E-3</v>
      </c>
      <c r="T65" s="80">
        <f t="shared" si="17"/>
        <v>0</v>
      </c>
      <c r="U65" s="81">
        <f t="shared" si="18"/>
        <v>-6.0000000000000006E-4</v>
      </c>
      <c r="V65" s="83">
        <f t="shared" si="19"/>
        <v>-1.9000000000000128E-3</v>
      </c>
    </row>
    <row r="66" spans="1:22">
      <c r="A66" s="75">
        <v>55</v>
      </c>
      <c r="B66" s="125" t="s">
        <v>104</v>
      </c>
      <c r="C66" s="126" t="s">
        <v>105</v>
      </c>
      <c r="D66" s="2">
        <v>315068257.52999997</v>
      </c>
      <c r="E66" s="3">
        <f t="shared" si="20"/>
        <v>1.1181333823020727E-3</v>
      </c>
      <c r="F66" s="14">
        <v>1.3325</v>
      </c>
      <c r="G66" s="14">
        <v>1.3325</v>
      </c>
      <c r="H66" s="60">
        <v>316</v>
      </c>
      <c r="I66" s="5">
        <v>-1.0500000000000001E-2</v>
      </c>
      <c r="J66" s="5">
        <v>-1.1999999999999999E-3</v>
      </c>
      <c r="K66" s="2">
        <v>312552745.66000003</v>
      </c>
      <c r="L66" s="3">
        <f t="shared" si="14"/>
        <v>1.1072645771663316E-3</v>
      </c>
      <c r="M66" s="14">
        <v>1.3220000000000001</v>
      </c>
      <c r="N66" s="14">
        <v>1.3220000000000001</v>
      </c>
      <c r="O66" s="60">
        <v>316</v>
      </c>
      <c r="P66" s="5">
        <v>-7.8799249530956406E-3</v>
      </c>
      <c r="Q66" s="5">
        <v>-8.677375087034922E-3</v>
      </c>
      <c r="R66" s="80">
        <f t="shared" si="15"/>
        <v>-7.9840219059846892E-3</v>
      </c>
      <c r="S66" s="80">
        <f t="shared" si="16"/>
        <v>-7.8799249530956492E-3</v>
      </c>
      <c r="T66" s="80">
        <f t="shared" si="17"/>
        <v>0</v>
      </c>
      <c r="U66" s="81">
        <f t="shared" si="18"/>
        <v>2.6200750469043601E-3</v>
      </c>
      <c r="V66" s="83">
        <f t="shared" si="19"/>
        <v>-7.4773750870349223E-3</v>
      </c>
    </row>
    <row r="67" spans="1:22">
      <c r="A67" s="75">
        <v>56</v>
      </c>
      <c r="B67" s="125" t="s">
        <v>106</v>
      </c>
      <c r="C67" s="126" t="s">
        <v>25</v>
      </c>
      <c r="D67" s="2">
        <v>74063833.900000006</v>
      </c>
      <c r="E67" s="3">
        <f t="shared" si="20"/>
        <v>2.6284223537491926E-4</v>
      </c>
      <c r="F67" s="14">
        <v>114.2419</v>
      </c>
      <c r="G67" s="14">
        <v>114.2419</v>
      </c>
      <c r="H67" s="60">
        <v>91</v>
      </c>
      <c r="I67" s="5">
        <v>3.0800000000000001E-4</v>
      </c>
      <c r="J67" s="5">
        <v>0.13009999999999999</v>
      </c>
      <c r="K67" s="2">
        <v>74576291.299999997</v>
      </c>
      <c r="L67" s="3">
        <f t="shared" si="14"/>
        <v>2.6419760120346167E-4</v>
      </c>
      <c r="M67" s="14">
        <v>114.48309999999999</v>
      </c>
      <c r="N67" s="14">
        <v>114.48309999999999</v>
      </c>
      <c r="O67" s="60">
        <v>93</v>
      </c>
      <c r="P67" s="5">
        <v>2.9799999999999998E-4</v>
      </c>
      <c r="Q67" s="5">
        <v>0.13139999999999999</v>
      </c>
      <c r="R67" s="80">
        <f t="shared" si="15"/>
        <v>6.9191314169869218E-3</v>
      </c>
      <c r="S67" s="80">
        <f t="shared" si="16"/>
        <v>2.1113094232500691E-3</v>
      </c>
      <c r="T67" s="80">
        <f t="shared" si="17"/>
        <v>2.197802197802198E-2</v>
      </c>
      <c r="U67" s="81">
        <f t="shared" si="18"/>
        <v>-1.0000000000000026E-5</v>
      </c>
      <c r="V67" s="83">
        <f t="shared" si="19"/>
        <v>1.2999999999999956E-3</v>
      </c>
    </row>
    <row r="68" spans="1:22">
      <c r="A68" s="75">
        <v>57</v>
      </c>
      <c r="B68" s="125" t="s">
        <v>107</v>
      </c>
      <c r="C68" s="126" t="s">
        <v>108</v>
      </c>
      <c r="D68" s="2">
        <v>1202798675.78</v>
      </c>
      <c r="E68" s="3">
        <f t="shared" si="20"/>
        <v>4.2685650472113609E-3</v>
      </c>
      <c r="F68" s="7">
        <v>1000</v>
      </c>
      <c r="G68" s="7">
        <v>1000</v>
      </c>
      <c r="H68" s="60">
        <v>281</v>
      </c>
      <c r="I68" s="5">
        <v>1.20833733026875E-4</v>
      </c>
      <c r="J68" s="5">
        <v>0.151</v>
      </c>
      <c r="K68" s="2">
        <v>1230307253.1300001</v>
      </c>
      <c r="L68" s="3">
        <f t="shared" si="14"/>
        <v>4.3585463872506374E-3</v>
      </c>
      <c r="M68" s="7">
        <v>1000</v>
      </c>
      <c r="N68" s="7">
        <v>1000</v>
      </c>
      <c r="O68" s="60">
        <v>286</v>
      </c>
      <c r="P68" s="5">
        <v>2.2870475254024701E-4</v>
      </c>
      <c r="Q68" s="5">
        <v>0.14699999999999999</v>
      </c>
      <c r="R68" s="80">
        <f t="shared" si="15"/>
        <v>2.2870475254024681E-2</v>
      </c>
      <c r="S68" s="80">
        <f t="shared" si="16"/>
        <v>0</v>
      </c>
      <c r="T68" s="80">
        <f t="shared" si="17"/>
        <v>1.7793594306049824E-2</v>
      </c>
      <c r="U68" s="81">
        <f t="shared" si="18"/>
        <v>1.0787101951337201E-4</v>
      </c>
      <c r="V68" s="83">
        <f t="shared" si="19"/>
        <v>-4.0000000000000036E-3</v>
      </c>
    </row>
    <row r="69" spans="1:22">
      <c r="A69" s="75">
        <v>58</v>
      </c>
      <c r="B69" s="125" t="s">
        <v>109</v>
      </c>
      <c r="C69" s="126" t="s">
        <v>64</v>
      </c>
      <c r="D69" s="2">
        <v>214913952.75999999</v>
      </c>
      <c r="E69" s="3">
        <f t="shared" si="20"/>
        <v>7.626996981140371E-4</v>
      </c>
      <c r="F69" s="7">
        <v>1055.8</v>
      </c>
      <c r="G69" s="7">
        <v>1060.75</v>
      </c>
      <c r="H69" s="60">
        <v>78</v>
      </c>
      <c r="I69" s="5">
        <v>-1.1000000000000001E-3</v>
      </c>
      <c r="J69" s="5">
        <v>-2.0000000000000001E-4</v>
      </c>
      <c r="K69" s="2">
        <v>214892737.16</v>
      </c>
      <c r="L69" s="3">
        <f t="shared" si="14"/>
        <v>7.6128947530162299E-4</v>
      </c>
      <c r="M69" s="7">
        <v>1053.79</v>
      </c>
      <c r="N69" s="7">
        <v>1059.3499999999999</v>
      </c>
      <c r="O69" s="60">
        <v>78</v>
      </c>
      <c r="P69" s="5">
        <v>-1.6000000000000001E-3</v>
      </c>
      <c r="Q69" s="5">
        <v>-1.8E-3</v>
      </c>
      <c r="R69" s="80">
        <f t="shared" si="15"/>
        <v>-9.8716717679498697E-5</v>
      </c>
      <c r="S69" s="80">
        <f t="shared" si="16"/>
        <v>-1.3198208814518887E-3</v>
      </c>
      <c r="T69" s="80">
        <f t="shared" si="17"/>
        <v>0</v>
      </c>
      <c r="U69" s="81">
        <f t="shared" si="18"/>
        <v>-5.0000000000000001E-4</v>
      </c>
      <c r="V69" s="83">
        <f t="shared" si="19"/>
        <v>-1.5999999999999999E-3</v>
      </c>
    </row>
    <row r="70" spans="1:22">
      <c r="A70" s="75">
        <v>59</v>
      </c>
      <c r="B70" s="125" t="s">
        <v>110</v>
      </c>
      <c r="C70" s="126" t="s">
        <v>67</v>
      </c>
      <c r="D70" s="2">
        <v>862399537.65999997</v>
      </c>
      <c r="E70" s="3">
        <f t="shared" si="20"/>
        <v>3.0605358962500486E-3</v>
      </c>
      <c r="F70" s="15">
        <v>1.1211</v>
      </c>
      <c r="G70" s="15">
        <v>1.1211</v>
      </c>
      <c r="H70" s="60">
        <v>36</v>
      </c>
      <c r="I70" s="5">
        <v>1.2097138214318027E-2</v>
      </c>
      <c r="J70" s="5">
        <v>5.3353939291894692E-2</v>
      </c>
      <c r="K70" s="2">
        <v>864151171.63</v>
      </c>
      <c r="L70" s="3">
        <f t="shared" si="14"/>
        <v>3.0613840222141336E-3</v>
      </c>
      <c r="M70" s="15">
        <v>1.1234</v>
      </c>
      <c r="N70" s="15">
        <v>1.1234</v>
      </c>
      <c r="O70" s="60">
        <v>36</v>
      </c>
      <c r="P70" s="5">
        <v>2.0515565070020237E-3</v>
      </c>
      <c r="Q70" s="5">
        <v>6.1404980262550479E-2</v>
      </c>
      <c r="R70" s="80">
        <f t="shared" si="15"/>
        <v>2.0311165457635116E-3</v>
      </c>
      <c r="S70" s="80">
        <f t="shared" si="16"/>
        <v>2.0515565070020237E-3</v>
      </c>
      <c r="T70" s="80">
        <f t="shared" si="17"/>
        <v>0</v>
      </c>
      <c r="U70" s="81">
        <f t="shared" si="18"/>
        <v>-1.0045581707316004E-2</v>
      </c>
      <c r="V70" s="83">
        <f t="shared" si="19"/>
        <v>8.0510409706557873E-3</v>
      </c>
    </row>
    <row r="71" spans="1:22">
      <c r="A71" s="75">
        <v>60</v>
      </c>
      <c r="B71" s="125" t="s">
        <v>111</v>
      </c>
      <c r="C71" s="126" t="s">
        <v>27</v>
      </c>
      <c r="D71" s="2">
        <v>62703406257.099998</v>
      </c>
      <c r="E71" s="3">
        <f t="shared" si="20"/>
        <v>0.22252565926428311</v>
      </c>
      <c r="F71" s="15">
        <v>1574.18</v>
      </c>
      <c r="G71" s="2">
        <v>1574.18</v>
      </c>
      <c r="H71" s="60">
        <v>2464</v>
      </c>
      <c r="I71" s="5">
        <v>2.3999999999999998E-3</v>
      </c>
      <c r="J71" s="5">
        <v>1.7299999999999999E-2</v>
      </c>
      <c r="K71" s="2">
        <v>62365992678.120003</v>
      </c>
      <c r="L71" s="3">
        <f t="shared" si="14"/>
        <v>0.22094080270028069</v>
      </c>
      <c r="M71" s="15">
        <v>1577.63</v>
      </c>
      <c r="N71" s="2">
        <v>1577.63</v>
      </c>
      <c r="O71" s="60">
        <v>2464</v>
      </c>
      <c r="P71" s="5">
        <v>2.2000000000000001E-3</v>
      </c>
      <c r="Q71" s="5">
        <v>1.95E-2</v>
      </c>
      <c r="R71" s="80">
        <f t="shared" si="15"/>
        <v>-5.3811044586080979E-3</v>
      </c>
      <c r="S71" s="80">
        <f t="shared" si="16"/>
        <v>2.1916172229351442E-3</v>
      </c>
      <c r="T71" s="80">
        <f t="shared" si="17"/>
        <v>0</v>
      </c>
      <c r="U71" s="81">
        <f t="shared" si="18"/>
        <v>-1.9999999999999966E-4</v>
      </c>
      <c r="V71" s="83">
        <f t="shared" si="19"/>
        <v>2.2000000000000006E-3</v>
      </c>
    </row>
    <row r="72" spans="1:22">
      <c r="A72" s="75">
        <v>61</v>
      </c>
      <c r="B72" s="125" t="s">
        <v>112</v>
      </c>
      <c r="C72" s="126" t="s">
        <v>72</v>
      </c>
      <c r="D72" s="2">
        <v>25414171.550000001</v>
      </c>
      <c r="E72" s="3">
        <f t="shared" si="20"/>
        <v>9.0191356680546824E-5</v>
      </c>
      <c r="F72" s="2">
        <v>0.77510000000000001</v>
      </c>
      <c r="G72" s="2">
        <v>0.77510000000000001</v>
      </c>
      <c r="H72" s="60">
        <v>746</v>
      </c>
      <c r="I72" s="5">
        <v>3.2000000000000002E-3</v>
      </c>
      <c r="J72" s="5">
        <v>1.4E-2</v>
      </c>
      <c r="K72" s="2">
        <v>25458432.140000001</v>
      </c>
      <c r="L72" s="3">
        <f t="shared" si="14"/>
        <v>9.0190281449261495E-5</v>
      </c>
      <c r="M72" s="2">
        <v>0.77639999999999998</v>
      </c>
      <c r="N72" s="2">
        <v>0.77639999999999998</v>
      </c>
      <c r="O72" s="60">
        <v>746</v>
      </c>
      <c r="P72" s="5">
        <v>1.6772029415558867E-3</v>
      </c>
      <c r="Q72" s="5">
        <v>1.5698587127158572E-2</v>
      </c>
      <c r="R72" s="80">
        <f t="shared" si="15"/>
        <v>1.7415712297731715E-3</v>
      </c>
      <c r="S72" s="80">
        <f t="shared" si="16"/>
        <v>1.6772029415558867E-3</v>
      </c>
      <c r="T72" s="80">
        <f t="shared" si="17"/>
        <v>0</v>
      </c>
      <c r="U72" s="81">
        <f t="shared" si="18"/>
        <v>-1.5227970584441135E-3</v>
      </c>
      <c r="V72" s="83">
        <f t="shared" si="19"/>
        <v>1.6985871271585715E-3</v>
      </c>
    </row>
    <row r="73" spans="1:22">
      <c r="A73" s="75">
        <v>62</v>
      </c>
      <c r="B73" s="125" t="s">
        <v>251</v>
      </c>
      <c r="C73" s="126" t="s">
        <v>32</v>
      </c>
      <c r="D73" s="2">
        <v>8745930252.1884003</v>
      </c>
      <c r="E73" s="3">
        <f t="shared" si="20"/>
        <v>3.1038088860241005E-2</v>
      </c>
      <c r="F73" s="14">
        <v>1</v>
      </c>
      <c r="G73" s="14">
        <v>1</v>
      </c>
      <c r="H73" s="60">
        <v>5538</v>
      </c>
      <c r="I73" s="5">
        <v>0.06</v>
      </c>
      <c r="J73" s="5">
        <v>0.06</v>
      </c>
      <c r="K73" s="2">
        <v>8745294540.0900002</v>
      </c>
      <c r="L73" s="3">
        <f t="shared" si="14"/>
        <v>3.0981506307615335E-2</v>
      </c>
      <c r="M73" s="14">
        <v>1</v>
      </c>
      <c r="N73" s="14">
        <v>1</v>
      </c>
      <c r="O73" s="60">
        <v>5539</v>
      </c>
      <c r="P73" s="5">
        <v>0.06</v>
      </c>
      <c r="Q73" s="5">
        <v>0.06</v>
      </c>
      <c r="R73" s="80">
        <f>((K73-D73)/D73)</f>
        <v>-7.2686618812338287E-5</v>
      </c>
      <c r="S73" s="80">
        <f>((N73-G73)/G73)</f>
        <v>0</v>
      </c>
      <c r="T73" s="80">
        <f>((O73-H73)/H73)</f>
        <v>1.8057060310581438E-4</v>
      </c>
      <c r="U73" s="81">
        <f>P73-I73</f>
        <v>0</v>
      </c>
      <c r="V73" s="83">
        <f>Q73-J73</f>
        <v>0</v>
      </c>
    </row>
    <row r="74" spans="1:22">
      <c r="A74" s="75">
        <v>63</v>
      </c>
      <c r="B74" s="125" t="s">
        <v>113</v>
      </c>
      <c r="C74" s="126" t="s">
        <v>114</v>
      </c>
      <c r="D74" s="2">
        <v>1059440836.98</v>
      </c>
      <c r="E74" s="3">
        <f t="shared" si="20"/>
        <v>3.7598080355289113E-3</v>
      </c>
      <c r="F74" s="2">
        <v>215.16569200000001</v>
      </c>
      <c r="G74" s="2">
        <v>217.57789600000001</v>
      </c>
      <c r="H74" s="60">
        <v>488</v>
      </c>
      <c r="I74" s="5">
        <v>1.5E-3</v>
      </c>
      <c r="J74" s="5">
        <v>-1.1000000000000001E-3</v>
      </c>
      <c r="K74" s="2">
        <v>1098707422.29</v>
      </c>
      <c r="L74" s="3">
        <f t="shared" si="14"/>
        <v>3.8923344179956128E-3</v>
      </c>
      <c r="M74" s="2">
        <v>215.67769999999999</v>
      </c>
      <c r="N74" s="2">
        <v>217.110153</v>
      </c>
      <c r="O74" s="60">
        <v>488</v>
      </c>
      <c r="P74" s="5">
        <v>1.6999999999999999E-3</v>
      </c>
      <c r="Q74" s="5">
        <v>-1.1000000000000001E-3</v>
      </c>
      <c r="R74" s="80">
        <f t="shared" si="15"/>
        <v>3.7063499857086603E-2</v>
      </c>
      <c r="S74" s="80">
        <f t="shared" si="16"/>
        <v>-2.1497726037391818E-3</v>
      </c>
      <c r="T74" s="80">
        <f t="shared" si="17"/>
        <v>0</v>
      </c>
      <c r="U74" s="81">
        <f t="shared" si="18"/>
        <v>1.9999999999999987E-4</v>
      </c>
      <c r="V74" s="83">
        <f t="shared" si="19"/>
        <v>0</v>
      </c>
    </row>
    <row r="75" spans="1:22">
      <c r="A75" s="75">
        <v>64</v>
      </c>
      <c r="B75" s="125" t="s">
        <v>115</v>
      </c>
      <c r="C75" s="126" t="s">
        <v>34</v>
      </c>
      <c r="D75" s="2">
        <v>1115195798.55</v>
      </c>
      <c r="E75" s="3">
        <f t="shared" si="20"/>
        <v>3.9576746319582587E-3</v>
      </c>
      <c r="F75" s="14">
        <v>3.37</v>
      </c>
      <c r="G75" s="14">
        <v>3.37</v>
      </c>
      <c r="H75" s="61">
        <v>774</v>
      </c>
      <c r="I75" s="12">
        <v>-6.54E-2</v>
      </c>
      <c r="J75" s="12">
        <v>-0.40620000000000001</v>
      </c>
      <c r="K75" s="2">
        <v>1115195798.55</v>
      </c>
      <c r="L75" s="3">
        <f t="shared" si="14"/>
        <v>3.9507469426692835E-3</v>
      </c>
      <c r="M75" s="14">
        <v>3.37</v>
      </c>
      <c r="N75" s="14">
        <v>3.37</v>
      </c>
      <c r="O75" s="61">
        <v>774</v>
      </c>
      <c r="P75" s="12">
        <v>8.9999999999999998E-4</v>
      </c>
      <c r="Q75" s="12">
        <v>-0.35439999999999999</v>
      </c>
      <c r="R75" s="80">
        <f t="shared" si="15"/>
        <v>0</v>
      </c>
      <c r="S75" s="80">
        <f t="shared" si="16"/>
        <v>0</v>
      </c>
      <c r="T75" s="80">
        <f t="shared" si="17"/>
        <v>0</v>
      </c>
      <c r="U75" s="81">
        <f t="shared" si="18"/>
        <v>6.6299999999999998E-2</v>
      </c>
      <c r="V75" s="83">
        <f t="shared" si="19"/>
        <v>5.1800000000000013E-2</v>
      </c>
    </row>
    <row r="76" spans="1:22">
      <c r="A76" s="75">
        <v>65</v>
      </c>
      <c r="B76" s="125" t="s">
        <v>258</v>
      </c>
      <c r="C76" s="126" t="s">
        <v>36</v>
      </c>
      <c r="D76" s="2">
        <v>526273901.31</v>
      </c>
      <c r="E76" s="3">
        <f t="shared" si="20"/>
        <v>1.8676728081153254E-3</v>
      </c>
      <c r="F76" s="14">
        <v>103.4008</v>
      </c>
      <c r="G76" s="14">
        <v>103.4008</v>
      </c>
      <c r="H76" s="61">
        <v>93</v>
      </c>
      <c r="I76" s="12">
        <v>1.2680370892375059E-3</v>
      </c>
      <c r="J76" s="12">
        <v>1.6949285898622213E-2</v>
      </c>
      <c r="K76" s="2">
        <v>521507355.99000001</v>
      </c>
      <c r="L76" s="3">
        <f t="shared" si="14"/>
        <v>1.8475173551908413E-3</v>
      </c>
      <c r="M76" s="14">
        <v>103.6382</v>
      </c>
      <c r="N76" s="14">
        <v>103.6382</v>
      </c>
      <c r="O76" s="61">
        <v>66</v>
      </c>
      <c r="P76" s="12">
        <v>0.1305</v>
      </c>
      <c r="Q76" s="12">
        <v>0.1535</v>
      </c>
      <c r="R76" s="80">
        <f t="shared" ref="R76" si="21">((K76-D76)/D76)</f>
        <v>-9.0571569445779421E-3</v>
      </c>
      <c r="S76" s="80">
        <f t="shared" ref="S76" si="22">((N76-G76)/G76)</f>
        <v>2.2959203410417893E-3</v>
      </c>
      <c r="T76" s="80">
        <f t="shared" ref="T76" si="23">((O76-H76)/H76)</f>
        <v>-0.29032258064516131</v>
      </c>
      <c r="U76" s="81">
        <f t="shared" ref="U76" si="24">P76-I76</f>
        <v>0.1292319629107625</v>
      </c>
      <c r="V76" s="83">
        <f t="shared" ref="V76" si="25">Q76-J76</f>
        <v>0.13655071410137778</v>
      </c>
    </row>
    <row r="77" spans="1:22">
      <c r="A77" s="75">
        <v>66</v>
      </c>
      <c r="B77" s="126" t="s">
        <v>116</v>
      </c>
      <c r="C77" s="127" t="s">
        <v>40</v>
      </c>
      <c r="D77" s="2">
        <v>1958811838.9200001</v>
      </c>
      <c r="E77" s="3">
        <f t="shared" si="20"/>
        <v>6.951550511356785E-3</v>
      </c>
      <c r="F77" s="14">
        <v>99.97</v>
      </c>
      <c r="G77" s="14">
        <v>99.97</v>
      </c>
      <c r="H77" s="60">
        <v>184</v>
      </c>
      <c r="I77" s="5">
        <v>1.6999999999999999E-3</v>
      </c>
      <c r="J77" s="5">
        <v>1.41E-2</v>
      </c>
      <c r="K77" s="2">
        <v>1961268541.23</v>
      </c>
      <c r="L77" s="3">
        <f t="shared" si="14"/>
        <v>6.9480854421193053E-3</v>
      </c>
      <c r="M77" s="14">
        <v>100.18</v>
      </c>
      <c r="N77" s="14">
        <v>100.18</v>
      </c>
      <c r="O77" s="60">
        <v>141</v>
      </c>
      <c r="P77" s="5">
        <v>1.6999999999999999E-3</v>
      </c>
      <c r="Q77" s="5">
        <v>1.5800000000000002E-2</v>
      </c>
      <c r="R77" s="80">
        <f t="shared" si="15"/>
        <v>1.2541798355448254E-3</v>
      </c>
      <c r="S77" s="80">
        <f t="shared" si="16"/>
        <v>2.1006301890567967E-3</v>
      </c>
      <c r="T77" s="80">
        <f t="shared" si="17"/>
        <v>-0.23369565217391305</v>
      </c>
      <c r="U77" s="81">
        <f t="shared" si="18"/>
        <v>0</v>
      </c>
      <c r="V77" s="83">
        <f t="shared" si="19"/>
        <v>1.7000000000000019E-3</v>
      </c>
    </row>
    <row r="78" spans="1:22">
      <c r="A78" s="75">
        <v>67</v>
      </c>
      <c r="B78" s="125" t="s">
        <v>117</v>
      </c>
      <c r="C78" s="126" t="s">
        <v>17</v>
      </c>
      <c r="D78" s="2">
        <v>1221606605.55</v>
      </c>
      <c r="E78" s="3">
        <f t="shared" si="20"/>
        <v>4.3353117715329232E-3</v>
      </c>
      <c r="F78" s="14">
        <v>332.03870000000001</v>
      </c>
      <c r="G78" s="14">
        <v>332.03870000000001</v>
      </c>
      <c r="H78" s="60">
        <v>104</v>
      </c>
      <c r="I78" s="5">
        <v>2.0999999999999999E-3</v>
      </c>
      <c r="J78" s="5">
        <v>1.6E-2</v>
      </c>
      <c r="K78" s="2">
        <v>1224745328.0799999</v>
      </c>
      <c r="L78" s="3">
        <f t="shared" si="14"/>
        <v>4.3388424407192622E-3</v>
      </c>
      <c r="M78" s="14">
        <v>332.7439</v>
      </c>
      <c r="N78" s="14">
        <v>332.7439</v>
      </c>
      <c r="O78" s="60">
        <v>104</v>
      </c>
      <c r="P78" s="5">
        <v>2.0999999999999999E-3</v>
      </c>
      <c r="Q78" s="5">
        <v>1.8100000000000002E-2</v>
      </c>
      <c r="R78" s="80">
        <f t="shared" si="15"/>
        <v>2.5693398478201864E-3</v>
      </c>
      <c r="S78" s="80">
        <f t="shared" si="16"/>
        <v>2.1238488164180584E-3</v>
      </c>
      <c r="T78" s="80">
        <f t="shared" si="17"/>
        <v>0</v>
      </c>
      <c r="U78" s="81">
        <f t="shared" si="18"/>
        <v>0</v>
      </c>
      <c r="V78" s="83">
        <f t="shared" si="19"/>
        <v>2.1000000000000012E-3</v>
      </c>
    </row>
    <row r="79" spans="1:22">
      <c r="A79" s="75">
        <v>68</v>
      </c>
      <c r="B79" s="125" t="s">
        <v>252</v>
      </c>
      <c r="C79" s="126" t="s">
        <v>78</v>
      </c>
      <c r="D79" s="9">
        <v>1485540441.55</v>
      </c>
      <c r="E79" s="3">
        <f>(D79/$K$55)</f>
        <v>1.5483738536726168E-3</v>
      </c>
      <c r="F79" s="14">
        <v>102.16</v>
      </c>
      <c r="G79" s="14">
        <v>102.16</v>
      </c>
      <c r="H79" s="60">
        <v>306</v>
      </c>
      <c r="I79" s="5">
        <v>3.3E-3</v>
      </c>
      <c r="J79" s="5">
        <v>9.9000000000000008E-3</v>
      </c>
      <c r="K79" s="9">
        <v>1542073546.0899999</v>
      </c>
      <c r="L79" s="3">
        <f>(K79/$K$55)</f>
        <v>1.6072981202145252E-3</v>
      </c>
      <c r="M79" s="14">
        <v>102.43</v>
      </c>
      <c r="N79" s="14">
        <v>102.43</v>
      </c>
      <c r="O79" s="60">
        <v>306</v>
      </c>
      <c r="P79" s="5">
        <v>3.3E-3</v>
      </c>
      <c r="Q79" s="5">
        <v>9.9000000000000008E-3</v>
      </c>
      <c r="R79" s="80">
        <f t="shared" si="15"/>
        <v>3.8055580958141946E-2</v>
      </c>
      <c r="S79" s="80">
        <f t="shared" si="16"/>
        <v>2.6429130775255504E-3</v>
      </c>
      <c r="T79" s="80">
        <f t="shared" si="17"/>
        <v>0</v>
      </c>
      <c r="U79" s="81">
        <f t="shared" si="18"/>
        <v>0</v>
      </c>
      <c r="V79" s="83">
        <f t="shared" si="19"/>
        <v>0</v>
      </c>
    </row>
    <row r="80" spans="1:22">
      <c r="A80" s="75">
        <v>69</v>
      </c>
      <c r="B80" s="125" t="s">
        <v>118</v>
      </c>
      <c r="C80" s="126" t="s">
        <v>38</v>
      </c>
      <c r="D80" s="2">
        <v>56105212.420000002</v>
      </c>
      <c r="E80" s="3">
        <f t="shared" ref="E80:E90" si="26">(D80/$D$91)</f>
        <v>1.9910958793421956E-4</v>
      </c>
      <c r="F80" s="14">
        <v>12.238526999999999</v>
      </c>
      <c r="G80" s="2">
        <v>12.523713000000001</v>
      </c>
      <c r="H80" s="60">
        <v>56</v>
      </c>
      <c r="I80" s="5">
        <v>-2.9999999999999997E-4</v>
      </c>
      <c r="J80" s="5">
        <v>2.2587999999999999</v>
      </c>
      <c r="K80" s="2">
        <v>56459725.460000001</v>
      </c>
      <c r="L80" s="3">
        <f t="shared" ref="L80:L90" si="27">(K80/$K$91)</f>
        <v>2.0001697283568206E-4</v>
      </c>
      <c r="M80" s="14">
        <v>12.257016</v>
      </c>
      <c r="N80" s="2">
        <v>12.546288000000001</v>
      </c>
      <c r="O80" s="60">
        <v>57</v>
      </c>
      <c r="P80" s="5">
        <v>1.6999999999999999E-3</v>
      </c>
      <c r="Q80" s="5">
        <v>2.7168999999999999</v>
      </c>
      <c r="R80" s="80">
        <f t="shared" si="15"/>
        <v>6.3187184346819216E-3</v>
      </c>
      <c r="S80" s="80">
        <f t="shared" si="16"/>
        <v>1.8025804328157143E-3</v>
      </c>
      <c r="T80" s="80">
        <f t="shared" si="17"/>
        <v>1.7857142857142856E-2</v>
      </c>
      <c r="U80" s="81">
        <f t="shared" si="18"/>
        <v>2E-3</v>
      </c>
      <c r="V80" s="83">
        <f t="shared" si="19"/>
        <v>0.45809999999999995</v>
      </c>
    </row>
    <row r="81" spans="1:28">
      <c r="A81" s="75">
        <v>70</v>
      </c>
      <c r="B81" s="125" t="s">
        <v>236</v>
      </c>
      <c r="C81" s="126" t="s">
        <v>237</v>
      </c>
      <c r="D81" s="2">
        <v>263610819.31</v>
      </c>
      <c r="E81" s="3">
        <f t="shared" si="26"/>
        <v>9.3551809794246044E-4</v>
      </c>
      <c r="F81" s="2">
        <v>115.82</v>
      </c>
      <c r="G81" s="2">
        <v>115.82</v>
      </c>
      <c r="H81" s="60">
        <v>77</v>
      </c>
      <c r="I81" s="5">
        <v>0.12089999999999999</v>
      </c>
      <c r="J81" s="5">
        <v>0.26750000000000002</v>
      </c>
      <c r="K81" s="2">
        <v>264743289.28999999</v>
      </c>
      <c r="L81" s="3">
        <f t="shared" si="27"/>
        <v>9.3789246885131851E-4</v>
      </c>
      <c r="M81" s="2">
        <v>116.07</v>
      </c>
      <c r="N81" s="2">
        <v>116.07</v>
      </c>
      <c r="O81" s="60">
        <v>78</v>
      </c>
      <c r="P81" s="5">
        <v>0.1221</v>
      </c>
      <c r="Q81" s="5">
        <v>0.24990000000000001</v>
      </c>
      <c r="R81" s="80">
        <f>((K81-D81)/D81)</f>
        <v>4.2959920346373635E-3</v>
      </c>
      <c r="S81" s="80">
        <f>((N81-G81)/G81)</f>
        <v>2.1585218442410638E-3</v>
      </c>
      <c r="T81" s="80">
        <f>((O81-H81)/H81)</f>
        <v>1.2987012987012988E-2</v>
      </c>
      <c r="U81" s="81">
        <f t="shared" si="18"/>
        <v>1.2000000000000066E-3</v>
      </c>
      <c r="V81" s="83">
        <f t="shared" si="19"/>
        <v>-1.7600000000000005E-2</v>
      </c>
    </row>
    <row r="82" spans="1:28">
      <c r="A82" s="75">
        <v>71</v>
      </c>
      <c r="B82" s="125" t="s">
        <v>119</v>
      </c>
      <c r="C82" s="126" t="s">
        <v>120</v>
      </c>
      <c r="D82" s="2">
        <v>7150264460.6569538</v>
      </c>
      <c r="E82" s="3">
        <f t="shared" si="26"/>
        <v>2.5375293114024373E-2</v>
      </c>
      <c r="F82" s="14">
        <v>1.0162711878830544</v>
      </c>
      <c r="G82" s="14">
        <v>1.0162711878830544</v>
      </c>
      <c r="H82" s="60">
        <v>3946</v>
      </c>
      <c r="I82" s="5">
        <v>0.1103</v>
      </c>
      <c r="J82" s="5">
        <v>0.1103</v>
      </c>
      <c r="K82" s="2">
        <v>7239097843.7178192</v>
      </c>
      <c r="L82" s="3">
        <f t="shared" si="27"/>
        <v>2.5645580543737764E-2</v>
      </c>
      <c r="M82" s="14">
        <v>1.0185454067922124</v>
      </c>
      <c r="N82" s="14">
        <v>1.0185454067922124</v>
      </c>
      <c r="O82" s="60">
        <v>3996</v>
      </c>
      <c r="P82" s="5">
        <v>12.25</v>
      </c>
      <c r="Q82" s="5">
        <v>12.25</v>
      </c>
      <c r="R82" s="80">
        <f t="shared" si="15"/>
        <v>1.242378985415926E-2</v>
      </c>
      <c r="S82" s="80">
        <f t="shared" si="16"/>
        <v>2.2378071289173682E-3</v>
      </c>
      <c r="T82" s="80">
        <f t="shared" si="17"/>
        <v>1.2671059300557527E-2</v>
      </c>
      <c r="U82" s="81">
        <f t="shared" si="18"/>
        <v>12.139699999999999</v>
      </c>
      <c r="V82" s="83">
        <f t="shared" si="19"/>
        <v>12.139699999999999</v>
      </c>
    </row>
    <row r="83" spans="1:28" ht="14.25" customHeight="1">
      <c r="A83" s="75">
        <v>72</v>
      </c>
      <c r="B83" s="125" t="s">
        <v>121</v>
      </c>
      <c r="C83" s="126" t="s">
        <v>42</v>
      </c>
      <c r="D83" s="2">
        <v>21946655994.919998</v>
      </c>
      <c r="E83" s="3">
        <f t="shared" si="26"/>
        <v>7.7885626721642662E-2</v>
      </c>
      <c r="F83" s="2">
        <v>5081.49</v>
      </c>
      <c r="G83" s="2">
        <v>5081.49</v>
      </c>
      <c r="H83" s="60">
        <v>419</v>
      </c>
      <c r="I83" s="5">
        <v>1.1999999999999999E-3</v>
      </c>
      <c r="J83" s="5">
        <v>1.3899999999999999E-2</v>
      </c>
      <c r="K83" s="2">
        <v>21343757760.400002</v>
      </c>
      <c r="L83" s="3">
        <f t="shared" si="27"/>
        <v>7.5613435619658526E-2</v>
      </c>
      <c r="M83" s="2">
        <v>5087.7299999999996</v>
      </c>
      <c r="N83" s="2">
        <v>5087.7299999999996</v>
      </c>
      <c r="O83" s="60">
        <v>413</v>
      </c>
      <c r="P83" s="5">
        <v>1.1999999999999999E-3</v>
      </c>
      <c r="Q83" s="5">
        <v>1.52E-2</v>
      </c>
      <c r="R83" s="80">
        <f t="shared" si="15"/>
        <v>-2.7471075076747443E-2</v>
      </c>
      <c r="S83" s="80">
        <f t="shared" si="16"/>
        <v>1.2279862796147946E-3</v>
      </c>
      <c r="T83" s="80">
        <f t="shared" si="17"/>
        <v>-1.4319809069212411E-2</v>
      </c>
      <c r="U83" s="81">
        <f t="shared" si="18"/>
        <v>0</v>
      </c>
      <c r="V83" s="83">
        <f t="shared" si="19"/>
        <v>1.3000000000000008E-3</v>
      </c>
    </row>
    <row r="84" spans="1:28">
      <c r="A84" s="75">
        <v>73</v>
      </c>
      <c r="B84" s="125" t="s">
        <v>122</v>
      </c>
      <c r="C84" s="126" t="s">
        <v>42</v>
      </c>
      <c r="D84" s="2">
        <v>35678148219.949997</v>
      </c>
      <c r="E84" s="3">
        <f t="shared" si="26"/>
        <v>0.12661678093563222</v>
      </c>
      <c r="F84" s="14">
        <v>257.52</v>
      </c>
      <c r="G84" s="14">
        <v>257.52</v>
      </c>
      <c r="H84" s="60">
        <v>6659</v>
      </c>
      <c r="I84" s="5">
        <v>5.0000000000000001E-4</v>
      </c>
      <c r="J84" s="5">
        <v>6.7000000000000002E-3</v>
      </c>
      <c r="K84" s="2">
        <v>35311030587.739998</v>
      </c>
      <c r="L84" s="3">
        <f t="shared" si="27"/>
        <v>0.12509457650253211</v>
      </c>
      <c r="M84" s="14">
        <v>257.58999999999997</v>
      </c>
      <c r="N84" s="14">
        <v>257.58999999999997</v>
      </c>
      <c r="O84" s="60">
        <v>6651</v>
      </c>
      <c r="P84" s="5">
        <v>2.9999999999999997E-4</v>
      </c>
      <c r="Q84" s="5">
        <v>7.0000000000000001E-3</v>
      </c>
      <c r="R84" s="80">
        <f t="shared" si="15"/>
        <v>-1.0289705338594884E-2</v>
      </c>
      <c r="S84" s="80">
        <f t="shared" si="16"/>
        <v>2.7182354768559016E-4</v>
      </c>
      <c r="T84" s="80">
        <f t="shared" si="17"/>
        <v>-1.2013815888271512E-3</v>
      </c>
      <c r="U84" s="81">
        <f t="shared" si="18"/>
        <v>-2.0000000000000004E-4</v>
      </c>
      <c r="V84" s="83">
        <f t="shared" si="19"/>
        <v>2.9999999999999992E-4</v>
      </c>
    </row>
    <row r="85" spans="1:28" ht="12.75" customHeight="1">
      <c r="A85" s="75">
        <v>74</v>
      </c>
      <c r="B85" s="125" t="s">
        <v>123</v>
      </c>
      <c r="C85" s="126" t="s">
        <v>42</v>
      </c>
      <c r="D85" s="2">
        <v>312500954.52999997</v>
      </c>
      <c r="E85" s="3">
        <f t="shared" si="26"/>
        <v>1.1090223813739297E-3</v>
      </c>
      <c r="F85" s="2">
        <v>5527.62</v>
      </c>
      <c r="G85" s="7">
        <v>5553.7</v>
      </c>
      <c r="H85" s="60">
        <v>16</v>
      </c>
      <c r="I85" s="5">
        <v>-1.78E-2</v>
      </c>
      <c r="J85" s="5">
        <v>4.6100000000000002E-2</v>
      </c>
      <c r="K85" s="2">
        <v>311718415.17000002</v>
      </c>
      <c r="L85" s="3">
        <f t="shared" si="27"/>
        <v>1.1043088373430387E-3</v>
      </c>
      <c r="M85" s="2">
        <v>5514.01</v>
      </c>
      <c r="N85" s="7">
        <v>5539.63</v>
      </c>
      <c r="O85" s="60">
        <v>16</v>
      </c>
      <c r="P85" s="5">
        <v>-2.5000000000000001E-3</v>
      </c>
      <c r="Q85" s="5">
        <v>4.3400000000000001E-2</v>
      </c>
      <c r="R85" s="80">
        <f t="shared" si="15"/>
        <v>-2.5041183031805146E-3</v>
      </c>
      <c r="S85" s="80">
        <f t="shared" si="16"/>
        <v>-2.5334461710210688E-3</v>
      </c>
      <c r="T85" s="80">
        <f t="shared" si="17"/>
        <v>0</v>
      </c>
      <c r="U85" s="81">
        <f t="shared" si="18"/>
        <v>1.5299999999999999E-2</v>
      </c>
      <c r="V85" s="83">
        <f t="shared" si="19"/>
        <v>-2.700000000000001E-3</v>
      </c>
    </row>
    <row r="86" spans="1:28" ht="12.75" customHeight="1">
      <c r="A86" s="75">
        <v>75</v>
      </c>
      <c r="B86" s="125" t="s">
        <v>124</v>
      </c>
      <c r="C86" s="126" t="s">
        <v>42</v>
      </c>
      <c r="D86" s="2">
        <v>16356699163.27</v>
      </c>
      <c r="E86" s="3">
        <f t="shared" si="26"/>
        <v>5.804764815758421E-2</v>
      </c>
      <c r="F86" s="14">
        <v>127.72</v>
      </c>
      <c r="G86" s="14">
        <v>127.72</v>
      </c>
      <c r="H86" s="60">
        <v>4287</v>
      </c>
      <c r="I86" s="5">
        <v>1.2999999999999999E-3</v>
      </c>
      <c r="J86" s="5">
        <v>1.43E-2</v>
      </c>
      <c r="K86" s="2">
        <v>16401483291.379999</v>
      </c>
      <c r="L86" s="3">
        <f t="shared" si="27"/>
        <v>5.8104693411607788E-2</v>
      </c>
      <c r="M86" s="14">
        <v>127.88</v>
      </c>
      <c r="N86" s="14">
        <v>127.88</v>
      </c>
      <c r="O86" s="60">
        <v>4297</v>
      </c>
      <c r="P86" s="5">
        <v>1.2999999999999999E-3</v>
      </c>
      <c r="Q86" s="5">
        <v>1.5599999999999999E-2</v>
      </c>
      <c r="R86" s="80">
        <f t="shared" si="15"/>
        <v>2.7379685633984324E-3</v>
      </c>
      <c r="S86" s="80">
        <f t="shared" si="16"/>
        <v>1.2527403695583824E-3</v>
      </c>
      <c r="T86" s="80">
        <f t="shared" si="17"/>
        <v>2.3326335432703521E-3</v>
      </c>
      <c r="U86" s="81">
        <f t="shared" si="18"/>
        <v>0</v>
      </c>
      <c r="V86" s="83">
        <f t="shared" si="19"/>
        <v>1.2999999999999991E-3</v>
      </c>
    </row>
    <row r="87" spans="1:28" ht="12.75" customHeight="1">
      <c r="A87" s="75">
        <v>76</v>
      </c>
      <c r="B87" s="125" t="s">
        <v>125</v>
      </c>
      <c r="C87" s="126" t="s">
        <v>42</v>
      </c>
      <c r="D87" s="2">
        <v>13331032860.190001</v>
      </c>
      <c r="E87" s="3">
        <f t="shared" si="26"/>
        <v>4.7309979679958786E-2</v>
      </c>
      <c r="F87" s="14">
        <v>354.87</v>
      </c>
      <c r="G87" s="14">
        <v>355.1</v>
      </c>
      <c r="H87" s="60">
        <v>10248</v>
      </c>
      <c r="I87" s="5">
        <v>6.9999999999999999E-4</v>
      </c>
      <c r="J87" s="5">
        <v>5.0000000000000001E-3</v>
      </c>
      <c r="K87" s="2">
        <v>13213375816.790001</v>
      </c>
      <c r="L87" s="3">
        <f t="shared" si="27"/>
        <v>4.6810348620751938E-2</v>
      </c>
      <c r="M87" s="14">
        <v>355.08</v>
      </c>
      <c r="N87" s="14">
        <v>355.31</v>
      </c>
      <c r="O87" s="60">
        <v>10247</v>
      </c>
      <c r="P87" s="5">
        <v>5.9999999999999995E-4</v>
      </c>
      <c r="Q87" s="5">
        <v>5.4999999999999997E-3</v>
      </c>
      <c r="R87" s="80">
        <f t="shared" si="15"/>
        <v>-8.8258010188658944E-3</v>
      </c>
      <c r="S87" s="80">
        <f t="shared" si="16"/>
        <v>5.9138270909597161E-4</v>
      </c>
      <c r="T87" s="80">
        <f t="shared" si="17"/>
        <v>-9.7580015612802498E-5</v>
      </c>
      <c r="U87" s="81">
        <f t="shared" si="18"/>
        <v>-1.0000000000000005E-4</v>
      </c>
      <c r="V87" s="83">
        <f t="shared" si="19"/>
        <v>4.9999999999999958E-4</v>
      </c>
    </row>
    <row r="88" spans="1:28">
      <c r="A88" s="75">
        <v>77</v>
      </c>
      <c r="B88" s="125" t="s">
        <v>126</v>
      </c>
      <c r="C88" s="126" t="s">
        <v>45</v>
      </c>
      <c r="D88" s="2">
        <v>94426560895.880005</v>
      </c>
      <c r="E88" s="3">
        <f t="shared" si="26"/>
        <v>0.33510671859290603</v>
      </c>
      <c r="F88" s="2">
        <v>1.9705999999999999</v>
      </c>
      <c r="G88" s="2">
        <v>1.9705999999999999</v>
      </c>
      <c r="H88" s="60">
        <v>6126</v>
      </c>
      <c r="I88" s="5">
        <v>5.7200000000000001E-2</v>
      </c>
      <c r="J88" s="5">
        <v>7.1599999999999997E-2</v>
      </c>
      <c r="K88" s="2">
        <v>96069169363.279999</v>
      </c>
      <c r="L88" s="3">
        <f t="shared" si="27"/>
        <v>0.34033931766981912</v>
      </c>
      <c r="M88" s="2">
        <v>1.9726999999999999</v>
      </c>
      <c r="N88" s="2">
        <v>1.9726999999999999</v>
      </c>
      <c r="O88" s="60">
        <v>6124</v>
      </c>
      <c r="P88" s="5">
        <v>5.7000000000000002E-2</v>
      </c>
      <c r="Q88" s="5">
        <v>6.9900000000000004E-2</v>
      </c>
      <c r="R88" s="80">
        <f t="shared" si="15"/>
        <v>1.7395618900186628E-2</v>
      </c>
      <c r="S88" s="80">
        <f t="shared" si="16"/>
        <v>1.0656652796102663E-3</v>
      </c>
      <c r="T88" s="80">
        <f t="shared" si="17"/>
        <v>-3.2647730982696702E-4</v>
      </c>
      <c r="U88" s="81">
        <f t="shared" si="18"/>
        <v>-1.9999999999999879E-4</v>
      </c>
      <c r="V88" s="83">
        <f t="shared" si="19"/>
        <v>-1.6999999999999932E-3</v>
      </c>
    </row>
    <row r="89" spans="1:28">
      <c r="A89" s="75">
        <v>78</v>
      </c>
      <c r="B89" s="125" t="s">
        <v>241</v>
      </c>
      <c r="C89" s="125" t="s">
        <v>242</v>
      </c>
      <c r="D89" s="2">
        <v>82946548.299999997</v>
      </c>
      <c r="E89" s="3">
        <f t="shared" si="26"/>
        <v>2.9436575213271136E-4</v>
      </c>
      <c r="F89" s="2">
        <v>102.72506738741424</v>
      </c>
      <c r="G89" s="2">
        <v>102.72506738741424</v>
      </c>
      <c r="H89" s="60">
        <v>56</v>
      </c>
      <c r="I89" s="5">
        <v>1.6000000000000001E-3</v>
      </c>
      <c r="J89" s="5">
        <v>1.11E-2</v>
      </c>
      <c r="K89" s="2">
        <v>82946548.299999997</v>
      </c>
      <c r="L89" s="3">
        <f t="shared" si="27"/>
        <v>2.9385048125833891E-4</v>
      </c>
      <c r="M89" s="2">
        <v>102.89051855042052</v>
      </c>
      <c r="N89" s="2">
        <v>102.89051855042052</v>
      </c>
      <c r="O89" s="60">
        <v>56</v>
      </c>
      <c r="P89" s="5">
        <v>1.6000000000000001E-3</v>
      </c>
      <c r="Q89" s="5">
        <v>1.2699999999999999E-2</v>
      </c>
      <c r="R89" s="80">
        <f>((K89-D89)/D89)</f>
        <v>0</v>
      </c>
      <c r="S89" s="80">
        <f>((N89-G89)/G89)</f>
        <v>1.6106211192084578E-3</v>
      </c>
      <c r="T89" s="80">
        <f>((O89-H89)/H89)</f>
        <v>0</v>
      </c>
      <c r="U89" s="81">
        <f>P89-I89</f>
        <v>0</v>
      </c>
      <c r="V89" s="83">
        <f>Q89-J89</f>
        <v>1.599999999999999E-3</v>
      </c>
    </row>
    <row r="90" spans="1:28">
      <c r="A90" s="75">
        <v>79</v>
      </c>
      <c r="B90" s="125" t="s">
        <v>127</v>
      </c>
      <c r="C90" s="126" t="s">
        <v>91</v>
      </c>
      <c r="D90" s="2">
        <v>2582183188.3800001</v>
      </c>
      <c r="E90" s="3">
        <f t="shared" si="26"/>
        <v>9.1638086450900741E-3</v>
      </c>
      <c r="F90" s="14">
        <v>25.700099999999999</v>
      </c>
      <c r="G90" s="14">
        <v>25.700099999999999</v>
      </c>
      <c r="H90" s="60">
        <v>1321</v>
      </c>
      <c r="I90" s="5">
        <v>0</v>
      </c>
      <c r="J90" s="5">
        <v>0.1052</v>
      </c>
      <c r="K90" s="2">
        <v>2577677023.3499999</v>
      </c>
      <c r="L90" s="3">
        <f t="shared" si="27"/>
        <v>9.1318041481415081E-3</v>
      </c>
      <c r="M90" s="14">
        <v>25.784099999999999</v>
      </c>
      <c r="N90" s="14">
        <v>25.784099999999999</v>
      </c>
      <c r="O90" s="60">
        <v>1319</v>
      </c>
      <c r="P90" s="5">
        <v>0</v>
      </c>
      <c r="Q90" s="5">
        <v>0.1057</v>
      </c>
      <c r="R90" s="80">
        <f t="shared" si="15"/>
        <v>-1.7450988954921009E-3</v>
      </c>
      <c r="S90" s="80">
        <f t="shared" si="16"/>
        <v>3.2684697724911435E-3</v>
      </c>
      <c r="T90" s="80">
        <f t="shared" si="17"/>
        <v>-1.514004542013626E-3</v>
      </c>
      <c r="U90" s="81">
        <f t="shared" si="18"/>
        <v>0</v>
      </c>
      <c r="V90" s="83">
        <f t="shared" si="19"/>
        <v>5.0000000000000044E-4</v>
      </c>
    </row>
    <row r="91" spans="1:28">
      <c r="A91" s="75"/>
      <c r="B91" s="19"/>
      <c r="C91" s="71" t="s">
        <v>46</v>
      </c>
      <c r="D91" s="59">
        <f>SUM(D58:D90)</f>
        <v>281780566180.14624</v>
      </c>
      <c r="E91" s="100">
        <f>(D91/$D$183)</f>
        <v>9.9989604779669228E-2</v>
      </c>
      <c r="F91" s="30"/>
      <c r="G91" s="11"/>
      <c r="H91" s="65">
        <f>SUM(H58:H90)</f>
        <v>49350</v>
      </c>
      <c r="I91" s="12"/>
      <c r="J91" s="12"/>
      <c r="K91" s="59">
        <f>SUM(K58:K90)</f>
        <v>282274672291.84991</v>
      </c>
      <c r="L91" s="100">
        <f>(K91/$K$183)</f>
        <v>9.9318109513894762E-2</v>
      </c>
      <c r="M91" s="30"/>
      <c r="N91" s="11"/>
      <c r="O91" s="65">
        <f>SUM(O58:O90)</f>
        <v>49333</v>
      </c>
      <c r="P91" s="12"/>
      <c r="Q91" s="12"/>
      <c r="R91" s="80">
        <f t="shared" si="15"/>
        <v>1.7535138011887782E-3</v>
      </c>
      <c r="S91" s="80" t="e">
        <f t="shared" si="16"/>
        <v>#DIV/0!</v>
      </c>
      <c r="T91" s="80">
        <f t="shared" si="17"/>
        <v>-3.4447821681864236E-4</v>
      </c>
      <c r="U91" s="81">
        <f t="shared" si="18"/>
        <v>0</v>
      </c>
      <c r="V91" s="83">
        <f t="shared" si="19"/>
        <v>0</v>
      </c>
    </row>
    <row r="92" spans="1:28" ht="8.2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</row>
    <row r="93" spans="1:28" ht="15" customHeight="1">
      <c r="A93" s="132" t="s">
        <v>128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</row>
    <row r="94" spans="1:28">
      <c r="A94" s="133" t="s">
        <v>230</v>
      </c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Z94" s="117"/>
      <c r="AB94" s="103"/>
    </row>
    <row r="95" spans="1:28" ht="16.5" customHeight="1">
      <c r="A95" s="75">
        <v>80</v>
      </c>
      <c r="B95" s="125" t="s">
        <v>129</v>
      </c>
      <c r="C95" s="126" t="s">
        <v>17</v>
      </c>
      <c r="D95" s="2">
        <v>2582136433.4299998</v>
      </c>
      <c r="E95" s="3">
        <f>(D95/$D$120)</f>
        <v>1.9066218182079667E-3</v>
      </c>
      <c r="F95" s="2">
        <f>108.7107*1506.852</f>
        <v>163810.93571640001</v>
      </c>
      <c r="G95" s="2">
        <f>108.7107*1506.852</f>
        <v>163810.93571640001</v>
      </c>
      <c r="H95" s="60">
        <v>235</v>
      </c>
      <c r="I95" s="5">
        <v>1.1000000000000001E-3</v>
      </c>
      <c r="J95" s="5">
        <v>8.8999999999999999E-3</v>
      </c>
      <c r="K95" s="2">
        <v>2633545303.0599999</v>
      </c>
      <c r="L95" s="3">
        <f t="shared" ref="L95:L106" si="28">(K95/$K$120)</f>
        <v>1.9215750931619454E-3</v>
      </c>
      <c r="M95" s="2">
        <v>108.94029999999999</v>
      </c>
      <c r="N95" s="2">
        <v>108.94029999999999</v>
      </c>
      <c r="O95" s="60">
        <v>235</v>
      </c>
      <c r="P95" s="5">
        <v>2.0999999999999999E-3</v>
      </c>
      <c r="Q95" s="5">
        <v>1.0999999999999999E-2</v>
      </c>
      <c r="R95" s="81">
        <f>((K95-D95)/D95)</f>
        <v>1.9909431958911157E-2</v>
      </c>
      <c r="S95" s="81">
        <f>((N95-G95)/G95)</f>
        <v>-0.99933496320301474</v>
      </c>
      <c r="T95" s="81">
        <f>((O95-H95)/H95)</f>
        <v>0</v>
      </c>
      <c r="U95" s="81">
        <f>P95-I95</f>
        <v>9.999999999999998E-4</v>
      </c>
      <c r="V95" s="83">
        <f>Q95-J95</f>
        <v>2.0999999999999994E-3</v>
      </c>
      <c r="X95" s="117"/>
      <c r="Y95" s="119"/>
      <c r="Z95" s="117"/>
      <c r="AA95" s="104"/>
    </row>
    <row r="96" spans="1:28">
      <c r="A96" s="75">
        <v>81</v>
      </c>
      <c r="B96" s="125" t="s">
        <v>130</v>
      </c>
      <c r="C96" s="126" t="s">
        <v>21</v>
      </c>
      <c r="D96" s="2">
        <f>10942380.04*1506.352</f>
        <v>16483076058.01408</v>
      </c>
      <c r="E96" s="3">
        <f>(D96/$D$120)</f>
        <v>1.2170926383484985E-2</v>
      </c>
      <c r="F96" s="2">
        <f>1.1126*1506.352</f>
        <v>1675.9672352000002</v>
      </c>
      <c r="G96" s="2">
        <f>1.1126*1506.352</f>
        <v>1675.9672352000002</v>
      </c>
      <c r="H96" s="60">
        <v>302</v>
      </c>
      <c r="I96" s="5">
        <v>2.8199999999999999E-2</v>
      </c>
      <c r="J96" s="5">
        <v>-0.3649</v>
      </c>
      <c r="K96" s="2">
        <f>10945802.51*1538.243</f>
        <v>16837304090.389929</v>
      </c>
      <c r="L96" s="3">
        <f t="shared" si="28"/>
        <v>1.2285394953522814E-2</v>
      </c>
      <c r="M96" s="2">
        <f>1.1132*1538.243</f>
        <v>1712.3721075999999</v>
      </c>
      <c r="N96" s="2">
        <f>1.1132*1538.243</f>
        <v>1712.3721075999999</v>
      </c>
      <c r="O96" s="60">
        <v>303</v>
      </c>
      <c r="P96" s="5">
        <v>-0.31990000000000002</v>
      </c>
      <c r="Q96" s="5">
        <v>2.8199999999999999E-2</v>
      </c>
      <c r="R96" s="81">
        <f t="shared" ref="R96:R106" si="29">((K96-D96)/D96)</f>
        <v>2.1490408169512931E-2</v>
      </c>
      <c r="S96" s="81">
        <f t="shared" ref="S96:S106" si="30">((N96-G96)/G96)</f>
        <v>2.1721708894658288E-2</v>
      </c>
      <c r="T96" s="81">
        <f t="shared" ref="T96:T106" si="31">((O96-H96)/H96)</f>
        <v>3.3112582781456954E-3</v>
      </c>
      <c r="U96" s="81">
        <f t="shared" ref="U96:U106" si="32">P96-I96</f>
        <v>-0.34810000000000002</v>
      </c>
      <c r="V96" s="83">
        <f t="shared" ref="V96:V106" si="33">Q96-J96</f>
        <v>0.3931</v>
      </c>
    </row>
    <row r="97" spans="1:24">
      <c r="A97" s="75">
        <v>82</v>
      </c>
      <c r="B97" s="125" t="s">
        <v>243</v>
      </c>
      <c r="C97" s="126" t="s">
        <v>25</v>
      </c>
      <c r="D97" s="2">
        <f>376556.58*1506.852</f>
        <v>567415035.68616009</v>
      </c>
      <c r="E97" s="3">
        <v>0</v>
      </c>
      <c r="F97" s="2">
        <f>1.1192*1506.852</f>
        <v>1686.4687584000001</v>
      </c>
      <c r="G97" s="2">
        <f>1.1192*1506.852</f>
        <v>1686.4687584000001</v>
      </c>
      <c r="H97" s="60">
        <v>25</v>
      </c>
      <c r="I97" s="5">
        <v>9.3360000000000003E-4</v>
      </c>
      <c r="J97" s="5">
        <v>0.1099</v>
      </c>
      <c r="K97" s="2">
        <f>380614.02*1538.743</f>
        <v>585667158.97686005</v>
      </c>
      <c r="L97" s="3">
        <f t="shared" si="28"/>
        <v>4.2733399127981952E-4</v>
      </c>
      <c r="M97" s="2">
        <f>1.1199*1538.743</f>
        <v>1723.2382856999998</v>
      </c>
      <c r="N97" s="2">
        <f>1.1199*1538.743</f>
        <v>1723.2382856999998</v>
      </c>
      <c r="O97" s="60">
        <v>27</v>
      </c>
      <c r="P97" s="5">
        <v>8.8999999999999995E-5</v>
      </c>
      <c r="Q97" s="5">
        <v>0.11</v>
      </c>
      <c r="R97" s="81">
        <f>((K97-D97)/D97)</f>
        <v>3.2167147753897896E-2</v>
      </c>
      <c r="S97" s="81">
        <f>((N97-G97)/G97)</f>
        <v>2.1802673258462246E-2</v>
      </c>
      <c r="T97" s="81">
        <f>((O97-H97)/H97)</f>
        <v>0.08</v>
      </c>
      <c r="U97" s="81">
        <f>P97-I97</f>
        <v>-8.4460000000000004E-4</v>
      </c>
      <c r="V97" s="83">
        <f t="shared" si="33"/>
        <v>1.0000000000000286E-4</v>
      </c>
    </row>
    <row r="98" spans="1:24">
      <c r="A98" s="75">
        <v>83</v>
      </c>
      <c r="B98" s="125" t="s">
        <v>139</v>
      </c>
      <c r="C98" s="126" t="s">
        <v>64</v>
      </c>
      <c r="D98" s="2">
        <f>408389.22*1506.852</f>
        <v>615382112.93543994</v>
      </c>
      <c r="E98" s="3">
        <f t="shared" ref="E98:E106" si="34">(D98/$D$120)</f>
        <v>4.5439154487242404E-4</v>
      </c>
      <c r="F98" s="2">
        <f>104.22*1506.852</f>
        <v>157044.11543999999</v>
      </c>
      <c r="G98" s="2">
        <f>105.23*1506.852</f>
        <v>158566.03596000001</v>
      </c>
      <c r="H98" s="60">
        <v>42</v>
      </c>
      <c r="I98" s="5">
        <v>1.1000000000000001E-3</v>
      </c>
      <c r="J98" s="5">
        <v>1.6899999999999998E-2</v>
      </c>
      <c r="K98" s="2">
        <f>408773.5*1538.743</f>
        <v>628997361.7105</v>
      </c>
      <c r="L98" s="3">
        <f t="shared" si="28"/>
        <v>4.5895001788011201E-4</v>
      </c>
      <c r="M98" s="2">
        <f>104.32*1538.743</f>
        <v>160521.66975999999</v>
      </c>
      <c r="N98" s="2">
        <f>105.38*1538.743</f>
        <v>162152.73733999999</v>
      </c>
      <c r="O98" s="60">
        <v>42</v>
      </c>
      <c r="P98" s="5">
        <v>1.1999999999999999E-3</v>
      </c>
      <c r="Q98" s="5">
        <v>1.8100000000000002E-2</v>
      </c>
      <c r="R98" s="81">
        <f>((K98-D98)/D98)</f>
        <v>2.212486922980883E-2</v>
      </c>
      <c r="S98" s="81">
        <f>((N98-G98)/G98)</f>
        <v>2.2619606766891544E-2</v>
      </c>
      <c r="T98" s="81">
        <f>((O98-H98)/H98)</f>
        <v>0</v>
      </c>
      <c r="U98" s="81">
        <f>P98-I98</f>
        <v>9.9999999999999829E-5</v>
      </c>
      <c r="V98" s="83">
        <f>Q98-J98</f>
        <v>1.2000000000000031E-3</v>
      </c>
    </row>
    <row r="99" spans="1:24">
      <c r="A99" s="75">
        <v>84</v>
      </c>
      <c r="B99" s="125" t="s">
        <v>131</v>
      </c>
      <c r="C99" s="126" t="s">
        <v>67</v>
      </c>
      <c r="D99" s="2">
        <v>4198116930.9526801</v>
      </c>
      <c r="E99" s="3">
        <f t="shared" si="34"/>
        <v>3.0998444668975844E-3</v>
      </c>
      <c r="F99" s="2">
        <v>163207.7428608</v>
      </c>
      <c r="G99" s="2">
        <v>163207.7428608</v>
      </c>
      <c r="H99" s="60">
        <v>47</v>
      </c>
      <c r="I99" s="5">
        <v>3.7129330138855086E-4</v>
      </c>
      <c r="J99" s="5">
        <v>3.0323310868618059E-2</v>
      </c>
      <c r="K99" s="2">
        <v>4283140906.5731196</v>
      </c>
      <c r="L99" s="3">
        <f t="shared" si="28"/>
        <v>3.1252080140830862E-3</v>
      </c>
      <c r="M99" s="2">
        <v>167534.83166219998</v>
      </c>
      <c r="N99" s="2">
        <v>167534.83166219998</v>
      </c>
      <c r="O99" s="60">
        <v>47</v>
      </c>
      <c r="P99" s="5">
        <v>1.4384583567228933E-3</v>
      </c>
      <c r="Q99" s="5">
        <v>3.5806038990270572E-2</v>
      </c>
      <c r="R99" s="81">
        <f t="shared" si="29"/>
        <v>2.0252884095142393E-2</v>
      </c>
      <c r="S99" s="81">
        <f t="shared" si="30"/>
        <v>2.6512766646681441E-2</v>
      </c>
      <c r="T99" s="81">
        <f t="shared" si="31"/>
        <v>0</v>
      </c>
      <c r="U99" s="81">
        <f t="shared" si="32"/>
        <v>1.0671650553343425E-3</v>
      </c>
      <c r="V99" s="83">
        <f t="shared" si="33"/>
        <v>5.4827281216525137E-3</v>
      </c>
      <c r="X99" s="108"/>
    </row>
    <row r="100" spans="1:24">
      <c r="A100" s="75">
        <v>85</v>
      </c>
      <c r="B100" s="125" t="s">
        <v>132</v>
      </c>
      <c r="C100" s="126" t="s">
        <v>27</v>
      </c>
      <c r="D100" s="2">
        <v>47506104964.139999</v>
      </c>
      <c r="E100" s="3">
        <f t="shared" si="34"/>
        <v>3.5077997835455031E-2</v>
      </c>
      <c r="F100" s="2">
        <v>208653.84</v>
      </c>
      <c r="G100" s="2">
        <v>208653.84</v>
      </c>
      <c r="H100" s="60">
        <v>2072</v>
      </c>
      <c r="I100" s="5">
        <v>1.4E-3</v>
      </c>
      <c r="J100" s="5">
        <v>1.0999999999999999E-2</v>
      </c>
      <c r="K100" s="2">
        <v>44161709403.019997</v>
      </c>
      <c r="L100" s="3">
        <f t="shared" si="28"/>
        <v>3.2222738208337383E-2</v>
      </c>
      <c r="M100" s="2">
        <v>194305.37</v>
      </c>
      <c r="N100" s="2">
        <v>194305.37</v>
      </c>
      <c r="O100" s="60">
        <v>2081</v>
      </c>
      <c r="P100" s="5">
        <v>1.8E-3</v>
      </c>
      <c r="Q100" s="5">
        <v>1.23E-2</v>
      </c>
      <c r="R100" s="81">
        <f t="shared" si="29"/>
        <v>-7.0399279495646311E-2</v>
      </c>
      <c r="S100" s="81">
        <f t="shared" si="30"/>
        <v>-6.8766862857640207E-2</v>
      </c>
      <c r="T100" s="81">
        <f t="shared" si="31"/>
        <v>4.3436293436293436E-3</v>
      </c>
      <c r="U100" s="81">
        <f t="shared" si="32"/>
        <v>3.9999999999999996E-4</v>
      </c>
      <c r="V100" s="83">
        <f t="shared" si="33"/>
        <v>1.3000000000000008E-3</v>
      </c>
    </row>
    <row r="101" spans="1:24">
      <c r="A101" s="75">
        <v>86</v>
      </c>
      <c r="B101" s="129" t="s">
        <v>133</v>
      </c>
      <c r="C101" s="129" t="s">
        <v>27</v>
      </c>
      <c r="D101" s="2">
        <v>66833789773.160004</v>
      </c>
      <c r="E101" s="3">
        <f t="shared" si="34"/>
        <v>4.9349352778297259E-2</v>
      </c>
      <c r="F101" s="2">
        <v>188867.7</v>
      </c>
      <c r="G101" s="2">
        <v>188867.7</v>
      </c>
      <c r="H101" s="60">
        <v>311</v>
      </c>
      <c r="I101" s="5">
        <v>2E-3</v>
      </c>
      <c r="J101" s="5">
        <v>1.3599999999999999E-2</v>
      </c>
      <c r="K101" s="2">
        <v>63106591744.220001</v>
      </c>
      <c r="L101" s="3">
        <f t="shared" si="28"/>
        <v>4.6045934645260078E-2</v>
      </c>
      <c r="M101" s="2">
        <v>175943.13</v>
      </c>
      <c r="N101" s="2">
        <v>175943.13</v>
      </c>
      <c r="O101" s="60">
        <v>319</v>
      </c>
      <c r="P101" s="5">
        <v>2.0999999999999999E-3</v>
      </c>
      <c r="Q101" s="5">
        <v>1.5699999999999999E-2</v>
      </c>
      <c r="R101" s="81">
        <f t="shared" si="29"/>
        <v>-5.5768168191426125E-2</v>
      </c>
      <c r="S101" s="81">
        <f t="shared" si="30"/>
        <v>-6.843187056336264E-2</v>
      </c>
      <c r="T101" s="81">
        <f t="shared" si="31"/>
        <v>2.5723472668810289E-2</v>
      </c>
      <c r="U101" s="81">
        <f t="shared" si="32"/>
        <v>9.9999999999999829E-5</v>
      </c>
      <c r="V101" s="83">
        <f t="shared" si="33"/>
        <v>2.0999999999999994E-3</v>
      </c>
    </row>
    <row r="102" spans="1:24">
      <c r="A102" s="75">
        <v>87</v>
      </c>
      <c r="B102" s="125" t="s">
        <v>134</v>
      </c>
      <c r="C102" s="126" t="s">
        <v>31</v>
      </c>
      <c r="D102" s="2">
        <f>116407.65*1506.852</f>
        <v>175409100.21779999</v>
      </c>
      <c r="E102" s="3">
        <f t="shared" si="34"/>
        <v>1.2952019624432897E-4</v>
      </c>
      <c r="F102" s="2">
        <f>116.2*1506.852</f>
        <v>175096.20240000001</v>
      </c>
      <c r="G102" s="2">
        <f>116.2*1506.852</f>
        <v>175096.20240000001</v>
      </c>
      <c r="H102" s="60">
        <v>4</v>
      </c>
      <c r="I102" s="5">
        <v>1.8E-3</v>
      </c>
      <c r="J102" s="5">
        <v>1.4E-2</v>
      </c>
      <c r="K102" s="2">
        <f>116625.24*1538.743</f>
        <v>179456271.67332</v>
      </c>
      <c r="L102" s="3">
        <f t="shared" si="28"/>
        <v>1.309408657441648E-4</v>
      </c>
      <c r="M102" s="2">
        <f>116.42*1538.743</f>
        <v>179140.46005999998</v>
      </c>
      <c r="N102" s="2">
        <f>116.42*1538.743</f>
        <v>179140.46005999998</v>
      </c>
      <c r="O102" s="60">
        <v>4</v>
      </c>
      <c r="P102" s="5">
        <v>1.9E-3</v>
      </c>
      <c r="Q102" s="5">
        <v>1.5900000000000001E-2</v>
      </c>
      <c r="R102" s="81">
        <f t="shared" si="29"/>
        <v>2.3072756490368846E-2</v>
      </c>
      <c r="S102" s="81">
        <f t="shared" si="30"/>
        <v>2.3097346513324343E-2</v>
      </c>
      <c r="T102" s="81">
        <f t="shared" si="31"/>
        <v>0</v>
      </c>
      <c r="U102" s="81">
        <f t="shared" si="32"/>
        <v>1.0000000000000005E-4</v>
      </c>
      <c r="V102" s="83">
        <f t="shared" si="33"/>
        <v>1.9000000000000006E-3</v>
      </c>
    </row>
    <row r="103" spans="1:24">
      <c r="A103" s="75">
        <v>88</v>
      </c>
      <c r="B103" s="125" t="s">
        <v>135</v>
      </c>
      <c r="C103" s="126" t="s">
        <v>34</v>
      </c>
      <c r="D103" s="2">
        <f>10292489.43*1506.852</f>
        <v>15509258282.57436</v>
      </c>
      <c r="E103" s="3">
        <f t="shared" si="34"/>
        <v>1.1451869793920603E-2</v>
      </c>
      <c r="F103" s="2">
        <f>1.33*1506.852</f>
        <v>2004.1131600000003</v>
      </c>
      <c r="G103" s="2">
        <f>1.33*1506.852</f>
        <v>2004.1131600000003</v>
      </c>
      <c r="H103" s="61">
        <v>116</v>
      </c>
      <c r="I103" s="12">
        <v>8.9999999999999998E-4</v>
      </c>
      <c r="J103" s="12">
        <v>4.36E-2</v>
      </c>
      <c r="K103" s="2">
        <f>10292489.43*1538.743</f>
        <v>15837496062.986488</v>
      </c>
      <c r="L103" s="3">
        <f t="shared" si="28"/>
        <v>1.1555881699594917E-2</v>
      </c>
      <c r="M103" s="2">
        <f>1.33*1538.743</f>
        <v>2046.52819</v>
      </c>
      <c r="N103" s="2">
        <f>1.33*1538.743</f>
        <v>2046.52819</v>
      </c>
      <c r="O103" s="61">
        <v>116</v>
      </c>
      <c r="P103" s="12">
        <v>1.1000000000000001E-3</v>
      </c>
      <c r="Q103" s="12">
        <v>4.5600000000000002E-2</v>
      </c>
      <c r="R103" s="81">
        <f t="shared" si="29"/>
        <v>2.1163989562345772E-2</v>
      </c>
      <c r="S103" s="81">
        <f t="shared" si="30"/>
        <v>2.1163989562345699E-2</v>
      </c>
      <c r="T103" s="81">
        <f t="shared" si="31"/>
        <v>0</v>
      </c>
      <c r="U103" s="81">
        <f t="shared" si="32"/>
        <v>2.0000000000000009E-4</v>
      </c>
      <c r="V103" s="83">
        <f t="shared" si="33"/>
        <v>2.0000000000000018E-3</v>
      </c>
    </row>
    <row r="104" spans="1:24">
      <c r="A104" s="75">
        <v>89</v>
      </c>
      <c r="B104" s="125" t="s">
        <v>136</v>
      </c>
      <c r="C104" s="126" t="s">
        <v>78</v>
      </c>
      <c r="D104" s="2">
        <f>10290521.36*1506.852</f>
        <v>15506292692.358721</v>
      </c>
      <c r="E104" s="3">
        <f t="shared" si="34"/>
        <v>1.1449680033946731E-2</v>
      </c>
      <c r="F104" s="2">
        <f>103.97*1506.852</f>
        <v>156667.40244000001</v>
      </c>
      <c r="G104" s="2">
        <f>103.97*1506.852</f>
        <v>156667.40244000001</v>
      </c>
      <c r="H104" s="60">
        <v>274</v>
      </c>
      <c r="I104" s="5">
        <v>8.9999999999999993E-3</v>
      </c>
      <c r="J104" s="5">
        <v>5.8999999999999999E-3</v>
      </c>
      <c r="K104" s="2">
        <f>10439616.84*1538.743</f>
        <v>16063887335.232119</v>
      </c>
      <c r="L104" s="3">
        <f t="shared" si="28"/>
        <v>1.1721068844676863E-2</v>
      </c>
      <c r="M104" s="2">
        <f>104.19*1538.743</f>
        <v>160321.63316999999</v>
      </c>
      <c r="N104" s="2">
        <f>104.19*1538.743</f>
        <v>160321.63316999999</v>
      </c>
      <c r="O104" s="60">
        <v>274</v>
      </c>
      <c r="P104" s="5">
        <v>8.0999999999999996E-3</v>
      </c>
      <c r="Q104" s="5">
        <v>2.2000000000000001E-3</v>
      </c>
      <c r="R104" s="81">
        <f t="shared" si="29"/>
        <v>3.5959249185859396E-2</v>
      </c>
      <c r="S104" s="81">
        <f t="shared" si="30"/>
        <v>2.3324767456966468E-2</v>
      </c>
      <c r="T104" s="81">
        <f t="shared" si="31"/>
        <v>0</v>
      </c>
      <c r="U104" s="81">
        <f t="shared" si="32"/>
        <v>-8.9999999999999976E-4</v>
      </c>
      <c r="V104" s="83">
        <f t="shared" si="33"/>
        <v>-3.6999999999999997E-3</v>
      </c>
    </row>
    <row r="105" spans="1:24">
      <c r="A105" s="75">
        <v>90</v>
      </c>
      <c r="B105" s="125" t="s">
        <v>137</v>
      </c>
      <c r="C105" s="126" t="s">
        <v>38</v>
      </c>
      <c r="D105" s="2">
        <f>1904847.08*1506.852</f>
        <v>2870322632.1921601</v>
      </c>
      <c r="E105" s="3">
        <f t="shared" si="34"/>
        <v>2.1194154131368259E-3</v>
      </c>
      <c r="F105" s="2">
        <f>134.414504*1506.852</f>
        <v>202542.76418140801</v>
      </c>
      <c r="G105" s="2">
        <f>137.640865*1506.852</f>
        <v>207404.41270697999</v>
      </c>
      <c r="H105" s="60">
        <v>47</v>
      </c>
      <c r="I105" s="5">
        <v>-1E-4</v>
      </c>
      <c r="J105" s="5">
        <v>1.8700000000000001E-2</v>
      </c>
      <c r="K105" s="2">
        <f>1906271.54*1538.743</f>
        <v>2933261988.27422</v>
      </c>
      <c r="L105" s="3">
        <f t="shared" si="28"/>
        <v>2.1402643697973293E-3</v>
      </c>
      <c r="M105" s="2">
        <f>134.315984*1538.743</f>
        <v>206677.78016811196</v>
      </c>
      <c r="N105" s="2">
        <f>137.57491*1538.743</f>
        <v>211692.42973812998</v>
      </c>
      <c r="O105" s="60">
        <v>47</v>
      </c>
      <c r="P105" s="5">
        <v>-5.9999999999999995E-4</v>
      </c>
      <c r="Q105" s="5">
        <v>1.8100000000000002E-2</v>
      </c>
      <c r="R105" s="81">
        <f t="shared" si="29"/>
        <v>2.1927624224594919E-2</v>
      </c>
      <c r="S105" s="81">
        <f t="shared" si="30"/>
        <v>2.0674666344771015E-2</v>
      </c>
      <c r="T105" s="81">
        <f t="shared" si="31"/>
        <v>0</v>
      </c>
      <c r="U105" s="81">
        <f t="shared" si="32"/>
        <v>-4.999999999999999E-4</v>
      </c>
      <c r="V105" s="83">
        <f t="shared" si="33"/>
        <v>-5.9999999999999984E-4</v>
      </c>
    </row>
    <row r="106" spans="1:24" ht="16.5" customHeight="1">
      <c r="A106" s="75">
        <v>91</v>
      </c>
      <c r="B106" s="125" t="s">
        <v>138</v>
      </c>
      <c r="C106" s="126" t="s">
        <v>45</v>
      </c>
      <c r="D106" s="4">
        <v>243179121040.70001</v>
      </c>
      <c r="E106" s="3">
        <f t="shared" si="34"/>
        <v>0.17956085197750027</v>
      </c>
      <c r="F106" s="2">
        <v>208684.32</v>
      </c>
      <c r="G106" s="2">
        <v>208684.32</v>
      </c>
      <c r="H106" s="60">
        <v>3084</v>
      </c>
      <c r="I106" s="5">
        <v>5.3900000000000003E-2</v>
      </c>
      <c r="J106" s="5">
        <v>5.4100000000000002E-2</v>
      </c>
      <c r="K106" s="4">
        <v>226077353834.04001</v>
      </c>
      <c r="L106" s="3">
        <f t="shared" si="28"/>
        <v>0.16495809346840543</v>
      </c>
      <c r="M106" s="2">
        <v>194188.17</v>
      </c>
      <c r="N106" s="2">
        <v>194188.17</v>
      </c>
      <c r="O106" s="60">
        <v>3094</v>
      </c>
      <c r="P106" s="5">
        <v>5.3699999999999998E-2</v>
      </c>
      <c r="Q106" s="5">
        <v>5.3999999999999999E-2</v>
      </c>
      <c r="R106" s="81">
        <f t="shared" si="29"/>
        <v>-7.0325804014225973E-2</v>
      </c>
      <c r="S106" s="81">
        <f t="shared" si="30"/>
        <v>-6.9464490671843446E-2</v>
      </c>
      <c r="T106" s="81">
        <f t="shared" si="31"/>
        <v>3.2425421530479898E-3</v>
      </c>
      <c r="U106" s="81">
        <f t="shared" si="32"/>
        <v>-2.0000000000000573E-4</v>
      </c>
      <c r="V106" s="83">
        <f t="shared" si="33"/>
        <v>-1.0000000000000286E-4</v>
      </c>
    </row>
    <row r="107" spans="1:24" ht="6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</row>
    <row r="108" spans="1:24">
      <c r="A108" s="133" t="s">
        <v>231</v>
      </c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</row>
    <row r="109" spans="1:24">
      <c r="A109" s="75">
        <v>92</v>
      </c>
      <c r="B109" s="125" t="s">
        <v>140</v>
      </c>
      <c r="C109" s="126" t="s">
        <v>97</v>
      </c>
      <c r="D109" s="4">
        <v>1424850504.23</v>
      </c>
      <c r="E109" s="3">
        <f>(D109/$D$120)</f>
        <v>1.052094313793039E-3</v>
      </c>
      <c r="F109" s="2">
        <v>147750.99</v>
      </c>
      <c r="G109" s="2">
        <v>147750.99</v>
      </c>
      <c r="H109" s="60">
        <v>27</v>
      </c>
      <c r="I109" s="5">
        <v>-4.7999999999999996E-3</v>
      </c>
      <c r="J109" s="5">
        <v>0.05</v>
      </c>
      <c r="K109" s="4">
        <v>1698044255.5599999</v>
      </c>
      <c r="L109" s="3">
        <f t="shared" ref="L109:L119" si="35">(K109/$K$120)</f>
        <v>1.2389836410938225E-3</v>
      </c>
      <c r="M109" s="2">
        <v>176047.69</v>
      </c>
      <c r="N109" s="2">
        <v>176047.69</v>
      </c>
      <c r="O109" s="60">
        <v>27</v>
      </c>
      <c r="P109" s="5">
        <v>-4.4000000000000003E-3</v>
      </c>
      <c r="Q109" s="5">
        <v>0.05</v>
      </c>
      <c r="R109" s="81">
        <f>((K109-D109)/D109)</f>
        <v>0.19173502800396305</v>
      </c>
      <c r="S109" s="81">
        <f>((N109-G109)/G109)</f>
        <v>0.19151614483259985</v>
      </c>
      <c r="T109" s="81">
        <f>((O109-H109)/H109)</f>
        <v>0</v>
      </c>
      <c r="U109" s="81">
        <f>P109-I109</f>
        <v>3.9999999999999931E-4</v>
      </c>
      <c r="V109" s="83">
        <f>Q109-J109</f>
        <v>0</v>
      </c>
    </row>
    <row r="110" spans="1:24">
      <c r="A110" s="75">
        <v>93</v>
      </c>
      <c r="B110" s="126" t="s">
        <v>141</v>
      </c>
      <c r="C110" s="126" t="s">
        <v>23</v>
      </c>
      <c r="D110" s="2">
        <f>7401838.47*1506.852</f>
        <v>11153475102.19644</v>
      </c>
      <c r="E110" s="3">
        <f>(D110/$D$120)</f>
        <v>8.2356062613000401E-3</v>
      </c>
      <c r="F110" s="4">
        <f>132.86*1506.852</f>
        <v>200200.35672000004</v>
      </c>
      <c r="G110" s="4">
        <f>132.86*1506.852</f>
        <v>200200.35672000004</v>
      </c>
      <c r="H110" s="60">
        <v>353</v>
      </c>
      <c r="I110" s="5">
        <v>5.0000000000000001E-4</v>
      </c>
      <c r="J110" s="5">
        <v>8.9999999999999993E-3</v>
      </c>
      <c r="K110" s="2">
        <f>7417579.41*1538.743</f>
        <v>11413748394.081631</v>
      </c>
      <c r="L110" s="3">
        <f t="shared" si="35"/>
        <v>8.3280794935255125E-3</v>
      </c>
      <c r="M110" s="4">
        <f>133.04*1538.743</f>
        <v>204714.36871999997</v>
      </c>
      <c r="N110" s="4">
        <f>133.04*1538.743</f>
        <v>204714.36871999997</v>
      </c>
      <c r="O110" s="60">
        <v>352</v>
      </c>
      <c r="P110" s="5">
        <v>5.0000000000000001E-4</v>
      </c>
      <c r="Q110" s="5">
        <v>1.04E-2</v>
      </c>
      <c r="R110" s="81">
        <f t="shared" ref="R110:R120" si="36">((K110-D110)/D110)</f>
        <v>2.3335623157838555E-2</v>
      </c>
      <c r="S110" s="81">
        <f t="shared" ref="S110:S120" si="37">((N110-G110)/G110)</f>
        <v>2.2547472312016013E-2</v>
      </c>
      <c r="T110" s="81">
        <f t="shared" ref="T110:T120" si="38">((O110-H110)/H110)</f>
        <v>-2.8328611898016999E-3</v>
      </c>
      <c r="U110" s="81">
        <f t="shared" ref="U110:U120" si="39">P110-I110</f>
        <v>0</v>
      </c>
      <c r="V110" s="83">
        <f t="shared" ref="V110:V120" si="40">Q110-J110</f>
        <v>1.4000000000000002E-3</v>
      </c>
    </row>
    <row r="111" spans="1:24">
      <c r="A111" s="75">
        <v>94</v>
      </c>
      <c r="B111" s="125" t="s">
        <v>142</v>
      </c>
      <c r="C111" s="126" t="s">
        <v>58</v>
      </c>
      <c r="D111" s="4">
        <v>17474670067.490002</v>
      </c>
      <c r="E111" s="3">
        <f t="shared" ref="E111:E119" si="41">(D111/$D$120)</f>
        <v>1.2903108753399393E-2</v>
      </c>
      <c r="F111" s="4">
        <v>179166.86</v>
      </c>
      <c r="G111" s="4">
        <v>179166.86</v>
      </c>
      <c r="H111" s="60">
        <v>589</v>
      </c>
      <c r="I111" s="5">
        <v>1.1000000000000001E-3</v>
      </c>
      <c r="J111" s="5">
        <v>6.3600000000000004E-2</v>
      </c>
      <c r="K111" s="4">
        <v>18013027672.939999</v>
      </c>
      <c r="L111" s="3">
        <f t="shared" si="35"/>
        <v>1.3143265577599894E-2</v>
      </c>
      <c r="M111" s="4">
        <v>187369.08</v>
      </c>
      <c r="N111" s="4">
        <v>187369.08</v>
      </c>
      <c r="O111" s="60">
        <v>590</v>
      </c>
      <c r="P111" s="5">
        <v>1.1999999999999999E-3</v>
      </c>
      <c r="Q111" s="5">
        <v>6.4000000000000001E-2</v>
      </c>
      <c r="R111" s="81">
        <f t="shared" si="36"/>
        <v>3.0807883832471388E-2</v>
      </c>
      <c r="S111" s="81">
        <f t="shared" si="37"/>
        <v>4.577978315855958E-2</v>
      </c>
      <c r="T111" s="81">
        <f t="shared" si="38"/>
        <v>1.697792869269949E-3</v>
      </c>
      <c r="U111" s="81">
        <f t="shared" si="39"/>
        <v>9.9999999999999829E-5</v>
      </c>
      <c r="V111" s="83">
        <f t="shared" si="40"/>
        <v>3.9999999999999758E-4</v>
      </c>
    </row>
    <row r="112" spans="1:24">
      <c r="A112" s="75">
        <v>95</v>
      </c>
      <c r="B112" s="125" t="s">
        <v>143</v>
      </c>
      <c r="C112" s="126" t="s">
        <v>56</v>
      </c>
      <c r="D112" s="4">
        <v>6748999403.9751682</v>
      </c>
      <c r="E112" s="3">
        <f t="shared" si="41"/>
        <v>4.9833886963124548E-3</v>
      </c>
      <c r="F112" s="4">
        <v>1921.267413447792</v>
      </c>
      <c r="G112" s="4">
        <v>1921.267413447792</v>
      </c>
      <c r="H112" s="60">
        <v>166</v>
      </c>
      <c r="I112" s="5">
        <v>5.115781918662015E-2</v>
      </c>
      <c r="J112" s="5">
        <v>4.8989129324655586E-2</v>
      </c>
      <c r="K112" s="4">
        <v>6729617494.6687632</v>
      </c>
      <c r="L112" s="3">
        <f t="shared" si="35"/>
        <v>4.9102877969241336E-3</v>
      </c>
      <c r="M112" s="4">
        <v>1890.9873513318132</v>
      </c>
      <c r="N112" s="4">
        <v>1890.9873513318132</v>
      </c>
      <c r="O112" s="60">
        <v>168</v>
      </c>
      <c r="P112" s="5">
        <v>4.9814869567837851E-2</v>
      </c>
      <c r="Q112" s="5">
        <v>4.9125204430904769E-2</v>
      </c>
      <c r="R112" s="81">
        <f t="shared" si="36"/>
        <v>-2.8718196796682334E-3</v>
      </c>
      <c r="S112" s="81">
        <f t="shared" si="37"/>
        <v>-1.5760462028364917E-2</v>
      </c>
      <c r="T112" s="81">
        <f t="shared" si="38"/>
        <v>1.2048192771084338E-2</v>
      </c>
      <c r="U112" s="81">
        <f t="shared" si="39"/>
        <v>-1.3429496187822992E-3</v>
      </c>
      <c r="V112" s="83">
        <f t="shared" si="40"/>
        <v>1.3607510624918245E-4</v>
      </c>
    </row>
    <row r="113" spans="1:24" ht="15.75">
      <c r="A113" s="75">
        <v>96</v>
      </c>
      <c r="B113" s="125" t="s">
        <v>253</v>
      </c>
      <c r="C113" s="126" t="s">
        <v>114</v>
      </c>
      <c r="D113" s="4">
        <v>1358156740.8099999</v>
      </c>
      <c r="E113" s="3">
        <f t="shared" si="41"/>
        <v>1.0028483549704608E-3</v>
      </c>
      <c r="F113" s="4">
        <f>1.03582*1506.852</f>
        <v>1560.8274386400001</v>
      </c>
      <c r="G113" s="4">
        <f>1.044343*1506.852</f>
        <v>1573.6703382360001</v>
      </c>
      <c r="H113" s="60">
        <v>35</v>
      </c>
      <c r="I113" s="5">
        <v>8.0000000000000004E-4</v>
      </c>
      <c r="J113" s="5">
        <v>7.4000000000000003E-3</v>
      </c>
      <c r="K113" s="4">
        <v>1393380686.6900001</v>
      </c>
      <c r="L113" s="3">
        <f t="shared" si="35"/>
        <v>1.016684854338878E-3</v>
      </c>
      <c r="M113" s="4">
        <f>1.040646*1538.743</f>
        <v>1601.2867479779998</v>
      </c>
      <c r="N113" s="4">
        <f>1.049632*1538.743</f>
        <v>1615.1138925759997</v>
      </c>
      <c r="O113" s="60">
        <v>35</v>
      </c>
      <c r="P113" s="5">
        <v>4.7000000000000002E-3</v>
      </c>
      <c r="Q113" s="5">
        <v>1.2500000000000001E-2</v>
      </c>
      <c r="R113" s="81">
        <f t="shared" si="36"/>
        <v>2.5935111038062276E-2</v>
      </c>
      <c r="S113" s="81">
        <f t="shared" si="37"/>
        <v>2.6335601131337032E-2</v>
      </c>
      <c r="T113" s="81">
        <f t="shared" si="38"/>
        <v>0</v>
      </c>
      <c r="U113" s="81">
        <f t="shared" si="39"/>
        <v>3.9000000000000003E-3</v>
      </c>
      <c r="V113" s="83">
        <f t="shared" si="40"/>
        <v>5.1000000000000004E-3</v>
      </c>
      <c r="X113" s="120"/>
    </row>
    <row r="114" spans="1:24" ht="15.75">
      <c r="A114" s="75">
        <v>97</v>
      </c>
      <c r="B114" s="125" t="s">
        <v>259</v>
      </c>
      <c r="C114" s="126" t="s">
        <v>36</v>
      </c>
      <c r="D114" s="2">
        <f>494467.22*1506.852</f>
        <v>745088919.39144003</v>
      </c>
      <c r="E114" s="3">
        <f t="shared" si="41"/>
        <v>5.5016565810569833E-4</v>
      </c>
      <c r="F114" s="4">
        <f>10.11*1506.852</f>
        <v>15234.273719999999</v>
      </c>
      <c r="G114" s="4">
        <f>10.11*1506.852</f>
        <v>15234.273719999999</v>
      </c>
      <c r="H114" s="60">
        <v>30</v>
      </c>
      <c r="I114" s="5">
        <v>5.7989754811758054E-3</v>
      </c>
      <c r="J114" s="5">
        <v>8.6255549196105896E-3</v>
      </c>
      <c r="K114" s="2">
        <f>495189.14*1538.743</f>
        <v>761968822.85101998</v>
      </c>
      <c r="L114" s="3">
        <f t="shared" si="35"/>
        <v>5.559730869467744E-4</v>
      </c>
      <c r="M114" s="4">
        <f>10.1266*1538.743</f>
        <v>15582.234863799998</v>
      </c>
      <c r="N114" s="4">
        <f>10.1266*1538.743</f>
        <v>15582.234863799998</v>
      </c>
      <c r="O114" s="60">
        <v>27</v>
      </c>
      <c r="P114" s="5">
        <v>7.6899999999999996E-2</v>
      </c>
      <c r="Q114" s="5">
        <v>9.8500000000000004E-2</v>
      </c>
      <c r="R114" s="81">
        <f t="shared" ref="R114" si="42">((K114-D114)/D114)</f>
        <v>2.2654884565142641E-2</v>
      </c>
      <c r="S114" s="81">
        <f t="shared" ref="S114" si="43">((N114-G114)/G114)</f>
        <v>2.2840678209896263E-2</v>
      </c>
      <c r="T114" s="81">
        <f t="shared" ref="T114" si="44">((O114-H114)/H114)</f>
        <v>-0.1</v>
      </c>
      <c r="U114" s="81">
        <f t="shared" ref="U114" si="45">P114-I114</f>
        <v>7.1101024518824191E-2</v>
      </c>
      <c r="V114" s="83">
        <f t="shared" ref="V114" si="46">Q114-J114</f>
        <v>8.9874445080389415E-2</v>
      </c>
      <c r="X114" s="120"/>
    </row>
    <row r="115" spans="1:24" ht="15.75">
      <c r="A115" s="75">
        <v>98</v>
      </c>
      <c r="B115" s="126" t="s">
        <v>144</v>
      </c>
      <c r="C115" s="127" t="s">
        <v>40</v>
      </c>
      <c r="D115" s="2">
        <v>18242774656</v>
      </c>
      <c r="E115" s="3">
        <f t="shared" si="41"/>
        <v>1.347026893446444E-2</v>
      </c>
      <c r="F115" s="4">
        <f>1.0284*1506.852</f>
        <v>1549.6465968</v>
      </c>
      <c r="G115" s="4">
        <f>1.0284*1506.852</f>
        <v>1549.6465968</v>
      </c>
      <c r="H115" s="60">
        <v>404</v>
      </c>
      <c r="I115" s="5">
        <v>1.9E-3</v>
      </c>
      <c r="J115" s="5">
        <v>1.3299999999999999E-2</v>
      </c>
      <c r="K115" s="2">
        <v>18280547584</v>
      </c>
      <c r="L115" s="3">
        <f t="shared" si="35"/>
        <v>1.3338462370843017E-2</v>
      </c>
      <c r="M115" s="4">
        <f>1.0303*1538.743</f>
        <v>1585.3669129</v>
      </c>
      <c r="N115" s="4">
        <f>1.0303*1538.743</f>
        <v>1585.3669129</v>
      </c>
      <c r="O115" s="60">
        <v>361</v>
      </c>
      <c r="P115" s="5">
        <v>1.9E-3</v>
      </c>
      <c r="Q115" s="5">
        <v>1.52E-2</v>
      </c>
      <c r="R115" s="81">
        <f t="shared" si="36"/>
        <v>2.0705692369870164E-3</v>
      </c>
      <c r="S115" s="81">
        <f t="shared" si="37"/>
        <v>2.305062081494063E-2</v>
      </c>
      <c r="T115" s="81">
        <f t="shared" si="38"/>
        <v>-0.10643564356435643</v>
      </c>
      <c r="U115" s="81">
        <f t="shared" si="39"/>
        <v>0</v>
      </c>
      <c r="V115" s="83">
        <f t="shared" si="40"/>
        <v>1.9000000000000006E-3</v>
      </c>
      <c r="X115" s="120"/>
    </row>
    <row r="116" spans="1:24">
      <c r="A116" s="75">
        <v>99</v>
      </c>
      <c r="B116" s="125" t="s">
        <v>145</v>
      </c>
      <c r="C116" s="126" t="s">
        <v>80</v>
      </c>
      <c r="D116" s="4">
        <v>422348938.62</v>
      </c>
      <c r="E116" s="3">
        <f t="shared" si="41"/>
        <v>3.1185792154297465E-4</v>
      </c>
      <c r="F116" s="4">
        <f>1.04*1594.27</f>
        <v>1658.0408</v>
      </c>
      <c r="G116" s="4">
        <f>1.04*1594.27</f>
        <v>1658.0408</v>
      </c>
      <c r="H116" s="60">
        <v>3</v>
      </c>
      <c r="I116" s="5">
        <v>-4.5909999999999996E-3</v>
      </c>
      <c r="J116" s="5">
        <v>2.0860000000000002E-3</v>
      </c>
      <c r="K116" s="4">
        <v>416327896.27999997</v>
      </c>
      <c r="L116" s="3">
        <f t="shared" si="35"/>
        <v>3.0377503479837848E-4</v>
      </c>
      <c r="M116" s="4">
        <f>1.04*1567.65</f>
        <v>1630.3560000000002</v>
      </c>
      <c r="N116" s="4">
        <f>1.04*1567.65</f>
        <v>1630.3560000000002</v>
      </c>
      <c r="O116" s="60">
        <v>3</v>
      </c>
      <c r="P116" s="5">
        <v>2.483E-3</v>
      </c>
      <c r="Q116" s="5">
        <v>4.5739999999999999E-3</v>
      </c>
      <c r="R116" s="81">
        <f t="shared" si="36"/>
        <v>-1.425608493222081E-2</v>
      </c>
      <c r="S116" s="81">
        <f t="shared" si="37"/>
        <v>-1.6697297195581537E-2</v>
      </c>
      <c r="T116" s="81">
        <f t="shared" si="38"/>
        <v>0</v>
      </c>
      <c r="U116" s="81">
        <f t="shared" si="39"/>
        <v>7.0739999999999996E-3</v>
      </c>
      <c r="V116" s="83">
        <f t="shared" si="40"/>
        <v>2.4879999999999998E-3</v>
      </c>
    </row>
    <row r="117" spans="1:24">
      <c r="A117" s="75">
        <v>100</v>
      </c>
      <c r="B117" s="125" t="s">
        <v>146</v>
      </c>
      <c r="C117" s="126" t="s">
        <v>42</v>
      </c>
      <c r="D117" s="2">
        <v>803476854483.32996</v>
      </c>
      <c r="E117" s="3">
        <f t="shared" si="41"/>
        <v>0.59327868246995707</v>
      </c>
      <c r="F117" s="4">
        <v>2219.84</v>
      </c>
      <c r="G117" s="4">
        <v>2219.84</v>
      </c>
      <c r="H117" s="60">
        <v>6607</v>
      </c>
      <c r="I117" s="5">
        <v>1.4E-3</v>
      </c>
      <c r="J117" s="5">
        <v>1.11E-2</v>
      </c>
      <c r="K117" s="2">
        <v>841746050226.01001</v>
      </c>
      <c r="L117" s="3">
        <f t="shared" si="35"/>
        <v>0.61418280634942768</v>
      </c>
      <c r="M117" s="4">
        <v>2324.67</v>
      </c>
      <c r="N117" s="4">
        <v>2324.67</v>
      </c>
      <c r="O117" s="60">
        <v>6737</v>
      </c>
      <c r="P117" s="5">
        <v>1.2999999999999999E-3</v>
      </c>
      <c r="Q117" s="5">
        <v>1.24E-2</v>
      </c>
      <c r="R117" s="81">
        <f t="shared" si="36"/>
        <v>4.7629493655157978E-2</v>
      </c>
      <c r="S117" s="81">
        <f t="shared" si="37"/>
        <v>4.7224124261207978E-2</v>
      </c>
      <c r="T117" s="81">
        <f t="shared" si="38"/>
        <v>1.9676101104888755E-2</v>
      </c>
      <c r="U117" s="81">
        <f t="shared" si="39"/>
        <v>-1.0000000000000005E-4</v>
      </c>
      <c r="V117" s="83">
        <f t="shared" si="40"/>
        <v>1.2999999999999991E-3</v>
      </c>
    </row>
    <row r="118" spans="1:24" ht="16.5" customHeight="1">
      <c r="A118" s="75">
        <v>101</v>
      </c>
      <c r="B118" s="125" t="s">
        <v>147</v>
      </c>
      <c r="C118" s="126" t="s">
        <v>45</v>
      </c>
      <c r="D118" s="2">
        <v>47494580471.690002</v>
      </c>
      <c r="E118" s="3">
        <f t="shared" si="41"/>
        <v>3.5069488273967706E-2</v>
      </c>
      <c r="F118" s="4">
        <v>1829.72</v>
      </c>
      <c r="G118" s="4">
        <v>1829.72</v>
      </c>
      <c r="H118" s="60">
        <v>227</v>
      </c>
      <c r="I118" s="5">
        <v>6.88E-2</v>
      </c>
      <c r="J118" s="5">
        <v>8.5199999999999998E-2</v>
      </c>
      <c r="K118" s="2">
        <v>46529833798.419998</v>
      </c>
      <c r="L118" s="3">
        <f t="shared" si="35"/>
        <v>3.3950648053071179E-2</v>
      </c>
      <c r="M118" s="4">
        <v>1703.075</v>
      </c>
      <c r="N118" s="4">
        <v>1703.075</v>
      </c>
      <c r="O118" s="60">
        <v>231</v>
      </c>
      <c r="P118" s="5">
        <v>6.8599999999999994E-2</v>
      </c>
      <c r="Q118" s="5">
        <v>8.3299999999999999E-2</v>
      </c>
      <c r="R118" s="81">
        <f t="shared" si="36"/>
        <v>-2.0312773872064389E-2</v>
      </c>
      <c r="S118" s="81">
        <f t="shared" si="37"/>
        <v>-6.921550838379642E-2</v>
      </c>
      <c r="T118" s="81">
        <f t="shared" si="38"/>
        <v>1.7621145374449341E-2</v>
      </c>
      <c r="U118" s="81">
        <f t="shared" si="39"/>
        <v>-2.0000000000000573E-4</v>
      </c>
      <c r="V118" s="83">
        <f t="shared" si="40"/>
        <v>-1.8999999999999989E-3</v>
      </c>
    </row>
    <row r="119" spans="1:24">
      <c r="A119" s="75">
        <v>102</v>
      </c>
      <c r="B119" s="125" t="s">
        <v>148</v>
      </c>
      <c r="C119" s="126" t="s">
        <v>32</v>
      </c>
      <c r="D119" s="4">
        <v>29730991562.786144</v>
      </c>
      <c r="E119" s="3">
        <f t="shared" si="41"/>
        <v>2.1953044950171783E-2</v>
      </c>
      <c r="F119" s="4">
        <f>1.0993*907.11</f>
        <v>997.18602299999998</v>
      </c>
      <c r="G119" s="4">
        <f>1.0993*907.11</f>
        <v>997.18602299999998</v>
      </c>
      <c r="H119" s="60">
        <v>1202</v>
      </c>
      <c r="I119" s="5">
        <v>1.1839708561018902E-3</v>
      </c>
      <c r="J119" s="5">
        <v>7.7924459112577171E-3</v>
      </c>
      <c r="K119" s="4">
        <v>30202904232.709999</v>
      </c>
      <c r="L119" s="3">
        <f t="shared" si="35"/>
        <v>2.2037649569686849E-2</v>
      </c>
      <c r="M119" s="4">
        <f>1.1015*1538.743</f>
        <v>1694.9254144999998</v>
      </c>
      <c r="N119" s="4">
        <f>1.1015*1538.743</f>
        <v>1694.9254144999998</v>
      </c>
      <c r="O119" s="60">
        <v>1218</v>
      </c>
      <c r="P119" s="5">
        <v>2.0012735377057389E-3</v>
      </c>
      <c r="Q119" s="5">
        <v>9.8093142647597276E-3</v>
      </c>
      <c r="R119" s="81">
        <f t="shared" si="36"/>
        <v>1.587275247538468E-2</v>
      </c>
      <c r="S119" s="81">
        <f t="shared" si="37"/>
        <v>0.69970835471688098</v>
      </c>
      <c r="T119" s="81">
        <f t="shared" si="38"/>
        <v>1.3311148086522463E-2</v>
      </c>
      <c r="U119" s="81">
        <f t="shared" si="39"/>
        <v>8.1730268160384867E-4</v>
      </c>
      <c r="V119" s="83">
        <f t="shared" si="40"/>
        <v>2.0168683535020104E-3</v>
      </c>
    </row>
    <row r="120" spans="1:24">
      <c r="A120" s="75"/>
      <c r="B120" s="19"/>
      <c r="C120" s="66" t="s">
        <v>46</v>
      </c>
      <c r="D120" s="59">
        <f>SUM(D95:D119)</f>
        <v>1354299215906.8804</v>
      </c>
      <c r="E120" s="100">
        <f>(D120/$D$183)</f>
        <v>0.48057197551860853</v>
      </c>
      <c r="F120" s="30"/>
      <c r="G120" s="11"/>
      <c r="H120" s="65">
        <f>SUM(H95:H119)</f>
        <v>16202</v>
      </c>
      <c r="I120" s="33"/>
      <c r="J120" s="33"/>
      <c r="K120" s="59">
        <f>SUM(K95:K119)</f>
        <v>1370513862524.3679</v>
      </c>
      <c r="L120" s="100">
        <f>(K120/$K$183)</f>
        <v>0.48221416673109063</v>
      </c>
      <c r="M120" s="30"/>
      <c r="N120" s="11"/>
      <c r="O120" s="65">
        <f>SUM(O95:O119)</f>
        <v>16338</v>
      </c>
      <c r="P120" s="33"/>
      <c r="Q120" s="33"/>
      <c r="R120" s="81">
        <f t="shared" si="36"/>
        <v>1.1972720966710242E-2</v>
      </c>
      <c r="S120" s="81" t="e">
        <f t="shared" si="37"/>
        <v>#DIV/0!</v>
      </c>
      <c r="T120" s="81">
        <f t="shared" si="38"/>
        <v>8.3940254289593882E-3</v>
      </c>
      <c r="U120" s="81">
        <f t="shared" si="39"/>
        <v>0</v>
      </c>
      <c r="V120" s="83">
        <f t="shared" si="40"/>
        <v>0</v>
      </c>
    </row>
    <row r="121" spans="1:24" ht="8.2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</row>
    <row r="122" spans="1:24" ht="15.75">
      <c r="A122" s="132" t="s">
        <v>149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</row>
    <row r="123" spans="1:24">
      <c r="A123" s="75">
        <v>103</v>
      </c>
      <c r="B123" s="125" t="s">
        <v>245</v>
      </c>
      <c r="C123" s="126" t="s">
        <v>246</v>
      </c>
      <c r="D123" s="2">
        <v>2208743545.6581631</v>
      </c>
      <c r="E123" s="3">
        <f>(D123/$D$128)</f>
        <v>2.2148931643231028E-2</v>
      </c>
      <c r="F123" s="14">
        <v>104.09</v>
      </c>
      <c r="G123" s="14">
        <v>104.09</v>
      </c>
      <c r="H123" s="60">
        <v>7</v>
      </c>
      <c r="I123" s="5">
        <v>2.350260435371343E-3</v>
      </c>
      <c r="J123" s="5">
        <v>1.7999999999999999E-2</v>
      </c>
      <c r="K123" s="2">
        <v>2213740516.8014359</v>
      </c>
      <c r="L123" s="3">
        <f>(K123/$K$128)</f>
        <v>2.2193373438463573E-2</v>
      </c>
      <c r="M123" s="14">
        <v>104.32330427904976</v>
      </c>
      <c r="N123" s="14">
        <v>104.32330427904976</v>
      </c>
      <c r="O123" s="60">
        <v>7</v>
      </c>
      <c r="P123" s="5">
        <v>2.2623591376624841E-3</v>
      </c>
      <c r="Q123" s="5">
        <v>2.0344609836121075E-2</v>
      </c>
      <c r="R123" s="81">
        <f t="shared" ref="R123:R128" si="47">((K123-D123)/D123)</f>
        <v>2.2623591376625283E-3</v>
      </c>
      <c r="S123" s="81">
        <f t="shared" ref="S123:T128" si="48">((N123-G123)/G123)</f>
        <v>2.2413707277333219E-3</v>
      </c>
      <c r="T123" s="81">
        <f t="shared" si="48"/>
        <v>0</v>
      </c>
      <c r="U123" s="81">
        <f t="shared" ref="U123:V128" si="49">P123-I123</f>
        <v>-8.7901297708858905E-5</v>
      </c>
      <c r="V123" s="83">
        <f t="shared" si="49"/>
        <v>2.3446098361210761E-3</v>
      </c>
    </row>
    <row r="124" spans="1:24">
      <c r="A124" s="75">
        <v>104</v>
      </c>
      <c r="B124" s="125" t="s">
        <v>150</v>
      </c>
      <c r="C124" s="126" t="s">
        <v>40</v>
      </c>
      <c r="D124" s="2">
        <v>53749983529</v>
      </c>
      <c r="E124" s="3">
        <f>(D124/$D$128)</f>
        <v>0.53899635082074093</v>
      </c>
      <c r="F124" s="14">
        <v>102.5</v>
      </c>
      <c r="G124" s="14">
        <v>102.5</v>
      </c>
      <c r="H124" s="60">
        <v>666</v>
      </c>
      <c r="I124" s="5">
        <v>0</v>
      </c>
      <c r="J124" s="5">
        <v>7.6999999999999999E-2</v>
      </c>
      <c r="K124" s="2">
        <v>53749983529</v>
      </c>
      <c r="L124" s="3">
        <f>(K124/$K$128)</f>
        <v>0.53885875409369899</v>
      </c>
      <c r="M124" s="14">
        <v>102.5</v>
      </c>
      <c r="N124" s="14">
        <v>102.5</v>
      </c>
      <c r="O124" s="60">
        <v>666</v>
      </c>
      <c r="P124" s="5">
        <v>0</v>
      </c>
      <c r="Q124" s="5">
        <v>7.6999999999999999E-2</v>
      </c>
      <c r="R124" s="81">
        <f t="shared" si="47"/>
        <v>0</v>
      </c>
      <c r="S124" s="81">
        <f t="shared" si="48"/>
        <v>0</v>
      </c>
      <c r="T124" s="81">
        <f t="shared" si="48"/>
        <v>0</v>
      </c>
      <c r="U124" s="81">
        <f t="shared" si="49"/>
        <v>0</v>
      </c>
      <c r="V124" s="83">
        <f t="shared" si="49"/>
        <v>0</v>
      </c>
    </row>
    <row r="125" spans="1:24" ht="17.25" customHeight="1">
      <c r="A125" s="75">
        <v>105</v>
      </c>
      <c r="B125" s="125" t="s">
        <v>151</v>
      </c>
      <c r="C125" s="126" t="s">
        <v>120</v>
      </c>
      <c r="D125" s="2">
        <v>2635439366.7385898</v>
      </c>
      <c r="E125" s="3">
        <f>(D125/$D$128)</f>
        <v>2.6427769986478583E-2</v>
      </c>
      <c r="F125" s="14">
        <v>101.35</v>
      </c>
      <c r="G125" s="14">
        <v>101.35</v>
      </c>
      <c r="H125" s="60">
        <v>2771</v>
      </c>
      <c r="I125" s="5">
        <v>0.14432577682349876</v>
      </c>
      <c r="J125" s="5">
        <v>9.8270907652437955E-2</v>
      </c>
      <c r="K125" s="2">
        <v>2635609830.21</v>
      </c>
      <c r="L125" s="3">
        <f>(K125/$K$128)</f>
        <v>2.6422732364518902E-2</v>
      </c>
      <c r="M125" s="14">
        <v>101.35</v>
      </c>
      <c r="N125" s="14">
        <v>101.35</v>
      </c>
      <c r="O125" s="60">
        <v>2771</v>
      </c>
      <c r="P125" s="5">
        <v>4.7346663576207379E-3</v>
      </c>
      <c r="Q125" s="5">
        <v>8.7382463136901137E-2</v>
      </c>
      <c r="R125" s="81">
        <f t="shared" si="47"/>
        <v>6.468123439365123E-5</v>
      </c>
      <c r="S125" s="81">
        <f t="shared" si="48"/>
        <v>0</v>
      </c>
      <c r="T125" s="81">
        <f t="shared" si="48"/>
        <v>0</v>
      </c>
      <c r="U125" s="81">
        <f t="shared" si="49"/>
        <v>-0.13959111046587802</v>
      </c>
      <c r="V125" s="83">
        <f t="shared" si="49"/>
        <v>-1.0888444515536819E-2</v>
      </c>
    </row>
    <row r="126" spans="1:24">
      <c r="A126" s="75">
        <v>106</v>
      </c>
      <c r="B126" s="125" t="s">
        <v>152</v>
      </c>
      <c r="C126" s="126" t="s">
        <v>120</v>
      </c>
      <c r="D126" s="2">
        <v>10940172159.66</v>
      </c>
      <c r="E126" s="3">
        <f>(D126/$D$128)</f>
        <v>0.10970631959777107</v>
      </c>
      <c r="F126" s="14">
        <v>36.6</v>
      </c>
      <c r="G126" s="14">
        <v>36.6</v>
      </c>
      <c r="H126" s="60">
        <v>5274</v>
      </c>
      <c r="I126" s="5">
        <v>1.7399999999999999E-2</v>
      </c>
      <c r="J126" s="5">
        <v>0.13</v>
      </c>
      <c r="K126" s="2">
        <v>10943086884.860001</v>
      </c>
      <c r="L126" s="3">
        <f>(K126/$K$128)</f>
        <v>0.10970753435734988</v>
      </c>
      <c r="M126" s="14">
        <v>36.6</v>
      </c>
      <c r="N126" s="14">
        <v>36.6</v>
      </c>
      <c r="O126" s="60">
        <v>5274</v>
      </c>
      <c r="P126" s="5">
        <v>1.7356253704804137E-2</v>
      </c>
      <c r="Q126" s="5">
        <v>0.12056016637303191</v>
      </c>
      <c r="R126" s="81">
        <f t="shared" si="47"/>
        <v>2.6642407061456581E-4</v>
      </c>
      <c r="S126" s="81">
        <f t="shared" si="48"/>
        <v>0</v>
      </c>
      <c r="T126" s="81">
        <f t="shared" si="48"/>
        <v>0</v>
      </c>
      <c r="U126" s="81">
        <f t="shared" si="49"/>
        <v>-4.3746295195861568E-5</v>
      </c>
      <c r="V126" s="83">
        <f t="shared" si="49"/>
        <v>-9.4398336269680971E-3</v>
      </c>
    </row>
    <row r="127" spans="1:24">
      <c r="A127" s="75">
        <v>107</v>
      </c>
      <c r="B127" s="125" t="s">
        <v>153</v>
      </c>
      <c r="C127" s="126" t="s">
        <v>42</v>
      </c>
      <c r="D127" s="2">
        <v>30188012853</v>
      </c>
      <c r="E127" s="3">
        <f>(D127/$D$128)</f>
        <v>0.3027206279517784</v>
      </c>
      <c r="F127" s="14">
        <v>5.55</v>
      </c>
      <c r="G127" s="14">
        <v>5.55</v>
      </c>
      <c r="H127" s="60">
        <v>208853</v>
      </c>
      <c r="I127" s="5">
        <v>-5.9299999999999999E-2</v>
      </c>
      <c r="J127" s="5">
        <v>-0.1328</v>
      </c>
      <c r="K127" s="2">
        <v>30205394637.25</v>
      </c>
      <c r="L127" s="3">
        <f>(K127/$K$128)</f>
        <v>0.30281760574596867</v>
      </c>
      <c r="M127" s="14">
        <v>5.0999999999999996</v>
      </c>
      <c r="N127" s="14">
        <v>5.0999999999999996</v>
      </c>
      <c r="O127" s="60">
        <v>208853</v>
      </c>
      <c r="P127" s="5">
        <v>-8.1100000000000005E-2</v>
      </c>
      <c r="Q127" s="5">
        <v>0.2031</v>
      </c>
      <c r="R127" s="81">
        <f t="shared" si="47"/>
        <v>5.7578431328488878E-4</v>
      </c>
      <c r="S127" s="81">
        <f t="shared" si="48"/>
        <v>-8.1081081081081113E-2</v>
      </c>
      <c r="T127" s="81">
        <f t="shared" si="48"/>
        <v>0</v>
      </c>
      <c r="U127" s="81">
        <f t="shared" si="49"/>
        <v>-2.1800000000000007E-2</v>
      </c>
      <c r="V127" s="83">
        <f t="shared" si="49"/>
        <v>0.33589999999999998</v>
      </c>
    </row>
    <row r="128" spans="1:24">
      <c r="A128" s="122"/>
      <c r="B128" s="123"/>
      <c r="C128" s="124" t="s">
        <v>46</v>
      </c>
      <c r="D128" s="58">
        <f>SUM(D123:D127)</f>
        <v>99722351454.056747</v>
      </c>
      <c r="E128" s="100">
        <f>(D128/$D$183)</f>
        <v>3.5386395324423052E-2</v>
      </c>
      <c r="F128" s="30"/>
      <c r="G128" s="34"/>
      <c r="H128" s="65">
        <f>SUM(H123:H127)</f>
        <v>217571</v>
      </c>
      <c r="I128" s="35"/>
      <c r="J128" s="35"/>
      <c r="K128" s="58">
        <f>SUM(K123:K127)</f>
        <v>99747815398.121429</v>
      </c>
      <c r="L128" s="100">
        <f>(K128/$K$183)</f>
        <v>3.509618618293732E-2</v>
      </c>
      <c r="M128" s="30"/>
      <c r="N128" s="34"/>
      <c r="O128" s="65">
        <f>SUM(O123:O127)</f>
        <v>217571</v>
      </c>
      <c r="P128" s="35"/>
      <c r="Q128" s="35"/>
      <c r="R128" s="81">
        <f t="shared" si="47"/>
        <v>2.5534841179926994E-4</v>
      </c>
      <c r="S128" s="81" t="e">
        <f t="shared" si="48"/>
        <v>#DIV/0!</v>
      </c>
      <c r="T128" s="81">
        <f t="shared" si="48"/>
        <v>0</v>
      </c>
      <c r="U128" s="81">
        <f t="shared" si="49"/>
        <v>0</v>
      </c>
      <c r="V128" s="83">
        <f t="shared" si="49"/>
        <v>0</v>
      </c>
    </row>
    <row r="129" spans="1:24" ht="7.5" customHeight="1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</row>
    <row r="130" spans="1:24" ht="15" customHeight="1">
      <c r="A130" s="132" t="s">
        <v>154</v>
      </c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</row>
    <row r="131" spans="1:24">
      <c r="A131" s="75">
        <v>108</v>
      </c>
      <c r="B131" s="125" t="s">
        <v>155</v>
      </c>
      <c r="C131" s="126" t="s">
        <v>50</v>
      </c>
      <c r="D131" s="4">
        <v>243460813.11000001</v>
      </c>
      <c r="E131" s="3">
        <f t="shared" ref="E131:E156" si="50">(D131/$D$157)</f>
        <v>4.8747452402084102E-3</v>
      </c>
      <c r="F131" s="4">
        <v>5.45</v>
      </c>
      <c r="G131" s="4">
        <v>5.56</v>
      </c>
      <c r="H131" s="62">
        <v>11817</v>
      </c>
      <c r="I131" s="6">
        <v>-3.0360999999999999E-2</v>
      </c>
      <c r="J131" s="6">
        <v>8.2744999999999999E-2</v>
      </c>
      <c r="K131" s="4">
        <v>236115134.80000001</v>
      </c>
      <c r="L131" s="16">
        <f t="shared" ref="L131:L147" si="51">(K131/$K$157)</f>
        <v>4.873858457758464E-3</v>
      </c>
      <c r="M131" s="4">
        <v>5.28</v>
      </c>
      <c r="N131" s="4">
        <v>5.39</v>
      </c>
      <c r="O131" s="62">
        <v>11817</v>
      </c>
      <c r="P131" s="6">
        <v>-3.2807000000000003E-2</v>
      </c>
      <c r="Q131" s="6">
        <v>4.9938000000000003E-2</v>
      </c>
      <c r="R131" s="81">
        <f>((K131-D131)/D131)</f>
        <v>-3.0171912334331568E-2</v>
      </c>
      <c r="S131" s="81">
        <f>((N131-G131)/G131)</f>
        <v>-3.0575539568345314E-2</v>
      </c>
      <c r="T131" s="81">
        <f>((O131-H131)/H131)</f>
        <v>0</v>
      </c>
      <c r="U131" s="81">
        <f>P131-I131</f>
        <v>-2.4460000000000037E-3</v>
      </c>
      <c r="V131" s="83">
        <f>Q131-J131</f>
        <v>-3.2806999999999996E-2</v>
      </c>
    </row>
    <row r="132" spans="1:24">
      <c r="A132" s="75">
        <v>109</v>
      </c>
      <c r="B132" s="125" t="s">
        <v>255</v>
      </c>
      <c r="C132" s="125" t="s">
        <v>254</v>
      </c>
      <c r="D132" s="4">
        <v>606280610.13738704</v>
      </c>
      <c r="E132" s="3">
        <f t="shared" si="50"/>
        <v>1.2139380792926811E-2</v>
      </c>
      <c r="F132" s="4">
        <v>1157.1726867659818</v>
      </c>
      <c r="G132" s="4">
        <v>1168.6985587808679</v>
      </c>
      <c r="H132" s="62">
        <v>181</v>
      </c>
      <c r="I132" s="6">
        <v>-1.9035086026558089E-2</v>
      </c>
      <c r="J132" s="6">
        <v>3.3244253515366591E-2</v>
      </c>
      <c r="K132" s="4">
        <v>588694955.52771795</v>
      </c>
      <c r="L132" s="16">
        <f t="shared" si="51"/>
        <v>1.2151766088475709E-2</v>
      </c>
      <c r="M132" s="4">
        <v>1123.6547644738409</v>
      </c>
      <c r="N132" s="4">
        <v>1134.6142628977507</v>
      </c>
      <c r="O132" s="62">
        <v>181</v>
      </c>
      <c r="P132" s="6">
        <v>-2.9086204191528443E-2</v>
      </c>
      <c r="Q132" s="6">
        <v>3.1911001778952603E-3</v>
      </c>
      <c r="R132" s="81">
        <f>((K132-D132)/D132)</f>
        <v>-2.9005800805148738E-2</v>
      </c>
      <c r="S132" s="81">
        <f>((N132-G132)/G132)</f>
        <v>-2.9164317545383431E-2</v>
      </c>
      <c r="T132" s="81">
        <f>((O132-H132)/H132)</f>
        <v>0</v>
      </c>
      <c r="U132" s="81">
        <f>P132-I132</f>
        <v>-1.0051118164970355E-2</v>
      </c>
      <c r="V132" s="83">
        <f>Q132-J132</f>
        <v>-3.0053153337471331E-2</v>
      </c>
    </row>
    <row r="133" spans="1:24">
      <c r="A133" s="75">
        <v>110</v>
      </c>
      <c r="B133" s="125" t="s">
        <v>156</v>
      </c>
      <c r="C133" s="126" t="s">
        <v>21</v>
      </c>
      <c r="D133" s="4">
        <v>7274634163.4499998</v>
      </c>
      <c r="E133" s="3">
        <f t="shared" si="50"/>
        <v>0.14565788970117752</v>
      </c>
      <c r="F133" s="4">
        <v>769.23180000000002</v>
      </c>
      <c r="G133" s="4">
        <v>792.42470000000003</v>
      </c>
      <c r="H133" s="62">
        <v>21210</v>
      </c>
      <c r="I133" s="6">
        <v>-1.3758999999999999</v>
      </c>
      <c r="J133" s="6">
        <v>1.0923</v>
      </c>
      <c r="K133" s="4">
        <v>7145401726.6400003</v>
      </c>
      <c r="L133" s="16">
        <f t="shared" si="51"/>
        <v>0.14749446988633402</v>
      </c>
      <c r="M133" s="4">
        <v>755.09479999999996</v>
      </c>
      <c r="N133" s="4">
        <v>777.8614</v>
      </c>
      <c r="O133" s="62">
        <v>21212</v>
      </c>
      <c r="P133" s="6">
        <v>-0.96089999999999998</v>
      </c>
      <c r="Q133" s="6">
        <v>0.83889999999999998</v>
      </c>
      <c r="R133" s="81">
        <f t="shared" ref="R133:R157" si="52">((K133-D133)/D133)</f>
        <v>-1.7764802175111841E-2</v>
      </c>
      <c r="S133" s="81">
        <f t="shared" ref="S133:S157" si="53">((N133-G133)/G133)</f>
        <v>-1.8378149999615137E-2</v>
      </c>
      <c r="T133" s="81">
        <f t="shared" ref="T133:T157" si="54">((O133-H133)/H133)</f>
        <v>9.42951438000943E-5</v>
      </c>
      <c r="U133" s="81">
        <f t="shared" ref="U133:U157" si="55">P133-I133</f>
        <v>0.41499999999999992</v>
      </c>
      <c r="V133" s="83">
        <f t="shared" ref="V133:V157" si="56">Q133-J133</f>
        <v>-0.25340000000000007</v>
      </c>
    </row>
    <row r="134" spans="1:24">
      <c r="A134" s="75">
        <v>111</v>
      </c>
      <c r="B134" s="125" t="s">
        <v>157</v>
      </c>
      <c r="C134" s="126" t="s">
        <v>91</v>
      </c>
      <c r="D134" s="4">
        <v>3731968676.2199998</v>
      </c>
      <c r="E134" s="3">
        <f t="shared" si="50"/>
        <v>7.472412627156827E-2</v>
      </c>
      <c r="F134" s="4">
        <v>20.929099999999998</v>
      </c>
      <c r="G134" s="4">
        <v>21.192799999999998</v>
      </c>
      <c r="H134" s="60">
        <v>6268</v>
      </c>
      <c r="I134" s="5">
        <v>-1.1999999999999999E-3</v>
      </c>
      <c r="J134" s="5">
        <v>0.13519999999999999</v>
      </c>
      <c r="K134" s="4">
        <v>3504407510.1300001</v>
      </c>
      <c r="L134" s="16">
        <f t="shared" si="51"/>
        <v>7.2337532268513347E-2</v>
      </c>
      <c r="M134" s="4">
        <v>19.212</v>
      </c>
      <c r="N134" s="4">
        <v>19.438400000000001</v>
      </c>
      <c r="O134" s="60">
        <v>6267</v>
      </c>
      <c r="P134" s="5">
        <v>-2.9899999999999999E-2</v>
      </c>
      <c r="Q134" s="5">
        <v>4.1700000000000001E-2</v>
      </c>
      <c r="R134" s="81">
        <f t="shared" si="52"/>
        <v>-6.0976172586874343E-2</v>
      </c>
      <c r="S134" s="81">
        <f t="shared" si="53"/>
        <v>-8.27828319051752E-2</v>
      </c>
      <c r="T134" s="81">
        <f t="shared" si="54"/>
        <v>-1.5954052329291641E-4</v>
      </c>
      <c r="U134" s="81">
        <f t="shared" si="55"/>
        <v>-2.87E-2</v>
      </c>
      <c r="V134" s="83">
        <f t="shared" si="56"/>
        <v>-9.3499999999999986E-2</v>
      </c>
    </row>
    <row r="135" spans="1:24">
      <c r="A135" s="75">
        <v>112</v>
      </c>
      <c r="B135" s="125" t="s">
        <v>158</v>
      </c>
      <c r="C135" s="126" t="s">
        <v>101</v>
      </c>
      <c r="D135" s="2">
        <v>1491386034.0463266</v>
      </c>
      <c r="E135" s="3">
        <f t="shared" si="50"/>
        <v>2.9861589953270443E-2</v>
      </c>
      <c r="F135" s="4">
        <v>3.4874000000000001</v>
      </c>
      <c r="G135" s="4">
        <v>3.5764</v>
      </c>
      <c r="H135" s="60">
        <v>2753</v>
      </c>
      <c r="I135" s="5">
        <v>-1.6042000000000001</v>
      </c>
      <c r="J135" s="5">
        <v>0.84060000000000001</v>
      </c>
      <c r="K135" s="2">
        <v>1470482601.7571864</v>
      </c>
      <c r="L135" s="16">
        <f t="shared" si="51"/>
        <v>3.0353514066904844E-2</v>
      </c>
      <c r="M135" s="4">
        <v>3.4390000000000001</v>
      </c>
      <c r="N135" s="4">
        <v>3.5257999999999998</v>
      </c>
      <c r="O135" s="60">
        <v>2753</v>
      </c>
      <c r="P135" s="5">
        <v>-0.73980000000000001</v>
      </c>
      <c r="Q135" s="5">
        <v>0.64870000000000005</v>
      </c>
      <c r="R135" s="81">
        <f t="shared" si="52"/>
        <v>-1.4016111061752712E-2</v>
      </c>
      <c r="S135" s="81">
        <f t="shared" si="53"/>
        <v>-1.4148305558662398E-2</v>
      </c>
      <c r="T135" s="81">
        <f t="shared" si="54"/>
        <v>0</v>
      </c>
      <c r="U135" s="81">
        <f t="shared" si="55"/>
        <v>0.86440000000000006</v>
      </c>
      <c r="V135" s="83">
        <f t="shared" si="56"/>
        <v>-0.19189999999999996</v>
      </c>
    </row>
    <row r="136" spans="1:24">
      <c r="A136" s="75">
        <v>113</v>
      </c>
      <c r="B136" s="125" t="s">
        <v>159</v>
      </c>
      <c r="C136" s="126" t="s">
        <v>56</v>
      </c>
      <c r="D136" s="2">
        <v>3207244763.5122614</v>
      </c>
      <c r="E136" s="3">
        <f t="shared" si="50"/>
        <v>6.4217731574119044E-2</v>
      </c>
      <c r="F136" s="4">
        <v>5900.1931772256639</v>
      </c>
      <c r="G136" s="4">
        <v>5942.4338033392496</v>
      </c>
      <c r="H136" s="60">
        <v>868</v>
      </c>
      <c r="I136" s="5">
        <v>-0.44813980110131929</v>
      </c>
      <c r="J136" s="5">
        <v>0.13198931273066211</v>
      </c>
      <c r="K136" s="2">
        <v>3152798818.2170801</v>
      </c>
      <c r="L136" s="16">
        <f t="shared" si="51"/>
        <v>6.507967055476617E-2</v>
      </c>
      <c r="M136" s="4">
        <v>5847.8398132266502</v>
      </c>
      <c r="N136" s="4">
        <v>5889.7094941720197</v>
      </c>
      <c r="O136" s="60">
        <v>866</v>
      </c>
      <c r="P136" s="5">
        <v>-0.46393956091375899</v>
      </c>
      <c r="Q136" s="5">
        <v>6.2567265414036774E-2</v>
      </c>
      <c r="R136" s="81">
        <f t="shared" si="52"/>
        <v>-1.6975924605005011E-2</v>
      </c>
      <c r="S136" s="81">
        <f t="shared" si="53"/>
        <v>-8.8725109798618793E-3</v>
      </c>
      <c r="T136" s="81">
        <f t="shared" si="54"/>
        <v>-2.304147465437788E-3</v>
      </c>
      <c r="U136" s="81">
        <f t="shared" si="55"/>
        <v>-1.5799759812439695E-2</v>
      </c>
      <c r="V136" s="83">
        <f t="shared" si="56"/>
        <v>-6.9422047316625338E-2</v>
      </c>
    </row>
    <row r="137" spans="1:24">
      <c r="A137" s="75">
        <v>114</v>
      </c>
      <c r="B137" s="125" t="s">
        <v>160</v>
      </c>
      <c r="C137" s="126" t="s">
        <v>58</v>
      </c>
      <c r="D137" s="4">
        <v>497689854.29000002</v>
      </c>
      <c r="E137" s="3">
        <f t="shared" si="50"/>
        <v>9.9650995875218487E-3</v>
      </c>
      <c r="F137" s="4">
        <v>178.59</v>
      </c>
      <c r="G137" s="4">
        <v>179.7</v>
      </c>
      <c r="H137" s="60">
        <v>663</v>
      </c>
      <c r="I137" s="5">
        <v>-5.5999999999999999E-3</v>
      </c>
      <c r="J137" s="5">
        <v>3.2099999999999997E-2</v>
      </c>
      <c r="K137" s="4">
        <v>492865283.77999997</v>
      </c>
      <c r="L137" s="16">
        <f t="shared" si="51"/>
        <v>1.0173662242877446E-2</v>
      </c>
      <c r="M137" s="4">
        <v>178.8</v>
      </c>
      <c r="N137" s="4">
        <v>179.93</v>
      </c>
      <c r="O137" s="60">
        <v>663</v>
      </c>
      <c r="P137" s="5">
        <v>1.1999999999999999E-3</v>
      </c>
      <c r="Q137" s="5">
        <v>3.3399999999999999E-2</v>
      </c>
      <c r="R137" s="81">
        <f t="shared" si="52"/>
        <v>-9.6939298006842832E-3</v>
      </c>
      <c r="S137" s="81">
        <f t="shared" si="53"/>
        <v>1.2799109627157385E-3</v>
      </c>
      <c r="T137" s="81">
        <f t="shared" si="54"/>
        <v>0</v>
      </c>
      <c r="U137" s="81">
        <f t="shared" si="55"/>
        <v>6.7999999999999996E-3</v>
      </c>
      <c r="V137" s="83">
        <f t="shared" si="56"/>
        <v>1.3000000000000025E-3</v>
      </c>
    </row>
    <row r="138" spans="1:24">
      <c r="A138" s="75">
        <v>115</v>
      </c>
      <c r="B138" s="125" t="s">
        <v>161</v>
      </c>
      <c r="C138" s="126" t="s">
        <v>60</v>
      </c>
      <c r="D138" s="4">
        <v>3734808.11</v>
      </c>
      <c r="E138" s="3">
        <f t="shared" si="50"/>
        <v>7.4780979430510489E-5</v>
      </c>
      <c r="F138" s="4">
        <v>102.747</v>
      </c>
      <c r="G138" s="4">
        <v>102.99</v>
      </c>
      <c r="H138" s="60">
        <v>0</v>
      </c>
      <c r="I138" s="5">
        <v>0</v>
      </c>
      <c r="J138" s="5">
        <v>0</v>
      </c>
      <c r="K138" s="4">
        <v>3734808.11</v>
      </c>
      <c r="L138" s="16">
        <f t="shared" si="51"/>
        <v>7.7093432026062577E-5</v>
      </c>
      <c r="M138" s="4">
        <v>102.747</v>
      </c>
      <c r="N138" s="4">
        <v>102.99</v>
      </c>
      <c r="O138" s="60">
        <v>0</v>
      </c>
      <c r="P138" s="5">
        <v>0</v>
      </c>
      <c r="Q138" s="5">
        <v>0</v>
      </c>
      <c r="R138" s="81">
        <f t="shared" si="52"/>
        <v>0</v>
      </c>
      <c r="S138" s="81">
        <f t="shared" si="53"/>
        <v>0</v>
      </c>
      <c r="T138" s="81" t="e">
        <f t="shared" si="54"/>
        <v>#DIV/0!</v>
      </c>
      <c r="U138" s="81">
        <f t="shared" si="55"/>
        <v>0</v>
      </c>
      <c r="V138" s="83">
        <f t="shared" si="56"/>
        <v>0</v>
      </c>
    </row>
    <row r="139" spans="1:24">
      <c r="A139" s="75">
        <v>116</v>
      </c>
      <c r="B139" s="125" t="s">
        <v>162</v>
      </c>
      <c r="C139" s="126" t="s">
        <v>105</v>
      </c>
      <c r="D139" s="4">
        <v>184488699.69</v>
      </c>
      <c r="E139" s="3">
        <f t="shared" si="50"/>
        <v>3.6939637192443379E-3</v>
      </c>
      <c r="F139" s="4">
        <v>1.5451999999999999</v>
      </c>
      <c r="G139" s="4">
        <v>1.5592999999999999</v>
      </c>
      <c r="H139" s="60">
        <v>282</v>
      </c>
      <c r="I139" s="5">
        <v>-2.7074675733534947E-2</v>
      </c>
      <c r="J139" s="5">
        <v>4.0328553154244773E-2</v>
      </c>
      <c r="K139" s="4">
        <v>183496293.16999999</v>
      </c>
      <c r="L139" s="16">
        <f t="shared" si="51"/>
        <v>3.7877070488999886E-3</v>
      </c>
      <c r="M139" s="4">
        <v>1.5265</v>
      </c>
      <c r="N139" s="4">
        <v>1.5401</v>
      </c>
      <c r="O139" s="60">
        <v>285</v>
      </c>
      <c r="P139" s="5">
        <v>-1.2101993269479694E-2</v>
      </c>
      <c r="Q139" s="5">
        <v>2.7738504005924591E-2</v>
      </c>
      <c r="R139" s="81">
        <f t="shared" si="52"/>
        <v>-5.37922659581628E-3</v>
      </c>
      <c r="S139" s="81">
        <f t="shared" si="53"/>
        <v>-1.231321746937721E-2</v>
      </c>
      <c r="T139" s="81">
        <f t="shared" si="54"/>
        <v>1.0638297872340425E-2</v>
      </c>
      <c r="U139" s="81">
        <f t="shared" si="55"/>
        <v>1.4972682464055254E-2</v>
      </c>
      <c r="V139" s="83">
        <f t="shared" si="56"/>
        <v>-1.2590049148320182E-2</v>
      </c>
    </row>
    <row r="140" spans="1:24">
      <c r="A140" s="75">
        <v>117</v>
      </c>
      <c r="B140" s="125" t="s">
        <v>163</v>
      </c>
      <c r="C140" s="126" t="s">
        <v>25</v>
      </c>
      <c r="D140" s="9">
        <v>152167625.43000001</v>
      </c>
      <c r="E140" s="3">
        <f t="shared" si="50"/>
        <v>3.0468082247123683E-3</v>
      </c>
      <c r="F140" s="4">
        <v>146.23429999999999</v>
      </c>
      <c r="G140" s="4">
        <v>149.74369999999999</v>
      </c>
      <c r="H140" s="60">
        <v>95</v>
      </c>
      <c r="I140" s="5">
        <v>-1.9370999999999999E-2</v>
      </c>
      <c r="J140" s="5">
        <v>0.32969999999999999</v>
      </c>
      <c r="K140" s="9">
        <v>149305692.84999999</v>
      </c>
      <c r="L140" s="16">
        <f t="shared" si="51"/>
        <v>3.0819490436513088E-3</v>
      </c>
      <c r="M140" s="4">
        <v>143.5788</v>
      </c>
      <c r="N140" s="4">
        <v>143.99979999999999</v>
      </c>
      <c r="O140" s="60">
        <v>96</v>
      </c>
      <c r="P140" s="5">
        <v>-1.8599999999999998E-2</v>
      </c>
      <c r="Q140" s="5">
        <v>0.3014</v>
      </c>
      <c r="R140" s="81">
        <f t="shared" si="52"/>
        <v>-1.8807762636189367E-2</v>
      </c>
      <c r="S140" s="81">
        <f t="shared" si="53"/>
        <v>-3.8358208058168704E-2</v>
      </c>
      <c r="T140" s="81">
        <f t="shared" si="54"/>
        <v>1.0526315789473684E-2</v>
      </c>
      <c r="U140" s="81">
        <f t="shared" si="55"/>
        <v>7.7100000000000085E-4</v>
      </c>
      <c r="V140" s="83">
        <f t="shared" si="56"/>
        <v>-2.8299999999999992E-2</v>
      </c>
    </row>
    <row r="141" spans="1:24">
      <c r="A141" s="75">
        <v>118</v>
      </c>
      <c r="B141" s="125" t="s">
        <v>164</v>
      </c>
      <c r="C141" s="126" t="s">
        <v>64</v>
      </c>
      <c r="D141" s="9">
        <v>197664494.93000001</v>
      </c>
      <c r="E141" s="3">
        <f t="shared" si="50"/>
        <v>3.9577788454311178E-3</v>
      </c>
      <c r="F141" s="4">
        <v>110.6</v>
      </c>
      <c r="G141" s="4">
        <v>111.14</v>
      </c>
      <c r="H141" s="60">
        <v>29</v>
      </c>
      <c r="I141" s="5">
        <v>-6.0000000000000001E-3</v>
      </c>
      <c r="J141" s="5">
        <v>6.7299999999999999E-2</v>
      </c>
      <c r="K141" s="9">
        <v>196818871.94999999</v>
      </c>
      <c r="L141" s="16">
        <f t="shared" si="51"/>
        <v>4.0627100186209136E-3</v>
      </c>
      <c r="M141" s="4">
        <v>110.12</v>
      </c>
      <c r="N141" s="4">
        <v>110.73</v>
      </c>
      <c r="O141" s="60">
        <v>29</v>
      </c>
      <c r="P141" s="5">
        <v>-4.1999999999999997E-3</v>
      </c>
      <c r="Q141" s="5">
        <v>6.3100000000000003E-2</v>
      </c>
      <c r="R141" s="81">
        <f t="shared" si="52"/>
        <v>-4.2780721965241363E-3</v>
      </c>
      <c r="S141" s="81">
        <f t="shared" si="53"/>
        <v>-3.6890408493791306E-3</v>
      </c>
      <c r="T141" s="81">
        <f t="shared" si="54"/>
        <v>0</v>
      </c>
      <c r="U141" s="81">
        <f t="shared" si="55"/>
        <v>1.8000000000000004E-3</v>
      </c>
      <c r="V141" s="83">
        <f t="shared" si="56"/>
        <v>-4.1999999999999954E-3</v>
      </c>
    </row>
    <row r="142" spans="1:24" ht="15.75" customHeight="1">
      <c r="A142" s="75">
        <v>119</v>
      </c>
      <c r="B142" s="125" t="s">
        <v>165</v>
      </c>
      <c r="C142" s="126" t="s">
        <v>67</v>
      </c>
      <c r="D142" s="2">
        <v>473236891.97000003</v>
      </c>
      <c r="E142" s="3">
        <f t="shared" si="50"/>
        <v>9.4754850160607817E-3</v>
      </c>
      <c r="F142" s="4">
        <v>1.4201999999999999</v>
      </c>
      <c r="G142" s="4">
        <v>1.4201999999999999</v>
      </c>
      <c r="H142" s="60">
        <v>109</v>
      </c>
      <c r="I142" s="5">
        <v>-2.9233314947600657E-2</v>
      </c>
      <c r="J142" s="5">
        <v>8.0085915925130272E-2</v>
      </c>
      <c r="K142" s="2">
        <v>323732613.05000001</v>
      </c>
      <c r="L142" s="16">
        <f t="shared" si="51"/>
        <v>6.6824472539741258E-3</v>
      </c>
      <c r="M142" s="4">
        <v>1.3544</v>
      </c>
      <c r="N142" s="4">
        <v>1.3703000000000001</v>
      </c>
      <c r="O142" s="60">
        <v>108</v>
      </c>
      <c r="P142" s="5">
        <v>-3.806818181818173E-2</v>
      </c>
      <c r="Q142" s="5">
        <v>3.8969008898435069E-2</v>
      </c>
      <c r="R142" s="81">
        <f t="shared" si="52"/>
        <v>-0.31591847858192246</v>
      </c>
      <c r="S142" s="81">
        <f t="shared" si="53"/>
        <v>-3.5135896352626275E-2</v>
      </c>
      <c r="T142" s="81">
        <f t="shared" si="54"/>
        <v>-9.1743119266055051E-3</v>
      </c>
      <c r="U142" s="81">
        <f t="shared" si="55"/>
        <v>-8.8348668705810728E-3</v>
      </c>
      <c r="V142" s="83">
        <f t="shared" si="56"/>
        <v>-4.1116907026695203E-2</v>
      </c>
      <c r="X142" s="105"/>
    </row>
    <row r="143" spans="1:24">
      <c r="A143" s="75">
        <v>120</v>
      </c>
      <c r="B143" s="125" t="s">
        <v>166</v>
      </c>
      <c r="C143" s="126" t="s">
        <v>27</v>
      </c>
      <c r="D143" s="4">
        <v>8177385098.8800001</v>
      </c>
      <c r="E143" s="3">
        <f t="shared" si="50"/>
        <v>0.16373340982027274</v>
      </c>
      <c r="F143" s="4">
        <v>296.74</v>
      </c>
      <c r="G143" s="4">
        <v>299.06</v>
      </c>
      <c r="H143" s="60">
        <v>5505</v>
      </c>
      <c r="I143" s="5">
        <v>-1.2699999999999999E-2</v>
      </c>
      <c r="J143" s="5">
        <v>9.74E-2</v>
      </c>
      <c r="K143" s="4">
        <v>8097706148.2600002</v>
      </c>
      <c r="L143" s="16">
        <f t="shared" si="51"/>
        <v>0.16715181613652202</v>
      </c>
      <c r="M143" s="4">
        <v>294.17</v>
      </c>
      <c r="N143" s="4">
        <v>296.44</v>
      </c>
      <c r="O143" s="60">
        <v>5500</v>
      </c>
      <c r="P143" s="5">
        <v>-8.6999999999999994E-3</v>
      </c>
      <c r="Q143" s="5">
        <v>8.7800000000000003E-2</v>
      </c>
      <c r="R143" s="81">
        <f t="shared" si="52"/>
        <v>-9.7438178166407933E-3</v>
      </c>
      <c r="S143" s="81">
        <f t="shared" si="53"/>
        <v>-8.7607837892061946E-3</v>
      </c>
      <c r="T143" s="81">
        <f t="shared" si="54"/>
        <v>-9.0826521344232513E-4</v>
      </c>
      <c r="U143" s="81">
        <f t="shared" si="55"/>
        <v>4.0000000000000001E-3</v>
      </c>
      <c r="V143" s="83">
        <f t="shared" si="56"/>
        <v>-9.5999999999999974E-3</v>
      </c>
    </row>
    <row r="144" spans="1:24">
      <c r="A144" s="75">
        <v>121</v>
      </c>
      <c r="B144" s="125" t="s">
        <v>167</v>
      </c>
      <c r="C144" s="126" t="s">
        <v>72</v>
      </c>
      <c r="D144" s="4">
        <v>2666016422.6399999</v>
      </c>
      <c r="E144" s="3">
        <f t="shared" si="50"/>
        <v>5.3380873498972074E-2</v>
      </c>
      <c r="F144" s="4">
        <v>1.8596999999999999</v>
      </c>
      <c r="G144" s="4">
        <v>1.8924000000000001</v>
      </c>
      <c r="H144" s="60">
        <v>10318</v>
      </c>
      <c r="I144" s="5">
        <v>-1.6799999999999999E-2</v>
      </c>
      <c r="J144" s="5">
        <v>6.6400000000000001E-2</v>
      </c>
      <c r="K144" s="4">
        <v>2636291288.9699998</v>
      </c>
      <c r="L144" s="16">
        <f t="shared" si="51"/>
        <v>5.4417988100360415E-2</v>
      </c>
      <c r="M144" s="4">
        <v>1.8391999999999999</v>
      </c>
      <c r="N144" s="4">
        <v>1.871</v>
      </c>
      <c r="O144" s="60">
        <v>10318</v>
      </c>
      <c r="P144" s="5">
        <v>-1.1132417172685587E-2</v>
      </c>
      <c r="Q144" s="5">
        <v>5.4529963078670883E-2</v>
      </c>
      <c r="R144" s="81">
        <f t="shared" si="52"/>
        <v>-1.1149643872247801E-2</v>
      </c>
      <c r="S144" s="81">
        <f t="shared" si="53"/>
        <v>-1.1308391460579204E-2</v>
      </c>
      <c r="T144" s="81">
        <f t="shared" si="54"/>
        <v>0</v>
      </c>
      <c r="U144" s="81">
        <f t="shared" si="55"/>
        <v>5.6675828273144123E-3</v>
      </c>
      <c r="V144" s="83">
        <f t="shared" si="56"/>
        <v>-1.1870036921329118E-2</v>
      </c>
    </row>
    <row r="145" spans="1:22">
      <c r="A145" s="75">
        <v>122</v>
      </c>
      <c r="B145" s="125" t="s">
        <v>168</v>
      </c>
      <c r="C145" s="126" t="s">
        <v>74</v>
      </c>
      <c r="D145" s="4">
        <v>191799189.48187697</v>
      </c>
      <c r="E145" s="3">
        <f t="shared" si="50"/>
        <v>3.8403395357928644E-3</v>
      </c>
      <c r="F145" s="4">
        <v>249.55815721350379</v>
      </c>
      <c r="G145" s="4">
        <v>255.71759309930445</v>
      </c>
      <c r="H145" s="60">
        <v>183</v>
      </c>
      <c r="I145" s="5">
        <v>-2.6051827924392645E-3</v>
      </c>
      <c r="J145" s="5">
        <v>2.1860731466914807E-2</v>
      </c>
      <c r="K145" s="4">
        <v>187053963.27010298</v>
      </c>
      <c r="L145" s="16">
        <f t="shared" si="51"/>
        <v>3.861144020748442E-3</v>
      </c>
      <c r="M145" s="4">
        <v>243.3839397302572</v>
      </c>
      <c r="N145" s="4">
        <v>249.67360360026638</v>
      </c>
      <c r="O145" s="60">
        <v>183</v>
      </c>
      <c r="P145" s="5">
        <v>-2.474059574804599E-2</v>
      </c>
      <c r="Q145" s="5">
        <v>-3.4207118011106985E-3</v>
      </c>
      <c r="R145" s="81">
        <f t="shared" si="52"/>
        <v>-2.4740595748045983E-2</v>
      </c>
      <c r="S145" s="81">
        <f t="shared" si="53"/>
        <v>-2.3635407426547204E-2</v>
      </c>
      <c r="T145" s="81">
        <f t="shared" si="54"/>
        <v>0</v>
      </c>
      <c r="U145" s="81">
        <f t="shared" si="55"/>
        <v>-2.2135412955606726E-2</v>
      </c>
      <c r="V145" s="83">
        <f t="shared" si="56"/>
        <v>-2.5281443268025505E-2</v>
      </c>
    </row>
    <row r="146" spans="1:22" ht="13.5" customHeight="1">
      <c r="A146" s="75">
        <v>123</v>
      </c>
      <c r="B146" s="125" t="s">
        <v>240</v>
      </c>
      <c r="C146" s="126" t="s">
        <v>32</v>
      </c>
      <c r="D146" s="2">
        <v>2615053267.6817999</v>
      </c>
      <c r="E146" s="3">
        <f t="shared" si="50"/>
        <v>5.2360453030129546E-2</v>
      </c>
      <c r="F146" s="4">
        <v>3.6383999999999999</v>
      </c>
      <c r="G146" s="4">
        <v>3.7059000000000002</v>
      </c>
      <c r="H146" s="60">
        <v>2315</v>
      </c>
      <c r="I146" s="5">
        <v>-2.1646185700072706E-2</v>
      </c>
      <c r="J146" s="5">
        <v>3.0242212630238186E-4</v>
      </c>
      <c r="K146" s="2">
        <v>2518269217.3200002</v>
      </c>
      <c r="L146" s="16">
        <f t="shared" si="51"/>
        <v>5.1981791570219454E-2</v>
      </c>
      <c r="M146" s="4">
        <v>3.5049999999999999</v>
      </c>
      <c r="N146" s="4">
        <v>3.5668000000000002</v>
      </c>
      <c r="O146" s="60">
        <v>2315</v>
      </c>
      <c r="P146" s="5">
        <v>-3.6664467897977171E-2</v>
      </c>
      <c r="Q146" s="5">
        <v>-3.6373133918016221E-2</v>
      </c>
      <c r="R146" s="81">
        <f t="shared" si="52"/>
        <v>-3.7010355222169958E-2</v>
      </c>
      <c r="S146" s="81">
        <f t="shared" si="53"/>
        <v>-3.7534741898054454E-2</v>
      </c>
      <c r="T146" s="81">
        <f t="shared" si="54"/>
        <v>0</v>
      </c>
      <c r="U146" s="81">
        <f t="shared" si="55"/>
        <v>-1.5018282197904465E-2</v>
      </c>
      <c r="V146" s="83">
        <f>Q146-J146</f>
        <v>-3.6675556044318602E-2</v>
      </c>
    </row>
    <row r="147" spans="1:22">
      <c r="A147" s="75">
        <v>124</v>
      </c>
      <c r="B147" s="125" t="s">
        <v>169</v>
      </c>
      <c r="C147" s="126" t="s">
        <v>114</v>
      </c>
      <c r="D147" s="2">
        <v>199338170.94999999</v>
      </c>
      <c r="E147" s="3">
        <f t="shared" si="50"/>
        <v>3.9912903748962709E-3</v>
      </c>
      <c r="F147" s="4">
        <v>186.42534699999999</v>
      </c>
      <c r="G147" s="4">
        <v>191.71276</v>
      </c>
      <c r="H147" s="60">
        <v>139</v>
      </c>
      <c r="I147" s="5">
        <v>2.0999999999999999E-3</v>
      </c>
      <c r="J147" s="5">
        <v>3.5400000000000001E-2</v>
      </c>
      <c r="K147" s="2">
        <v>180109908.97</v>
      </c>
      <c r="L147" s="16">
        <f t="shared" si="51"/>
        <v>3.7178057387261625E-3</v>
      </c>
      <c r="M147" s="4">
        <v>164.66148999999999</v>
      </c>
      <c r="N147" s="4">
        <v>169.91279599999999</v>
      </c>
      <c r="O147" s="60">
        <v>139</v>
      </c>
      <c r="P147" s="5">
        <v>-0.1086</v>
      </c>
      <c r="Q147" s="5">
        <v>-8.2299999999999998E-2</v>
      </c>
      <c r="R147" s="81">
        <f t="shared" si="52"/>
        <v>-9.6460511744251007E-2</v>
      </c>
      <c r="S147" s="81">
        <f t="shared" si="53"/>
        <v>-0.11371159645294354</v>
      </c>
      <c r="T147" s="81">
        <f t="shared" si="54"/>
        <v>0</v>
      </c>
      <c r="U147" s="81">
        <f t="shared" si="55"/>
        <v>-0.11070000000000001</v>
      </c>
      <c r="V147" s="83">
        <f t="shared" si="56"/>
        <v>-0.1177</v>
      </c>
    </row>
    <row r="148" spans="1:22">
      <c r="A148" s="75">
        <v>125</v>
      </c>
      <c r="B148" s="125" t="s">
        <v>170</v>
      </c>
      <c r="C148" s="126" t="s">
        <v>29</v>
      </c>
      <c r="D148" s="2">
        <v>1647757490.22</v>
      </c>
      <c r="E148" s="3">
        <f t="shared" si="50"/>
        <v>3.2992570261557941E-2</v>
      </c>
      <c r="F148" s="4">
        <v>552.22</v>
      </c>
      <c r="G148" s="4">
        <v>552.22</v>
      </c>
      <c r="H148" s="60">
        <v>818</v>
      </c>
      <c r="I148" s="5">
        <v>-3.2699999999999999E-3</v>
      </c>
      <c r="J148" s="5">
        <v>5.4030000000000002E-2</v>
      </c>
      <c r="K148" s="2">
        <v>1619897250.1400001</v>
      </c>
      <c r="L148" s="16">
        <f t="shared" ref="L148:L156" si="57">(K148/$K$157)</f>
        <v>3.3437712156749545E-2</v>
      </c>
      <c r="M148" s="4">
        <v>552.22</v>
      </c>
      <c r="N148" s="4">
        <v>552.22</v>
      </c>
      <c r="O148" s="60">
        <v>818</v>
      </c>
      <c r="P148" s="5">
        <v>-1.6899999999999998E-2</v>
      </c>
      <c r="Q148" s="5">
        <v>3.6200000000000003E-2</v>
      </c>
      <c r="R148" s="81">
        <f t="shared" si="52"/>
        <v>-1.6907973561255164E-2</v>
      </c>
      <c r="S148" s="81">
        <f t="shared" si="53"/>
        <v>0</v>
      </c>
      <c r="T148" s="81">
        <f t="shared" si="54"/>
        <v>0</v>
      </c>
      <c r="U148" s="81">
        <f t="shared" si="55"/>
        <v>-1.3629999999999998E-2</v>
      </c>
      <c r="V148" s="83">
        <f t="shared" si="56"/>
        <v>-1.7829999999999999E-2</v>
      </c>
    </row>
    <row r="149" spans="1:22">
      <c r="A149" s="75">
        <v>126</v>
      </c>
      <c r="B149" s="125" t="s">
        <v>171</v>
      </c>
      <c r="C149" s="126" t="s">
        <v>80</v>
      </c>
      <c r="D149" s="4">
        <v>27272872.93</v>
      </c>
      <c r="E149" s="3">
        <f t="shared" si="50"/>
        <v>5.4607682363345196E-4</v>
      </c>
      <c r="F149" s="4">
        <v>1.73</v>
      </c>
      <c r="G149" s="4">
        <v>1.73</v>
      </c>
      <c r="H149" s="60">
        <v>8</v>
      </c>
      <c r="I149" s="5">
        <v>-5.0299999999999997E-3</v>
      </c>
      <c r="J149" s="5">
        <v>6.0505999999999997E-2</v>
      </c>
      <c r="K149" s="4">
        <v>25905099.960000001</v>
      </c>
      <c r="L149" s="16">
        <f t="shared" si="57"/>
        <v>5.3472976497703295E-4</v>
      </c>
      <c r="M149" s="4">
        <v>1.63</v>
      </c>
      <c r="N149" s="4">
        <v>1.63</v>
      </c>
      <c r="O149" s="60">
        <v>8</v>
      </c>
      <c r="P149" s="5">
        <v>-5.4045999999999997E-2</v>
      </c>
      <c r="Q149" s="128">
        <v>3.1900000000000001E-3</v>
      </c>
      <c r="R149" s="81">
        <f t="shared" si="52"/>
        <v>-5.0151407719699989E-2</v>
      </c>
      <c r="S149" s="81">
        <f t="shared" si="53"/>
        <v>-5.780346820809254E-2</v>
      </c>
      <c r="T149" s="81">
        <f t="shared" si="54"/>
        <v>0</v>
      </c>
      <c r="U149" s="81">
        <f t="shared" si="55"/>
        <v>-4.9015999999999997E-2</v>
      </c>
      <c r="V149" s="83">
        <f t="shared" si="56"/>
        <v>-5.7315999999999999E-2</v>
      </c>
    </row>
    <row r="150" spans="1:22">
      <c r="A150" s="75">
        <v>127</v>
      </c>
      <c r="B150" s="125" t="s">
        <v>172</v>
      </c>
      <c r="C150" s="126" t="s">
        <v>38</v>
      </c>
      <c r="D150" s="4">
        <v>254078877.80000001</v>
      </c>
      <c r="E150" s="3">
        <f t="shared" si="50"/>
        <v>5.087347669513599E-3</v>
      </c>
      <c r="F150" s="4">
        <v>2.4683980000000001</v>
      </c>
      <c r="G150" s="4">
        <v>2.5145559999999998</v>
      </c>
      <c r="H150" s="60">
        <v>120</v>
      </c>
      <c r="I150" s="5">
        <v>-3.04E-2</v>
      </c>
      <c r="J150" s="5">
        <v>2E-3</v>
      </c>
      <c r="K150" s="4">
        <v>240171475.28</v>
      </c>
      <c r="L150" s="16">
        <f t="shared" si="57"/>
        <v>4.9575889199024604E-3</v>
      </c>
      <c r="M150" s="4">
        <v>2.3331339999999998</v>
      </c>
      <c r="N150" s="4">
        <v>2.377497</v>
      </c>
      <c r="O150" s="60">
        <v>120</v>
      </c>
      <c r="P150" s="5">
        <v>-5.7799999999999997E-2</v>
      </c>
      <c r="Q150" s="5">
        <v>4.7999999999999996E-3</v>
      </c>
      <c r="R150" s="81">
        <f t="shared" si="52"/>
        <v>-5.4736555200575632E-2</v>
      </c>
      <c r="S150" s="81">
        <f t="shared" si="53"/>
        <v>-5.4506242851620659E-2</v>
      </c>
      <c r="T150" s="81">
        <f t="shared" si="54"/>
        <v>0</v>
      </c>
      <c r="U150" s="81">
        <f t="shared" si="55"/>
        <v>-2.7399999999999997E-2</v>
      </c>
      <c r="V150" s="83">
        <f t="shared" si="56"/>
        <v>2.7999999999999995E-3</v>
      </c>
    </row>
    <row r="151" spans="1:22">
      <c r="A151" s="75">
        <v>128</v>
      </c>
      <c r="B151" s="125" t="s">
        <v>173</v>
      </c>
      <c r="C151" s="126" t="s">
        <v>42</v>
      </c>
      <c r="D151" s="2">
        <v>2993932909.2399998</v>
      </c>
      <c r="E151" s="3">
        <f t="shared" si="50"/>
        <v>5.9946650191408317E-2</v>
      </c>
      <c r="F151" s="4">
        <v>5476.72</v>
      </c>
      <c r="G151" s="4">
        <v>5520.24</v>
      </c>
      <c r="H151" s="60">
        <v>2192</v>
      </c>
      <c r="I151" s="5">
        <v>-2.1499999999999998E-2</v>
      </c>
      <c r="J151" s="5">
        <v>9.9400000000000002E-2</v>
      </c>
      <c r="K151" s="2">
        <v>2877396217.7600002</v>
      </c>
      <c r="L151" s="3">
        <f t="shared" si="57"/>
        <v>5.9394845248402904E-2</v>
      </c>
      <c r="M151" s="4">
        <v>5417.47</v>
      </c>
      <c r="N151" s="4">
        <v>5461.27</v>
      </c>
      <c r="O151" s="60">
        <v>2192</v>
      </c>
      <c r="P151" s="5">
        <v>-1.0699999999999999E-2</v>
      </c>
      <c r="Q151" s="5">
        <v>8.7599999999999997E-2</v>
      </c>
      <c r="R151" s="81">
        <f t="shared" si="52"/>
        <v>-3.8924282878998115E-2</v>
      </c>
      <c r="S151" s="81">
        <f t="shared" si="53"/>
        <v>-1.0682506557685779E-2</v>
      </c>
      <c r="T151" s="81">
        <f t="shared" si="54"/>
        <v>0</v>
      </c>
      <c r="U151" s="81">
        <f t="shared" si="55"/>
        <v>1.0799999999999999E-2</v>
      </c>
      <c r="V151" s="83">
        <f t="shared" si="56"/>
        <v>-1.1800000000000005E-2</v>
      </c>
    </row>
    <row r="152" spans="1:22">
      <c r="A152" s="75">
        <v>129</v>
      </c>
      <c r="B152" s="125" t="s">
        <v>256</v>
      </c>
      <c r="C152" s="125" t="s">
        <v>257</v>
      </c>
      <c r="D152" s="2">
        <v>603032735.12</v>
      </c>
      <c r="E152" s="3">
        <f t="shared" si="50"/>
        <v>1.2074349533564979E-2</v>
      </c>
      <c r="F152" s="4">
        <v>1.19</v>
      </c>
      <c r="G152" s="4">
        <v>1.19</v>
      </c>
      <c r="H152" s="60">
        <v>32</v>
      </c>
      <c r="I152" s="5">
        <v>8.5000000000000006E-3</v>
      </c>
      <c r="J152" s="5">
        <v>2.0299999999999999E-2</v>
      </c>
      <c r="K152" s="2">
        <v>604710542.92999995</v>
      </c>
      <c r="L152" s="3">
        <f t="shared" si="57"/>
        <v>1.2482357798247724E-2</v>
      </c>
      <c r="M152" s="4">
        <v>1.1890000000000001</v>
      </c>
      <c r="N152" s="4">
        <v>1.1890000000000001</v>
      </c>
      <c r="O152" s="60">
        <v>33</v>
      </c>
      <c r="P152" s="5">
        <v>1.6999999999999999E-3</v>
      </c>
      <c r="Q152" s="5">
        <v>2.3099999999999999E-2</v>
      </c>
      <c r="R152" s="81">
        <f>((K152-D152)/D152)</f>
        <v>2.7822831370274931E-3</v>
      </c>
      <c r="S152" s="81">
        <f>((N152-G152)/G152)</f>
        <v>-8.4033613445368897E-4</v>
      </c>
      <c r="T152" s="81">
        <f>((O152-H152)/H152)</f>
        <v>3.125E-2</v>
      </c>
      <c r="U152" s="81">
        <f>P152-I152</f>
        <v>-6.8000000000000005E-3</v>
      </c>
      <c r="V152" s="83">
        <f>Q152-J152</f>
        <v>2.8000000000000004E-3</v>
      </c>
    </row>
    <row r="153" spans="1:22">
      <c r="A153" s="75">
        <v>130</v>
      </c>
      <c r="B153" s="125" t="s">
        <v>174</v>
      </c>
      <c r="C153" s="126" t="s">
        <v>45</v>
      </c>
      <c r="D153" s="4">
        <v>1852403238.5999999</v>
      </c>
      <c r="E153" s="3">
        <f t="shared" si="50"/>
        <v>3.709013271976578E-2</v>
      </c>
      <c r="F153" s="4">
        <v>1.9923999999999999</v>
      </c>
      <c r="G153" s="4">
        <v>2.0066999999999999</v>
      </c>
      <c r="H153" s="60">
        <v>1990</v>
      </c>
      <c r="I153" s="5">
        <v>-1.7999999999999999E-2</v>
      </c>
      <c r="J153" s="5">
        <v>7.7399999999999997E-2</v>
      </c>
      <c r="K153" s="4">
        <v>1710233828.6900001</v>
      </c>
      <c r="L153" s="16">
        <f t="shared" si="57"/>
        <v>3.5302428274095528E-2</v>
      </c>
      <c r="M153" s="4">
        <v>1.8471</v>
      </c>
      <c r="N153" s="4">
        <v>1.8608</v>
      </c>
      <c r="O153" s="60">
        <v>1999</v>
      </c>
      <c r="P153" s="5">
        <v>-7.2900000000000006E-2</v>
      </c>
      <c r="Q153" s="5">
        <v>-1.1000000000000001E-3</v>
      </c>
      <c r="R153" s="81">
        <f t="shared" si="52"/>
        <v>-7.6748629535677085E-2</v>
      </c>
      <c r="S153" s="81">
        <f t="shared" si="53"/>
        <v>-7.2706433447949331E-2</v>
      </c>
      <c r="T153" s="81">
        <f t="shared" si="54"/>
        <v>4.522613065326633E-3</v>
      </c>
      <c r="U153" s="81">
        <f t="shared" si="55"/>
        <v>-5.4900000000000004E-2</v>
      </c>
      <c r="V153" s="83">
        <f t="shared" si="56"/>
        <v>-7.85E-2</v>
      </c>
    </row>
    <row r="154" spans="1:22">
      <c r="A154" s="75">
        <v>131</v>
      </c>
      <c r="B154" s="125" t="s">
        <v>175</v>
      </c>
      <c r="C154" s="126" t="s">
        <v>45</v>
      </c>
      <c r="D154" s="4">
        <v>1094576792.02</v>
      </c>
      <c r="E154" s="3">
        <f t="shared" si="50"/>
        <v>2.1916393602658686E-2</v>
      </c>
      <c r="F154" s="4">
        <v>1.6674</v>
      </c>
      <c r="G154" s="4">
        <v>1.6797</v>
      </c>
      <c r="H154" s="60">
        <v>533</v>
      </c>
      <c r="I154" s="5">
        <v>-1.6899999999999998E-2</v>
      </c>
      <c r="J154" s="5">
        <v>0.17199999999999999</v>
      </c>
      <c r="K154" s="4">
        <v>1066852129.98</v>
      </c>
      <c r="L154" s="16">
        <f t="shared" si="57"/>
        <v>2.2021825417015389E-2</v>
      </c>
      <c r="M154" s="4">
        <v>1.6255999999999999</v>
      </c>
      <c r="N154" s="4">
        <v>1.6373</v>
      </c>
      <c r="O154" s="60">
        <v>559</v>
      </c>
      <c r="P154" s="5">
        <v>-2.5100000000000001E-2</v>
      </c>
      <c r="Q154" s="5">
        <v>0.1426</v>
      </c>
      <c r="R154" s="81">
        <f t="shared" si="52"/>
        <v>-2.5329115546872824E-2</v>
      </c>
      <c r="S154" s="81">
        <f t="shared" si="53"/>
        <v>-2.5242602845746261E-2</v>
      </c>
      <c r="T154" s="81">
        <f t="shared" si="54"/>
        <v>4.878048780487805E-2</v>
      </c>
      <c r="U154" s="81">
        <f t="shared" si="55"/>
        <v>-8.2000000000000024E-3</v>
      </c>
      <c r="V154" s="83">
        <f t="shared" si="56"/>
        <v>-2.9399999999999982E-2</v>
      </c>
    </row>
    <row r="155" spans="1:22">
      <c r="A155" s="75">
        <v>132</v>
      </c>
      <c r="B155" s="125" t="s">
        <v>176</v>
      </c>
      <c r="C155" s="126" t="s">
        <v>87</v>
      </c>
      <c r="D155" s="2">
        <v>9236251887.7999992</v>
      </c>
      <c r="E155" s="3">
        <f t="shared" si="50"/>
        <v>0.18493479238926291</v>
      </c>
      <c r="F155" s="4">
        <v>452.79</v>
      </c>
      <c r="G155" s="4">
        <v>457.18</v>
      </c>
      <c r="H155" s="60">
        <v>30</v>
      </c>
      <c r="I155" s="5">
        <v>1.03E-2</v>
      </c>
      <c r="J155" s="5">
        <v>0.30059999999999998</v>
      </c>
      <c r="K155" s="2">
        <v>8917912155.7099991</v>
      </c>
      <c r="L155" s="16">
        <f t="shared" si="57"/>
        <v>0.18408240379199187</v>
      </c>
      <c r="M155" s="4">
        <v>436.88</v>
      </c>
      <c r="N155" s="4">
        <v>441.18</v>
      </c>
      <c r="O155" s="60">
        <v>31</v>
      </c>
      <c r="P155" s="5">
        <v>-3.5000000000000003E-2</v>
      </c>
      <c r="Q155" s="5">
        <v>0.25130000000000002</v>
      </c>
      <c r="R155" s="81">
        <f t="shared" si="52"/>
        <v>-3.4466332875837807E-2</v>
      </c>
      <c r="S155" s="81">
        <f t="shared" si="53"/>
        <v>-3.4997156481035914E-2</v>
      </c>
      <c r="T155" s="81">
        <f t="shared" si="54"/>
        <v>3.3333333333333333E-2</v>
      </c>
      <c r="U155" s="81">
        <f t="shared" si="55"/>
        <v>-4.5300000000000007E-2</v>
      </c>
      <c r="V155" s="83">
        <f t="shared" si="56"/>
        <v>-4.9299999999999955E-2</v>
      </c>
    </row>
    <row r="156" spans="1:22">
      <c r="A156" s="75">
        <v>133</v>
      </c>
      <c r="B156" s="125" t="s">
        <v>177</v>
      </c>
      <c r="C156" s="126" t="s">
        <v>40</v>
      </c>
      <c r="D156" s="2">
        <v>320433181.38999999</v>
      </c>
      <c r="E156" s="3">
        <f t="shared" si="50"/>
        <v>6.415940642899221E-3</v>
      </c>
      <c r="F156" s="4">
        <v>222.79</v>
      </c>
      <c r="G156" s="4">
        <v>222.78</v>
      </c>
      <c r="H156" s="60">
        <v>690</v>
      </c>
      <c r="I156" s="5">
        <v>-2.0199999999999999E-2</v>
      </c>
      <c r="J156" s="5">
        <v>8.8099999999999998E-2</v>
      </c>
      <c r="K156" s="2">
        <v>314854321.76999998</v>
      </c>
      <c r="L156" s="16">
        <f t="shared" si="57"/>
        <v>6.4991826992384701E-3</v>
      </c>
      <c r="M156" s="4">
        <v>218.93</v>
      </c>
      <c r="N156" s="4">
        <v>221.83</v>
      </c>
      <c r="O156" s="60">
        <v>690</v>
      </c>
      <c r="P156" s="5">
        <v>-1.7399999999999999E-2</v>
      </c>
      <c r="Q156" s="5">
        <v>6.93E-2</v>
      </c>
      <c r="R156" s="81">
        <f t="shared" si="52"/>
        <v>-1.7410368039288544E-2</v>
      </c>
      <c r="S156" s="81">
        <f t="shared" si="53"/>
        <v>-4.2642966154950558E-3</v>
      </c>
      <c r="T156" s="81">
        <f t="shared" si="54"/>
        <v>0</v>
      </c>
      <c r="U156" s="81">
        <f t="shared" si="55"/>
        <v>2.8000000000000004E-3</v>
      </c>
      <c r="V156" s="83">
        <f t="shared" si="56"/>
        <v>-1.8799999999999997E-2</v>
      </c>
    </row>
    <row r="157" spans="1:22">
      <c r="A157" s="84"/>
      <c r="B157" s="19"/>
      <c r="C157" s="71" t="s">
        <v>46</v>
      </c>
      <c r="D157" s="72">
        <f>SUM(D131:D156)</f>
        <v>49943289569.649658</v>
      </c>
      <c r="E157" s="100">
        <f>(D157/$D$183)</f>
        <v>1.7722335692494966E-2</v>
      </c>
      <c r="F157" s="30"/>
      <c r="G157" s="36"/>
      <c r="H157" s="65">
        <f>SUM(H131:H156)</f>
        <v>69148</v>
      </c>
      <c r="I157" s="37"/>
      <c r="J157" s="37"/>
      <c r="K157" s="72">
        <f>SUM(K131:K156)</f>
        <v>48445217858.992096</v>
      </c>
      <c r="L157" s="100">
        <f>(K157/$K$183)</f>
        <v>1.7045409755251317E-2</v>
      </c>
      <c r="M157" s="30"/>
      <c r="N157" s="36"/>
      <c r="O157" s="65">
        <f>SUM(O131:O156)</f>
        <v>69182</v>
      </c>
      <c r="P157" s="37"/>
      <c r="Q157" s="37"/>
      <c r="R157" s="81">
        <f t="shared" si="52"/>
        <v>-2.9995455316742584E-2</v>
      </c>
      <c r="S157" s="81" t="e">
        <f t="shared" si="53"/>
        <v>#DIV/0!</v>
      </c>
      <c r="T157" s="81">
        <f t="shared" si="54"/>
        <v>4.9169896453982761E-4</v>
      </c>
      <c r="U157" s="81">
        <f t="shared" si="55"/>
        <v>0</v>
      </c>
      <c r="V157" s="83">
        <f t="shared" si="56"/>
        <v>0</v>
      </c>
    </row>
    <row r="158" spans="1:22" ht="8.25" customHeight="1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</row>
    <row r="159" spans="1:22" ht="15" customHeight="1">
      <c r="A159" s="132" t="s">
        <v>178</v>
      </c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</row>
    <row r="160" spans="1:22">
      <c r="A160" s="75">
        <v>134</v>
      </c>
      <c r="B160" s="125" t="s">
        <v>179</v>
      </c>
      <c r="C160" s="126" t="s">
        <v>21</v>
      </c>
      <c r="D160" s="17">
        <v>1072857980.7</v>
      </c>
      <c r="E160" s="3">
        <f>(D160/$D$163)</f>
        <v>0.20406682822994901</v>
      </c>
      <c r="F160" s="17">
        <v>64.492800000000003</v>
      </c>
      <c r="G160" s="17">
        <v>66.437299999999993</v>
      </c>
      <c r="H160" s="62">
        <v>1499</v>
      </c>
      <c r="I160" s="6">
        <v>-0.85709999999999997</v>
      </c>
      <c r="J160" s="6">
        <v>1.2386999999999999</v>
      </c>
      <c r="K160" s="17">
        <v>1033619301.0700001</v>
      </c>
      <c r="L160" s="16">
        <f>(K160/$K$163)</f>
        <v>0.20217886415921585</v>
      </c>
      <c r="M160" s="17">
        <v>63.196100000000001</v>
      </c>
      <c r="N160" s="17">
        <v>65.101500000000001</v>
      </c>
      <c r="O160" s="62">
        <v>1504</v>
      </c>
      <c r="P160" s="6">
        <v>-1.0512999999999999</v>
      </c>
      <c r="Q160" s="6">
        <v>0.95379999999999998</v>
      </c>
      <c r="R160" s="81">
        <f>((K160-D160)/D160)</f>
        <v>-3.657397375596555E-2</v>
      </c>
      <c r="S160" s="81">
        <f t="shared" ref="S160:T163" si="58">((N160-G160)/G160)</f>
        <v>-2.0106175296106133E-2</v>
      </c>
      <c r="T160" s="81">
        <f t="shared" si="58"/>
        <v>3.3355570380253501E-3</v>
      </c>
      <c r="U160" s="81">
        <f t="shared" ref="U160:V163" si="59">P160-I160</f>
        <v>-0.19419999999999993</v>
      </c>
      <c r="V160" s="83">
        <f t="shared" si="59"/>
        <v>-0.28489999999999993</v>
      </c>
    </row>
    <row r="161" spans="1:24">
      <c r="A161" s="75">
        <v>135</v>
      </c>
      <c r="B161" s="125" t="s">
        <v>180</v>
      </c>
      <c r="C161" s="126" t="s">
        <v>181</v>
      </c>
      <c r="D161" s="98">
        <v>840602727.38</v>
      </c>
      <c r="E161" s="3">
        <f>(D161/$D$163)</f>
        <v>0.15988987868269219</v>
      </c>
      <c r="F161" s="17">
        <v>23.072399999999998</v>
      </c>
      <c r="G161" s="17">
        <v>23.275700000000001</v>
      </c>
      <c r="H161" s="60">
        <v>1500</v>
      </c>
      <c r="I161" s="5">
        <v>-1.6000000000000001E-3</v>
      </c>
      <c r="J161" s="5">
        <v>5.8599999999999999E-2</v>
      </c>
      <c r="K161" s="98">
        <v>811895309.41999996</v>
      </c>
      <c r="L161" s="16">
        <f>(K161/$K$163)</f>
        <v>0.15880902311402761</v>
      </c>
      <c r="M161" s="17">
        <v>21.8187</v>
      </c>
      <c r="N161" s="17">
        <v>21.994299999999999</v>
      </c>
      <c r="O161" s="60">
        <v>1501</v>
      </c>
      <c r="P161" s="5">
        <v>-1.95E-2</v>
      </c>
      <c r="Q161" s="5">
        <v>6.9999999999999999E-4</v>
      </c>
      <c r="R161" s="81">
        <f>((K161-D161)/D161)</f>
        <v>-3.4150993120704756E-2</v>
      </c>
      <c r="S161" s="81">
        <f t="shared" si="58"/>
        <v>-5.5053124073604721E-2</v>
      </c>
      <c r="T161" s="81">
        <f t="shared" si="58"/>
        <v>6.6666666666666664E-4</v>
      </c>
      <c r="U161" s="81">
        <f t="shared" si="59"/>
        <v>-1.7899999999999999E-2</v>
      </c>
      <c r="V161" s="83">
        <f t="shared" si="59"/>
        <v>-5.79E-2</v>
      </c>
    </row>
    <row r="162" spans="1:24">
      <c r="A162" s="75">
        <v>136</v>
      </c>
      <c r="B162" s="125" t="s">
        <v>182</v>
      </c>
      <c r="C162" s="126" t="s">
        <v>42</v>
      </c>
      <c r="D162" s="9">
        <v>3343924776.8899999</v>
      </c>
      <c r="E162" s="3">
        <f>(D162/$D$163)</f>
        <v>0.63604329308735896</v>
      </c>
      <c r="F162" s="17">
        <v>2.3199999999999998</v>
      </c>
      <c r="G162" s="17">
        <v>2.35</v>
      </c>
      <c r="H162" s="60">
        <v>10024</v>
      </c>
      <c r="I162" s="5">
        <v>-2.4899999999999999E-2</v>
      </c>
      <c r="J162" s="5">
        <v>0.1298</v>
      </c>
      <c r="K162" s="9">
        <v>3266885765.1300001</v>
      </c>
      <c r="L162" s="16">
        <f>(K162/$K$163)</f>
        <v>0.63901211272675662</v>
      </c>
      <c r="M162" s="17">
        <v>2.2799999999999998</v>
      </c>
      <c r="N162" s="17">
        <v>2.2999999999999998</v>
      </c>
      <c r="O162" s="60">
        <v>10026</v>
      </c>
      <c r="P162" s="5">
        <v>-2.1299999999999999E-2</v>
      </c>
      <c r="Q162" s="5">
        <v>0.10580000000000001</v>
      </c>
      <c r="R162" s="81">
        <f>((K162-D162)/D162)</f>
        <v>-2.3038500235537444E-2</v>
      </c>
      <c r="S162" s="81">
        <f t="shared" si="58"/>
        <v>-2.1276595744680965E-2</v>
      </c>
      <c r="T162" s="81">
        <f t="shared" si="58"/>
        <v>1.9952114924181964E-4</v>
      </c>
      <c r="U162" s="81">
        <f t="shared" si="59"/>
        <v>3.599999999999999E-3</v>
      </c>
      <c r="V162" s="83">
        <f t="shared" si="59"/>
        <v>-2.3999999999999994E-2</v>
      </c>
    </row>
    <row r="163" spans="1:24">
      <c r="A163" s="75"/>
      <c r="B163" s="19"/>
      <c r="C163" s="66" t="s">
        <v>46</v>
      </c>
      <c r="D163" s="72">
        <f>SUM(D160:D162)</f>
        <v>5257385484.9699993</v>
      </c>
      <c r="E163" s="100">
        <f>(D163/$D$183)</f>
        <v>1.8655789643081447E-3</v>
      </c>
      <c r="F163" s="30"/>
      <c r="G163" s="36"/>
      <c r="H163" s="65">
        <f>SUM(H160:H162)</f>
        <v>13023</v>
      </c>
      <c r="I163" s="37"/>
      <c r="J163" s="37"/>
      <c r="K163" s="72">
        <f>SUM(K160:K162)</f>
        <v>5112400375.6199999</v>
      </c>
      <c r="L163" s="100">
        <f>(K163/$K$183)</f>
        <v>1.7987938353169924E-3</v>
      </c>
      <c r="M163" s="30"/>
      <c r="N163" s="36"/>
      <c r="O163" s="65">
        <f>SUM(O160:O162)</f>
        <v>13031</v>
      </c>
      <c r="P163" s="37"/>
      <c r="Q163" s="37"/>
      <c r="R163" s="81">
        <f>((K163-D163)/D163)</f>
        <v>-2.7577416524713284E-2</v>
      </c>
      <c r="S163" s="81" t="e">
        <f t="shared" si="58"/>
        <v>#DIV/0!</v>
      </c>
      <c r="T163" s="81">
        <f t="shared" si="58"/>
        <v>6.1429778084926673E-4</v>
      </c>
      <c r="U163" s="81">
        <f t="shared" si="59"/>
        <v>0</v>
      </c>
      <c r="V163" s="83">
        <f t="shared" si="59"/>
        <v>0</v>
      </c>
    </row>
    <row r="164" spans="1:24" ht="6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</row>
    <row r="165" spans="1:24" ht="15" customHeight="1">
      <c r="A165" s="132" t="s">
        <v>183</v>
      </c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</row>
    <row r="166" spans="1:24">
      <c r="A166" s="133" t="s">
        <v>232</v>
      </c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</row>
    <row r="167" spans="1:24">
      <c r="A167" s="75">
        <v>137</v>
      </c>
      <c r="B167" s="125" t="s">
        <v>184</v>
      </c>
      <c r="C167" s="126" t="s">
        <v>185</v>
      </c>
      <c r="D167" s="13">
        <v>4003833676.1700001</v>
      </c>
      <c r="E167" s="3">
        <f>(D167/$D$182)</f>
        <v>8.0851852586153267E-2</v>
      </c>
      <c r="F167" s="18">
        <v>1.9</v>
      </c>
      <c r="G167" s="18">
        <v>1.94</v>
      </c>
      <c r="H167" s="61">
        <v>14982</v>
      </c>
      <c r="I167" s="12">
        <v>-2.2000000000000001E-3</v>
      </c>
      <c r="J167" s="12">
        <v>4.3700000000000003E-2</v>
      </c>
      <c r="K167" s="13">
        <v>3995338851.5100002</v>
      </c>
      <c r="L167" s="3">
        <f>(K167/$K$182)</f>
        <v>8.1094279008986636E-2</v>
      </c>
      <c r="M167" s="18">
        <v>1.9</v>
      </c>
      <c r="N167" s="18">
        <v>1.93</v>
      </c>
      <c r="O167" s="61">
        <v>14982</v>
      </c>
      <c r="P167" s="12">
        <v>-1.9E-3</v>
      </c>
      <c r="Q167" s="12">
        <v>4.1700000000000001E-2</v>
      </c>
      <c r="R167" s="81">
        <f>((K167-D167)/D167)</f>
        <v>-2.1216727134694201E-3</v>
      </c>
      <c r="S167" s="81">
        <f>((N167-G167)/G167)</f>
        <v>-5.1546391752577371E-3</v>
      </c>
      <c r="T167" s="81">
        <f>((O167-H167)/H167)</f>
        <v>0</v>
      </c>
      <c r="U167" s="81">
        <f>P167-I167</f>
        <v>3.0000000000000014E-4</v>
      </c>
      <c r="V167" s="83">
        <f>Q167-J167</f>
        <v>-2.0000000000000018E-3</v>
      </c>
    </row>
    <row r="168" spans="1:24">
      <c r="A168" s="75">
        <v>138</v>
      </c>
      <c r="B168" s="125" t="s">
        <v>186</v>
      </c>
      <c r="C168" s="126" t="s">
        <v>42</v>
      </c>
      <c r="D168" s="13">
        <v>813368204.04999995</v>
      </c>
      <c r="E168" s="3">
        <f>(D168/$D$182)</f>
        <v>1.6424839653934365E-2</v>
      </c>
      <c r="F168" s="18">
        <v>444.86</v>
      </c>
      <c r="G168" s="18">
        <v>449.67</v>
      </c>
      <c r="H168" s="61">
        <v>798</v>
      </c>
      <c r="I168" s="12">
        <v>-4.4400000000000002E-2</v>
      </c>
      <c r="J168" s="12">
        <v>0.17749999999999999</v>
      </c>
      <c r="K168" s="13">
        <v>773845684.32000005</v>
      </c>
      <c r="L168" s="3">
        <f>(K168/$K$182)</f>
        <v>1.570691752726526E-2</v>
      </c>
      <c r="M168" s="18">
        <v>426.31</v>
      </c>
      <c r="N168" s="18">
        <v>430.82</v>
      </c>
      <c r="O168" s="61">
        <v>800</v>
      </c>
      <c r="P168" s="12">
        <v>-4.19E-2</v>
      </c>
      <c r="Q168" s="12">
        <v>0.12820000000000001</v>
      </c>
      <c r="R168" s="81">
        <f>((K168-D168)/D168)</f>
        <v>-4.8591178673085114E-2</v>
      </c>
      <c r="S168" s="81">
        <f>((N168-G168)/G168)</f>
        <v>-4.1919629950852896E-2</v>
      </c>
      <c r="T168" s="81">
        <f>((O168-H168)/H168)</f>
        <v>2.5062656641604009E-3</v>
      </c>
      <c r="U168" s="81">
        <f>P168-I168</f>
        <v>2.5000000000000022E-3</v>
      </c>
      <c r="V168" s="83">
        <f>Q168-J168</f>
        <v>-4.9299999999999983E-2</v>
      </c>
    </row>
    <row r="169" spans="1:24" ht="6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</row>
    <row r="170" spans="1:24" ht="15" customHeight="1">
      <c r="A170" s="133" t="s">
        <v>231</v>
      </c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</row>
    <row r="171" spans="1:24">
      <c r="A171" s="75">
        <v>139</v>
      </c>
      <c r="B171" s="125" t="s">
        <v>187</v>
      </c>
      <c r="C171" s="126" t="s">
        <v>188</v>
      </c>
      <c r="D171" s="2">
        <v>400739193.85000002</v>
      </c>
      <c r="E171" s="3">
        <f t="shared" ref="E171:E181" si="60">(D171/$D$182)</f>
        <v>8.0923706745101055E-3</v>
      </c>
      <c r="F171" s="2">
        <v>1038.6300000000001</v>
      </c>
      <c r="G171" s="2">
        <v>1038.6300000000001</v>
      </c>
      <c r="H171" s="60">
        <v>20</v>
      </c>
      <c r="I171" s="5">
        <v>-9.9000000000000008E-3</v>
      </c>
      <c r="J171" s="5">
        <v>1.84E-2</v>
      </c>
      <c r="K171" s="2">
        <v>401250576.57999998</v>
      </c>
      <c r="L171" s="3">
        <f t="shared" ref="L171:L181" si="61">(K171/$K$182)</f>
        <v>8.1442719676698815E-3</v>
      </c>
      <c r="M171" s="2">
        <v>1039.96</v>
      </c>
      <c r="N171" s="2">
        <v>1039.96</v>
      </c>
      <c r="O171" s="60">
        <v>20</v>
      </c>
      <c r="P171" s="5">
        <v>-9.7000000000000003E-3</v>
      </c>
      <c r="Q171" s="5">
        <v>2.0400000000000001E-2</v>
      </c>
      <c r="R171" s="81">
        <f>((K171-D171)/D171)</f>
        <v>1.2760986143805395E-3</v>
      </c>
      <c r="S171" s="81">
        <f>((N171-G171)/G171)</f>
        <v>1.2805330098301869E-3</v>
      </c>
      <c r="T171" s="81">
        <f>((O171-H171)/H171)</f>
        <v>0</v>
      </c>
      <c r="U171" s="81">
        <f>P171-I171</f>
        <v>2.0000000000000052E-4</v>
      </c>
      <c r="V171" s="83">
        <f>Q171-J171</f>
        <v>2.0000000000000018E-3</v>
      </c>
      <c r="X171" s="70"/>
    </row>
    <row r="172" spans="1:24">
      <c r="A172" s="75">
        <v>140</v>
      </c>
      <c r="B172" s="125" t="s">
        <v>189</v>
      </c>
      <c r="C172" s="126" t="s">
        <v>58</v>
      </c>
      <c r="D172" s="2">
        <v>104238144.56</v>
      </c>
      <c r="E172" s="3">
        <f t="shared" si="60"/>
        <v>2.1049443557009067E-3</v>
      </c>
      <c r="F172" s="17">
        <v>110.77</v>
      </c>
      <c r="G172" s="17">
        <v>110.77</v>
      </c>
      <c r="H172" s="60">
        <v>67</v>
      </c>
      <c r="I172" s="5">
        <v>1.8E-3</v>
      </c>
      <c r="J172" s="5">
        <v>9.6199999999999994E-2</v>
      </c>
      <c r="K172" s="2">
        <v>109872000.34</v>
      </c>
      <c r="L172" s="3">
        <f t="shared" si="61"/>
        <v>2.2300963652882632E-3</v>
      </c>
      <c r="M172" s="17">
        <v>110.96</v>
      </c>
      <c r="N172" s="17">
        <v>110.96</v>
      </c>
      <c r="O172" s="60">
        <v>69</v>
      </c>
      <c r="P172" s="5">
        <v>1.6999999999999999E-3</v>
      </c>
      <c r="Q172" s="5">
        <v>9.5100000000000004E-2</v>
      </c>
      <c r="R172" s="81">
        <f t="shared" ref="R172:R183" si="62">((K172-D172)/D172)</f>
        <v>5.404792846017252E-2</v>
      </c>
      <c r="S172" s="81">
        <f t="shared" ref="S172:S182" si="63">((N172-G172)/G172)</f>
        <v>1.715265866209242E-3</v>
      </c>
      <c r="T172" s="81">
        <f t="shared" ref="T172:T182" si="64">((O172-H172)/H172)</f>
        <v>2.9850746268656716E-2</v>
      </c>
      <c r="U172" s="81">
        <f t="shared" ref="U172:U182" si="65">P172-I172</f>
        <v>-1.0000000000000005E-4</v>
      </c>
      <c r="V172" s="83">
        <f t="shared" ref="V172:V182" si="66">Q172-J172</f>
        <v>-1.0999999999999899E-3</v>
      </c>
    </row>
    <row r="173" spans="1:24">
      <c r="A173" s="75">
        <v>141</v>
      </c>
      <c r="B173" s="130" t="s">
        <v>190</v>
      </c>
      <c r="C173" s="126" t="s">
        <v>64</v>
      </c>
      <c r="D173" s="9">
        <v>55756457.740000002</v>
      </c>
      <c r="E173" s="3">
        <f t="shared" si="60"/>
        <v>1.1259241183646904E-3</v>
      </c>
      <c r="F173" s="17">
        <v>100.52</v>
      </c>
      <c r="G173" s="17">
        <v>100.53</v>
      </c>
      <c r="H173" s="60">
        <v>12</v>
      </c>
      <c r="I173" s="5">
        <v>4.4000000000000003E-3</v>
      </c>
      <c r="J173" s="5">
        <v>4.6399999999999997E-2</v>
      </c>
      <c r="K173" s="9">
        <v>55843601.009999998</v>
      </c>
      <c r="L173" s="3">
        <f t="shared" si="61"/>
        <v>1.1334699582389433E-3</v>
      </c>
      <c r="M173" s="17">
        <v>100.68</v>
      </c>
      <c r="N173" s="17">
        <v>101.48</v>
      </c>
      <c r="O173" s="60">
        <v>12</v>
      </c>
      <c r="P173" s="5">
        <v>2.0999999999999999E-3</v>
      </c>
      <c r="Q173" s="5">
        <v>4.8500000000000001E-2</v>
      </c>
      <c r="R173" s="81">
        <f t="shared" si="62"/>
        <v>1.5629269421374799E-3</v>
      </c>
      <c r="S173" s="81">
        <f t="shared" si="63"/>
        <v>9.4499154481249657E-3</v>
      </c>
      <c r="T173" s="81">
        <f t="shared" si="64"/>
        <v>0</v>
      </c>
      <c r="U173" s="81">
        <f t="shared" si="65"/>
        <v>-2.3000000000000004E-3</v>
      </c>
      <c r="V173" s="83">
        <f t="shared" si="66"/>
        <v>2.1000000000000046E-3</v>
      </c>
    </row>
    <row r="174" spans="1:24">
      <c r="A174" s="75">
        <v>142</v>
      </c>
      <c r="B174" s="125" t="s">
        <v>191</v>
      </c>
      <c r="C174" s="126" t="s">
        <v>27</v>
      </c>
      <c r="D174" s="2">
        <v>10266184628.68</v>
      </c>
      <c r="E174" s="3">
        <f t="shared" si="60"/>
        <v>0.20731132043783354</v>
      </c>
      <c r="F174" s="17">
        <v>136.18</v>
      </c>
      <c r="G174" s="17">
        <v>136.18</v>
      </c>
      <c r="H174" s="60">
        <v>668</v>
      </c>
      <c r="I174" s="5">
        <v>2.3999999999999998E-3</v>
      </c>
      <c r="J174" s="5">
        <v>1.8499999999999999E-2</v>
      </c>
      <c r="K174" s="2">
        <v>10010496738.33</v>
      </c>
      <c r="L174" s="3">
        <f t="shared" si="61"/>
        <v>0.20318527306135095</v>
      </c>
      <c r="M174" s="17">
        <v>136.52000000000001</v>
      </c>
      <c r="N174" s="17">
        <v>136.52000000000001</v>
      </c>
      <c r="O174" s="60">
        <v>675</v>
      </c>
      <c r="P174" s="5">
        <v>2.5000000000000001E-3</v>
      </c>
      <c r="Q174" s="5">
        <v>2.1000000000000001E-2</v>
      </c>
      <c r="R174" s="81">
        <f t="shared" si="62"/>
        <v>-2.4905834017021383E-2</v>
      </c>
      <c r="S174" s="81">
        <f t="shared" si="63"/>
        <v>2.4966955500073679E-3</v>
      </c>
      <c r="T174" s="81">
        <f t="shared" si="64"/>
        <v>1.0479041916167664E-2</v>
      </c>
      <c r="U174" s="81">
        <f t="shared" si="65"/>
        <v>1.0000000000000026E-4</v>
      </c>
      <c r="V174" s="83">
        <f t="shared" si="66"/>
        <v>2.5000000000000022E-3</v>
      </c>
    </row>
    <row r="175" spans="1:24">
      <c r="A175" s="75">
        <v>143</v>
      </c>
      <c r="B175" s="125" t="s">
        <v>249</v>
      </c>
      <c r="C175" s="126" t="s">
        <v>56</v>
      </c>
      <c r="D175" s="2">
        <v>247322972.67083186</v>
      </c>
      <c r="E175" s="3">
        <f t="shared" si="60"/>
        <v>4.9943434580128829E-3</v>
      </c>
      <c r="F175" s="4">
        <v>1046.8971700278307</v>
      </c>
      <c r="G175" s="4">
        <v>1046.8971700278307</v>
      </c>
      <c r="H175" s="60">
        <v>16</v>
      </c>
      <c r="I175" s="5">
        <v>0.11414914439572482</v>
      </c>
      <c r="J175" s="5">
        <v>0.11585778394908887</v>
      </c>
      <c r="K175" s="2">
        <v>247910438.72988901</v>
      </c>
      <c r="L175" s="3">
        <f t="shared" si="61"/>
        <v>5.0318931722158544E-3</v>
      </c>
      <c r="M175" s="4">
        <v>1049.1719559461001</v>
      </c>
      <c r="N175" s="4">
        <v>1049.1719559461001</v>
      </c>
      <c r="O175" s="60">
        <v>18</v>
      </c>
      <c r="P175" s="5">
        <v>0.11361078240438389</v>
      </c>
      <c r="Q175" s="5">
        <v>0.11582278798826728</v>
      </c>
      <c r="R175" s="81">
        <f t="shared" si="62"/>
        <v>2.3752991997189809E-3</v>
      </c>
      <c r="S175" s="81">
        <f t="shared" si="63"/>
        <v>2.1728838164772877E-3</v>
      </c>
      <c r="T175" s="81">
        <f t="shared" si="64"/>
        <v>0.125</v>
      </c>
      <c r="U175" s="81">
        <f t="shared" si="65"/>
        <v>-5.383619913409271E-4</v>
      </c>
      <c r="V175" s="83">
        <f t="shared" si="66"/>
        <v>-3.4995960821584959E-5</v>
      </c>
    </row>
    <row r="176" spans="1:24">
      <c r="A176" s="75">
        <v>144</v>
      </c>
      <c r="B176" s="125" t="s">
        <v>192</v>
      </c>
      <c r="C176" s="126" t="s">
        <v>185</v>
      </c>
      <c r="D176" s="2">
        <v>18923784404.529999</v>
      </c>
      <c r="E176" s="3">
        <f t="shared" si="60"/>
        <v>0.38213950698141885</v>
      </c>
      <c r="F176" s="7">
        <v>1212.74</v>
      </c>
      <c r="G176" s="7">
        <v>1212.74</v>
      </c>
      <c r="H176" s="60">
        <v>7730</v>
      </c>
      <c r="I176" s="5">
        <v>2.5000000000000001E-3</v>
      </c>
      <c r="J176" s="5">
        <v>2.3699999999999999E-2</v>
      </c>
      <c r="K176" s="2">
        <v>18856365403.950001</v>
      </c>
      <c r="L176" s="3">
        <v>12.143800000000001</v>
      </c>
      <c r="M176" s="7">
        <v>1214.3800000000001</v>
      </c>
      <c r="N176" s="7">
        <v>1214.3800000000001</v>
      </c>
      <c r="O176" s="60">
        <v>7769</v>
      </c>
      <c r="P176" s="5">
        <v>1.4E-3</v>
      </c>
      <c r="Q176" s="5">
        <v>2.5000000000000001E-2</v>
      </c>
      <c r="R176" s="81">
        <f t="shared" si="62"/>
        <v>-3.5626595156019202E-3</v>
      </c>
      <c r="S176" s="81">
        <f t="shared" si="63"/>
        <v>1.3523096459258374E-3</v>
      </c>
      <c r="T176" s="81">
        <f t="shared" si="64"/>
        <v>5.0452781371280722E-3</v>
      </c>
      <c r="U176" s="81">
        <f t="shared" si="65"/>
        <v>-1.1000000000000001E-3</v>
      </c>
      <c r="V176" s="83">
        <f t="shared" si="66"/>
        <v>1.3000000000000025E-3</v>
      </c>
    </row>
    <row r="177" spans="1:22">
      <c r="A177" s="75">
        <v>145</v>
      </c>
      <c r="B177" s="125" t="s">
        <v>193</v>
      </c>
      <c r="C177" s="126" t="s">
        <v>78</v>
      </c>
      <c r="D177" s="2">
        <v>1025759595.35</v>
      </c>
      <c r="E177" s="3">
        <f t="shared" si="60"/>
        <v>2.0713788408764332E-2</v>
      </c>
      <c r="F177" s="14">
        <v>103.84</v>
      </c>
      <c r="G177" s="14">
        <v>103.84</v>
      </c>
      <c r="H177" s="60">
        <v>542</v>
      </c>
      <c r="I177" s="5">
        <v>2.3999999999999998E-3</v>
      </c>
      <c r="J177" s="5">
        <v>6.3E-3</v>
      </c>
      <c r="K177" s="2">
        <v>1083413606.4400001</v>
      </c>
      <c r="L177" s="3">
        <f t="shared" si="61"/>
        <v>2.1990286318161089E-2</v>
      </c>
      <c r="M177" s="14">
        <v>104.06</v>
      </c>
      <c r="N177" s="14">
        <v>104.06</v>
      </c>
      <c r="O177" s="60">
        <v>542</v>
      </c>
      <c r="P177" s="5">
        <v>2.2000000000000001E-3</v>
      </c>
      <c r="Q177" s="5">
        <v>6.3E-3</v>
      </c>
      <c r="R177" s="81">
        <f t="shared" si="62"/>
        <v>5.6206163073061845E-2</v>
      </c>
      <c r="S177" s="81">
        <f t="shared" si="63"/>
        <v>2.1186440677965993E-3</v>
      </c>
      <c r="T177" s="81">
        <f t="shared" si="64"/>
        <v>0</v>
      </c>
      <c r="U177" s="81">
        <f t="shared" si="65"/>
        <v>-1.9999999999999966E-4</v>
      </c>
      <c r="V177" s="83">
        <f t="shared" si="66"/>
        <v>0</v>
      </c>
    </row>
    <row r="178" spans="1:22" ht="15.75" customHeight="1">
      <c r="A178" s="75">
        <v>146</v>
      </c>
      <c r="B178" s="125" t="s">
        <v>194</v>
      </c>
      <c r="C178" s="126" t="s">
        <v>42</v>
      </c>
      <c r="D178" s="2">
        <v>8029453839.96</v>
      </c>
      <c r="E178" s="3">
        <f t="shared" si="60"/>
        <v>0.16214365298929659</v>
      </c>
      <c r="F178" s="14">
        <v>129.6</v>
      </c>
      <c r="G178" s="14">
        <v>129.6</v>
      </c>
      <c r="H178" s="60">
        <v>1134</v>
      </c>
      <c r="I178" s="5">
        <v>1.4E-3</v>
      </c>
      <c r="J178" s="5">
        <v>1.0200000000000001E-2</v>
      </c>
      <c r="K178" s="2">
        <v>8106555377.3299999</v>
      </c>
      <c r="L178" s="3">
        <f t="shared" si="61"/>
        <v>0.16454055288015024</v>
      </c>
      <c r="M178" s="14">
        <v>129.77000000000001</v>
      </c>
      <c r="N178" s="14">
        <v>129.77000000000001</v>
      </c>
      <c r="O178" s="60">
        <v>1134</v>
      </c>
      <c r="P178" s="5">
        <v>1.2999999999999999E-3</v>
      </c>
      <c r="Q178" s="5">
        <v>1.15E-2</v>
      </c>
      <c r="R178" s="81">
        <f t="shared" si="62"/>
        <v>9.6023389519085869E-3</v>
      </c>
      <c r="S178" s="81">
        <f t="shared" si="63"/>
        <v>1.3117283950618514E-3</v>
      </c>
      <c r="T178" s="81">
        <f t="shared" si="64"/>
        <v>0</v>
      </c>
      <c r="U178" s="81">
        <f t="shared" si="65"/>
        <v>-1.0000000000000005E-4</v>
      </c>
      <c r="V178" s="83">
        <f t="shared" si="66"/>
        <v>1.2999999999999991E-3</v>
      </c>
    </row>
    <row r="179" spans="1:22">
      <c r="A179" s="75">
        <v>147</v>
      </c>
      <c r="B179" s="125" t="s">
        <v>195</v>
      </c>
      <c r="C179" s="126" t="s">
        <v>45</v>
      </c>
      <c r="D179" s="2">
        <v>5090326161.5600004</v>
      </c>
      <c r="E179" s="3">
        <f t="shared" si="60"/>
        <v>0.10279205724239328</v>
      </c>
      <c r="F179" s="14">
        <v>1.1959</v>
      </c>
      <c r="G179" s="14">
        <v>1.1959</v>
      </c>
      <c r="H179" s="60">
        <v>604</v>
      </c>
      <c r="I179" s="5">
        <v>9.6000000000000002E-2</v>
      </c>
      <c r="J179" s="5">
        <v>9.6600000000000005E-2</v>
      </c>
      <c r="K179" s="2">
        <v>5070583497.7799997</v>
      </c>
      <c r="L179" s="3">
        <f t="shared" si="61"/>
        <v>0.10291875813034664</v>
      </c>
      <c r="M179" s="14">
        <v>1.198</v>
      </c>
      <c r="N179" s="14">
        <v>1.198</v>
      </c>
      <c r="O179" s="60">
        <v>608</v>
      </c>
      <c r="P179" s="5">
        <v>9.5699999999999993E-2</v>
      </c>
      <c r="Q179" s="5">
        <v>9.6500000000000002E-2</v>
      </c>
      <c r="R179" s="81">
        <f t="shared" si="62"/>
        <v>-3.8784673424443741E-3</v>
      </c>
      <c r="S179" s="81">
        <f t="shared" si="63"/>
        <v>1.7559996655238655E-3</v>
      </c>
      <c r="T179" s="81">
        <f t="shared" si="64"/>
        <v>6.6225165562913907E-3</v>
      </c>
      <c r="U179" s="81">
        <f t="shared" si="65"/>
        <v>-3.0000000000000859E-4</v>
      </c>
      <c r="V179" s="83">
        <f t="shared" si="66"/>
        <v>-1.0000000000000286E-4</v>
      </c>
    </row>
    <row r="180" spans="1:22">
      <c r="A180" s="75">
        <v>148</v>
      </c>
      <c r="B180" s="125" t="s">
        <v>196</v>
      </c>
      <c r="C180" s="126" t="s">
        <v>197</v>
      </c>
      <c r="D180" s="2">
        <v>418253310.23000002</v>
      </c>
      <c r="E180" s="3">
        <f t="shared" si="60"/>
        <v>8.4460438962926498E-3</v>
      </c>
      <c r="F180" s="18">
        <v>113.97709999999999</v>
      </c>
      <c r="G180" s="18">
        <v>114.4717</v>
      </c>
      <c r="H180" s="61">
        <v>183</v>
      </c>
      <c r="I180" s="5">
        <v>1.03E-2</v>
      </c>
      <c r="J180" s="5">
        <v>0.14990000000000001</v>
      </c>
      <c r="K180" s="2">
        <v>415283328.13999999</v>
      </c>
      <c r="L180" s="3">
        <f t="shared" si="61"/>
        <v>8.4290978391576895E-3</v>
      </c>
      <c r="M180" s="18">
        <v>112.6979</v>
      </c>
      <c r="N180" s="18">
        <v>113.1855</v>
      </c>
      <c r="O180" s="61">
        <v>154</v>
      </c>
      <c r="P180" s="5">
        <v>-1.2859000000000001E-2</v>
      </c>
      <c r="Q180" s="5">
        <v>0.15071000000000001</v>
      </c>
      <c r="R180" s="81">
        <f>((K180-D180)/D180)</f>
        <v>-7.1009171173488676E-3</v>
      </c>
      <c r="S180" s="81">
        <f>((N180-G180)/G180)</f>
        <v>-1.1235964871666917E-2</v>
      </c>
      <c r="T180" s="81">
        <f>((O180-H180)/H180)</f>
        <v>-0.15846994535519127</v>
      </c>
      <c r="U180" s="81">
        <f>P180-I180</f>
        <v>-2.3158999999999999E-2</v>
      </c>
      <c r="V180" s="83">
        <f>Q180-J180</f>
        <v>8.1000000000000516E-4</v>
      </c>
    </row>
    <row r="181" spans="1:22">
      <c r="A181" s="75">
        <v>149</v>
      </c>
      <c r="B181" s="125" t="s">
        <v>244</v>
      </c>
      <c r="C181" s="126" t="s">
        <v>197</v>
      </c>
      <c r="D181" s="2">
        <v>141597035.38</v>
      </c>
      <c r="E181" s="3">
        <f t="shared" si="60"/>
        <v>2.8593551973246346E-3</v>
      </c>
      <c r="F181" s="18">
        <v>100.6627</v>
      </c>
      <c r="G181" s="18">
        <v>100.6627</v>
      </c>
      <c r="H181" s="61">
        <v>66</v>
      </c>
      <c r="I181" s="5">
        <v>1.8940000000000001E-3</v>
      </c>
      <c r="J181" s="5">
        <v>5.1720000000000004E-3</v>
      </c>
      <c r="K181" s="2">
        <v>141067187.78999999</v>
      </c>
      <c r="L181" s="3">
        <f t="shared" si="61"/>
        <v>2.8632720054099616E-3</v>
      </c>
      <c r="M181" s="18">
        <v>100.85129999999999</v>
      </c>
      <c r="N181" s="18">
        <v>100.85129999999999</v>
      </c>
      <c r="O181" s="61">
        <v>56</v>
      </c>
      <c r="P181" s="5">
        <v>1.8860000000000001E-3</v>
      </c>
      <c r="Q181" s="5">
        <v>7.058E-3</v>
      </c>
      <c r="R181" s="81">
        <f t="shared" si="62"/>
        <v>-3.7419398547297719E-3</v>
      </c>
      <c r="S181" s="81">
        <f t="shared" si="63"/>
        <v>1.8735837604196379E-3</v>
      </c>
      <c r="T181" s="81">
        <f t="shared" si="64"/>
        <v>-0.15151515151515152</v>
      </c>
      <c r="U181" s="81">
        <f t="shared" si="65"/>
        <v>-7.9999999999999776E-6</v>
      </c>
      <c r="V181" s="83">
        <f t="shared" si="66"/>
        <v>1.8859999999999997E-3</v>
      </c>
    </row>
    <row r="182" spans="1:22">
      <c r="A182" s="85"/>
      <c r="B182" s="19"/>
      <c r="C182" s="66" t="s">
        <v>46</v>
      </c>
      <c r="D182" s="59">
        <f>SUM(D167:D181)</f>
        <v>49520617624.730827</v>
      </c>
      <c r="E182" s="100">
        <f>(D182/$D$183)</f>
        <v>1.7572350896535444E-2</v>
      </c>
      <c r="F182" s="30"/>
      <c r="G182" s="34"/>
      <c r="H182" s="68">
        <f>SUM(H167:H181)</f>
        <v>26822</v>
      </c>
      <c r="I182" s="35"/>
      <c r="J182" s="35"/>
      <c r="K182" s="59">
        <f>SUM(K167:K181)</f>
        <v>49267826292.249893</v>
      </c>
      <c r="L182" s="100">
        <f>(K182/$K$183)</f>
        <v>1.7334843850765492E-2</v>
      </c>
      <c r="M182" s="30"/>
      <c r="N182" s="34"/>
      <c r="O182" s="68">
        <f>SUM(O167:O181)</f>
        <v>26839</v>
      </c>
      <c r="P182" s="35"/>
      <c r="Q182" s="35"/>
      <c r="R182" s="81">
        <f t="shared" si="62"/>
        <v>-5.1047693790210111E-3</v>
      </c>
      <c r="S182" s="81" t="e">
        <f t="shared" si="63"/>
        <v>#DIV/0!</v>
      </c>
      <c r="T182" s="81">
        <f t="shared" si="64"/>
        <v>6.338080680038774E-4</v>
      </c>
      <c r="U182" s="81">
        <f t="shared" si="65"/>
        <v>0</v>
      </c>
      <c r="V182" s="83">
        <f t="shared" si="66"/>
        <v>0</v>
      </c>
    </row>
    <row r="183" spans="1:22">
      <c r="A183" s="86"/>
      <c r="B183" s="38"/>
      <c r="C183" s="67" t="s">
        <v>198</v>
      </c>
      <c r="D183" s="69">
        <f>SUM(D22,D55,D91,D120,D128,D157,D163,D182)</f>
        <v>2818098609361.0439</v>
      </c>
      <c r="E183" s="39"/>
      <c r="F183" s="39"/>
      <c r="G183" s="40"/>
      <c r="H183" s="69">
        <f>SUM(H22,H55,H91,H120,H128,H157,H163,H182)</f>
        <v>715699</v>
      </c>
      <c r="I183" s="41"/>
      <c r="J183" s="41"/>
      <c r="K183" s="69">
        <f>SUM(K22,K55,K91,K120,K128,K157,K163,K182)</f>
        <v>2842126915961.4766</v>
      </c>
      <c r="L183" s="39"/>
      <c r="M183" s="39"/>
      <c r="N183" s="40"/>
      <c r="O183" s="69">
        <f>SUM(O22,O55,O91,O120,O128,O157,O163,O182)</f>
        <v>717109</v>
      </c>
      <c r="P183" s="42"/>
      <c r="Q183" s="69"/>
      <c r="R183" s="25">
        <f t="shared" si="62"/>
        <v>8.526425058589639E-3</v>
      </c>
      <c r="S183" s="25"/>
      <c r="T183" s="25"/>
      <c r="U183" s="25"/>
      <c r="V183" s="25"/>
    </row>
    <row r="184" spans="1:22" ht="6.75" customHeight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9"/>
    </row>
    <row r="185" spans="1:22" ht="15.75">
      <c r="A185" s="132" t="s">
        <v>199</v>
      </c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</row>
    <row r="186" spans="1:22">
      <c r="A186" s="75">
        <v>1</v>
      </c>
      <c r="B186" s="125" t="s">
        <v>200</v>
      </c>
      <c r="C186" s="126" t="s">
        <v>201</v>
      </c>
      <c r="D186" s="2">
        <v>92548651821</v>
      </c>
      <c r="E186" s="3">
        <f>(D186/$D$188)</f>
        <v>0.97758578869590007</v>
      </c>
      <c r="F186" s="14">
        <v>114</v>
      </c>
      <c r="G186" s="14">
        <v>114</v>
      </c>
      <c r="H186" s="64">
        <v>0</v>
      </c>
      <c r="I186" s="20">
        <v>0</v>
      </c>
      <c r="J186" s="20">
        <v>0.13800000000000001</v>
      </c>
      <c r="K186" s="2">
        <v>92548651821</v>
      </c>
      <c r="L186" s="3">
        <f>(K186/$K$188)</f>
        <v>0.97752664954545543</v>
      </c>
      <c r="M186" s="14">
        <v>114</v>
      </c>
      <c r="N186" s="14">
        <v>114</v>
      </c>
      <c r="O186" s="64">
        <v>0</v>
      </c>
      <c r="P186" s="20">
        <v>0</v>
      </c>
      <c r="Q186" s="20">
        <v>0.13800000000000001</v>
      </c>
      <c r="R186" s="81">
        <f>((K186-D186)/D186)</f>
        <v>0</v>
      </c>
      <c r="S186" s="81">
        <f>((N186-G186)/G186)</f>
        <v>0</v>
      </c>
      <c r="T186" s="81" t="e">
        <f>((O186-H186)/H186)</f>
        <v>#DIV/0!</v>
      </c>
      <c r="U186" s="81">
        <f>P186-I186</f>
        <v>0</v>
      </c>
      <c r="V186" s="83">
        <f>Q186-J186</f>
        <v>0</v>
      </c>
    </row>
    <row r="187" spans="1:22">
      <c r="A187" s="75">
        <v>2</v>
      </c>
      <c r="B187" s="125" t="s">
        <v>202</v>
      </c>
      <c r="C187" s="126" t="s">
        <v>45</v>
      </c>
      <c r="D187" s="2">
        <v>2121967260.3800001</v>
      </c>
      <c r="E187" s="3">
        <f>(D187/$D$188)</f>
        <v>2.2414211304099867E-2</v>
      </c>
      <c r="F187" s="21">
        <v>1000000</v>
      </c>
      <c r="G187" s="21">
        <v>1000000</v>
      </c>
      <c r="H187" s="64">
        <v>0</v>
      </c>
      <c r="I187" s="20" t="s">
        <v>261</v>
      </c>
      <c r="J187" s="20" t="s">
        <v>261</v>
      </c>
      <c r="K187" s="2">
        <v>2127694715.47</v>
      </c>
      <c r="L187" s="3">
        <f>(K187/$K$188)</f>
        <v>2.2473350454544599E-2</v>
      </c>
      <c r="M187" s="21">
        <v>1000000</v>
      </c>
      <c r="N187" s="21">
        <v>1000000</v>
      </c>
      <c r="O187" s="64">
        <v>0</v>
      </c>
      <c r="P187" s="20">
        <v>0.16489999999999999</v>
      </c>
      <c r="Q187" s="20">
        <v>0.16489999999999999</v>
      </c>
      <c r="R187" s="81">
        <f>((K187-D187)/D187)</f>
        <v>2.6991250981762303E-3</v>
      </c>
      <c r="S187" s="81">
        <f>((N187-G187)/G187)</f>
        <v>0</v>
      </c>
      <c r="T187" s="81" t="e">
        <f>((O187-H187)/H187)</f>
        <v>#DIV/0!</v>
      </c>
      <c r="U187" s="81" t="e">
        <f>P187-I187</f>
        <v>#VALUE!</v>
      </c>
      <c r="V187" s="83" t="e">
        <f>Q187-J187</f>
        <v>#VALUE!</v>
      </c>
    </row>
    <row r="188" spans="1:22">
      <c r="A188" s="38"/>
      <c r="B188" s="38"/>
      <c r="C188" s="67" t="s">
        <v>203</v>
      </c>
      <c r="D188" s="73">
        <f>SUM(D186:D187)</f>
        <v>94670619081.380005</v>
      </c>
      <c r="E188" s="24"/>
      <c r="F188" s="22"/>
      <c r="G188" s="22"/>
      <c r="H188" s="73">
        <f>SUM(H186:H187)</f>
        <v>0</v>
      </c>
      <c r="I188" s="23"/>
      <c r="J188" s="23"/>
      <c r="K188" s="73">
        <f>SUM(K186:K187)</f>
        <v>94676346536.470001</v>
      </c>
      <c r="L188" s="24"/>
      <c r="M188" s="22"/>
      <c r="N188" s="22"/>
      <c r="O188" s="23"/>
      <c r="P188" s="23"/>
      <c r="Q188" s="73"/>
      <c r="R188" s="25">
        <f>((K188-D188)/D188)</f>
        <v>6.0498760286683541E-5</v>
      </c>
      <c r="S188" s="26"/>
      <c r="T188" s="26"/>
      <c r="U188" s="25">
        <f>O188-H188</f>
        <v>0</v>
      </c>
      <c r="V188" s="87">
        <f>P188-I188</f>
        <v>0</v>
      </c>
    </row>
    <row r="189" spans="1:22" ht="8.25" customHeight="1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</row>
    <row r="190" spans="1:22" ht="15.75">
      <c r="A190" s="132" t="s">
        <v>204</v>
      </c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</row>
    <row r="191" spans="1:22">
      <c r="A191" s="75">
        <v>1</v>
      </c>
      <c r="B191" s="125" t="s">
        <v>205</v>
      </c>
      <c r="C191" s="126" t="s">
        <v>74</v>
      </c>
      <c r="D191" s="27">
        <v>998226811.79454339</v>
      </c>
      <c r="E191" s="10">
        <f t="shared" ref="E191:E202" si="67">(D191/$D$203)</f>
        <v>7.2751237176318442E-2</v>
      </c>
      <c r="F191" s="21">
        <v>235.2366706243769</v>
      </c>
      <c r="G191" s="21">
        <v>239.52231926004478</v>
      </c>
      <c r="H191" s="63">
        <v>61</v>
      </c>
      <c r="I191" s="28">
        <v>-3.4966070625299883E-2</v>
      </c>
      <c r="J191" s="28">
        <v>0.34555115595679498</v>
      </c>
      <c r="K191" s="27">
        <v>963754865.05277085</v>
      </c>
      <c r="L191" s="10">
        <f t="shared" ref="L191:L202" si="68">(K191/$K$203)</f>
        <v>7.1867713309591158E-2</v>
      </c>
      <c r="M191" s="21">
        <v>227.11320020095931</v>
      </c>
      <c r="N191" s="21">
        <v>231.50295897725934</v>
      </c>
      <c r="O191" s="63">
        <v>61</v>
      </c>
      <c r="P191" s="28">
        <v>-3.4533180570256561E-2</v>
      </c>
      <c r="Q191" s="28">
        <v>0.29908499492162144</v>
      </c>
      <c r="R191" s="81">
        <f>((K191-D191)/D191)</f>
        <v>-3.4533180570256616E-2</v>
      </c>
      <c r="S191" s="81">
        <f>((N191-G191)/G191)</f>
        <v>-3.3480638913148536E-2</v>
      </c>
      <c r="T191" s="81">
        <f>((O191-H191)/H191)</f>
        <v>0</v>
      </c>
      <c r="U191" s="81">
        <f>P191-I191</f>
        <v>4.3289005504332234E-4</v>
      </c>
      <c r="V191" s="83">
        <f>Q191-J191</f>
        <v>-4.6466161035173537E-2</v>
      </c>
    </row>
    <row r="192" spans="1:22">
      <c r="A192" s="75">
        <v>2</v>
      </c>
      <c r="B192" s="125" t="s">
        <v>206</v>
      </c>
      <c r="C192" s="126" t="s">
        <v>185</v>
      </c>
      <c r="D192" s="27">
        <v>1010113341.66</v>
      </c>
      <c r="E192" s="10">
        <f t="shared" si="67"/>
        <v>7.361753303536335E-2</v>
      </c>
      <c r="F192" s="21">
        <v>28.73</v>
      </c>
      <c r="G192" s="21">
        <v>31.76</v>
      </c>
      <c r="H192" s="63">
        <v>187</v>
      </c>
      <c r="I192" s="28">
        <v>-3.56E-2</v>
      </c>
      <c r="J192" s="28">
        <v>0.34039999999999998</v>
      </c>
      <c r="K192" s="27">
        <v>981545010.66999996</v>
      </c>
      <c r="L192" s="10">
        <f t="shared" si="68"/>
        <v>7.3194333938255779E-2</v>
      </c>
      <c r="M192" s="21">
        <v>27.92</v>
      </c>
      <c r="N192" s="21">
        <v>30.86</v>
      </c>
      <c r="O192" s="63">
        <v>187</v>
      </c>
      <c r="P192" s="28">
        <v>-2.8299999999999999E-2</v>
      </c>
      <c r="Q192" s="28">
        <v>0.30249999999999999</v>
      </c>
      <c r="R192" s="81">
        <f t="shared" ref="R192:R203" si="69">((K192-D192)/D192)</f>
        <v>-2.8282302402868362E-2</v>
      </c>
      <c r="S192" s="81">
        <f t="shared" ref="S192:S203" si="70">((N192-G192)/G192)</f>
        <v>-2.8337531486146161E-2</v>
      </c>
      <c r="T192" s="81">
        <f t="shared" ref="T192:T203" si="71">((O192-H192)/H192)</f>
        <v>0</v>
      </c>
      <c r="U192" s="81">
        <f t="shared" ref="U192:U203" si="72">P192-I192</f>
        <v>7.3000000000000009E-3</v>
      </c>
      <c r="V192" s="83">
        <f t="shared" ref="V192:V203" si="73">Q192-J192</f>
        <v>-3.7899999999999989E-2</v>
      </c>
    </row>
    <row r="193" spans="1:22">
      <c r="A193" s="75">
        <v>3</v>
      </c>
      <c r="B193" s="125" t="s">
        <v>207</v>
      </c>
      <c r="C193" s="126" t="s">
        <v>36</v>
      </c>
      <c r="D193" s="27">
        <v>272864794.26999998</v>
      </c>
      <c r="E193" s="10">
        <f t="shared" si="67"/>
        <v>1.9886513896893724E-2</v>
      </c>
      <c r="F193" s="21">
        <v>20.359245999999999</v>
      </c>
      <c r="G193" s="21">
        <v>20.794058</v>
      </c>
      <c r="H193" s="63">
        <v>75</v>
      </c>
      <c r="I193" s="28">
        <v>-4.3019719082400765E-2</v>
      </c>
      <c r="J193" s="28">
        <v>-0.13328660314663399</v>
      </c>
      <c r="K193" s="27">
        <v>263659067.73000002</v>
      </c>
      <c r="L193" s="10">
        <f t="shared" si="68"/>
        <v>1.966119703069533E-2</v>
      </c>
      <c r="M193" s="21">
        <v>23.490171</v>
      </c>
      <c r="N193" s="21">
        <v>23.873705999999999</v>
      </c>
      <c r="O193" s="63">
        <v>107</v>
      </c>
      <c r="P193" s="28">
        <v>-3.3737318750219125E-2</v>
      </c>
      <c r="Q193" s="28">
        <v>-0.16252718928136123</v>
      </c>
      <c r="R193" s="81">
        <f t="shared" si="69"/>
        <v>-3.3737318750219153E-2</v>
      </c>
      <c r="S193" s="81">
        <f t="shared" si="70"/>
        <v>0.14810230884226633</v>
      </c>
      <c r="T193" s="81">
        <f t="shared" si="71"/>
        <v>0.42666666666666669</v>
      </c>
      <c r="U193" s="81">
        <f t="shared" si="72"/>
        <v>9.2824003321816395E-3</v>
      </c>
      <c r="V193" s="83">
        <f t="shared" si="73"/>
        <v>-2.9240586134727242E-2</v>
      </c>
    </row>
    <row r="194" spans="1:22">
      <c r="A194" s="75">
        <v>4</v>
      </c>
      <c r="B194" s="125" t="s">
        <v>208</v>
      </c>
      <c r="C194" s="126" t="s">
        <v>36</v>
      </c>
      <c r="D194" s="27">
        <v>541514531.25</v>
      </c>
      <c r="E194" s="10">
        <f t="shared" si="67"/>
        <v>3.9465832446003435E-2</v>
      </c>
      <c r="F194" s="21">
        <v>40.635635000000001</v>
      </c>
      <c r="G194" s="21">
        <v>41.158033000000003</v>
      </c>
      <c r="H194" s="63">
        <v>61</v>
      </c>
      <c r="I194" s="28">
        <v>-4.8001758068083933E-2</v>
      </c>
      <c r="J194" s="28">
        <v>7.9213854281511065E-2</v>
      </c>
      <c r="K194" s="27">
        <v>527942311.54000002</v>
      </c>
      <c r="L194" s="10">
        <f t="shared" si="68"/>
        <v>3.9368939203935478E-2</v>
      </c>
      <c r="M194" s="21">
        <v>37.652996000000002</v>
      </c>
      <c r="N194" s="21">
        <v>38.104028</v>
      </c>
      <c r="O194" s="63">
        <v>98</v>
      </c>
      <c r="P194" s="28">
        <v>-2.5063445072601609E-2</v>
      </c>
      <c r="Q194" s="28">
        <v>5.2165037123135916E-2</v>
      </c>
      <c r="R194" s="81">
        <f t="shared" si="69"/>
        <v>-2.5063445072601602E-2</v>
      </c>
      <c r="S194" s="81">
        <f t="shared" si="70"/>
        <v>-7.4201918250077784E-2</v>
      </c>
      <c r="T194" s="81">
        <f t="shared" si="71"/>
        <v>0.60655737704918034</v>
      </c>
      <c r="U194" s="81">
        <f t="shared" si="72"/>
        <v>2.2938312995482324E-2</v>
      </c>
      <c r="V194" s="83">
        <f t="shared" si="73"/>
        <v>-2.7048817158375149E-2</v>
      </c>
    </row>
    <row r="195" spans="1:22">
      <c r="A195" s="75">
        <v>5</v>
      </c>
      <c r="B195" s="125" t="s">
        <v>209</v>
      </c>
      <c r="C195" s="126" t="s">
        <v>210</v>
      </c>
      <c r="D195" s="27">
        <v>1297319735.8399999</v>
      </c>
      <c r="E195" s="10">
        <f t="shared" si="67"/>
        <v>9.4549269445029074E-2</v>
      </c>
      <c r="F195" s="21">
        <v>18700</v>
      </c>
      <c r="G195" s="21">
        <v>22400</v>
      </c>
      <c r="H195" s="63">
        <v>220</v>
      </c>
      <c r="I195" s="28">
        <v>0.04</v>
      </c>
      <c r="J195" s="28">
        <v>0.69</v>
      </c>
      <c r="K195" s="27">
        <v>1343860096.26</v>
      </c>
      <c r="L195" s="10">
        <f t="shared" si="68"/>
        <v>0.10021236273699635</v>
      </c>
      <c r="M195" s="21">
        <v>19400</v>
      </c>
      <c r="N195" s="21">
        <v>24000</v>
      </c>
      <c r="O195" s="63">
        <v>220</v>
      </c>
      <c r="P195" s="28">
        <v>0.04</v>
      </c>
      <c r="Q195" s="28">
        <v>0.75</v>
      </c>
      <c r="R195" s="81">
        <f t="shared" si="69"/>
        <v>3.5874240662704261E-2</v>
      </c>
      <c r="S195" s="81">
        <f t="shared" si="70"/>
        <v>7.1428571428571425E-2</v>
      </c>
      <c r="T195" s="81">
        <f t="shared" si="71"/>
        <v>0</v>
      </c>
      <c r="U195" s="81">
        <f t="shared" si="72"/>
        <v>0</v>
      </c>
      <c r="V195" s="83">
        <f t="shared" si="73"/>
        <v>6.0000000000000053E-2</v>
      </c>
    </row>
    <row r="196" spans="1:22">
      <c r="A196" s="75">
        <v>6</v>
      </c>
      <c r="B196" s="125" t="s">
        <v>211</v>
      </c>
      <c r="C196" s="126" t="s">
        <v>212</v>
      </c>
      <c r="D196" s="27">
        <v>1062256434.8099999</v>
      </c>
      <c r="E196" s="10">
        <f t="shared" si="67"/>
        <v>7.7417746065148507E-2</v>
      </c>
      <c r="F196" s="21">
        <v>899.9</v>
      </c>
      <c r="G196" s="21">
        <v>899.9</v>
      </c>
      <c r="H196" s="63">
        <v>78</v>
      </c>
      <c r="I196" s="28">
        <v>-2.9100000000000001E-2</v>
      </c>
      <c r="J196" s="28">
        <v>0.11210000000000001</v>
      </c>
      <c r="K196" s="27">
        <v>1033752636.92</v>
      </c>
      <c r="L196" s="10">
        <f t="shared" si="68"/>
        <v>7.7087484418698587E-2</v>
      </c>
      <c r="M196" s="21">
        <v>890</v>
      </c>
      <c r="N196" s="21">
        <v>890</v>
      </c>
      <c r="O196" s="63">
        <v>78</v>
      </c>
      <c r="P196" s="28">
        <v>-2.6800000000000001E-2</v>
      </c>
      <c r="Q196" s="28">
        <v>8.3099999999999993E-2</v>
      </c>
      <c r="R196" s="81">
        <f t="shared" si="69"/>
        <v>-2.6833255093529563E-2</v>
      </c>
      <c r="S196" s="81">
        <f t="shared" si="70"/>
        <v>-1.1001222358039757E-2</v>
      </c>
      <c r="T196" s="81">
        <f t="shared" si="71"/>
        <v>0</v>
      </c>
      <c r="U196" s="81">
        <f t="shared" si="72"/>
        <v>2.3E-3</v>
      </c>
      <c r="V196" s="83">
        <f t="shared" si="73"/>
        <v>-2.9000000000000012E-2</v>
      </c>
    </row>
    <row r="197" spans="1:22">
      <c r="A197" s="75">
        <v>7</v>
      </c>
      <c r="B197" s="125" t="s">
        <v>213</v>
      </c>
      <c r="C197" s="126" t="s">
        <v>212</v>
      </c>
      <c r="D197" s="27">
        <v>952578455.63999999</v>
      </c>
      <c r="E197" s="10">
        <f t="shared" si="67"/>
        <v>6.9424363618055637E-2</v>
      </c>
      <c r="F197" s="21">
        <v>843</v>
      </c>
      <c r="G197" s="21">
        <v>843</v>
      </c>
      <c r="H197" s="63">
        <v>468</v>
      </c>
      <c r="I197" s="28">
        <v>-2.8500000000000001E-2</v>
      </c>
      <c r="J197" s="28">
        <v>0.42509999999999998</v>
      </c>
      <c r="K197" s="27">
        <v>925053683.00999999</v>
      </c>
      <c r="L197" s="10">
        <f t="shared" si="68"/>
        <v>6.8981745563384378E-2</v>
      </c>
      <c r="M197" s="21">
        <v>827.08</v>
      </c>
      <c r="N197" s="21">
        <v>827.08</v>
      </c>
      <c r="O197" s="63">
        <v>468</v>
      </c>
      <c r="P197" s="28">
        <v>-2.8899999999999999E-2</v>
      </c>
      <c r="Q197" s="28">
        <v>0.38440000000000002</v>
      </c>
      <c r="R197" s="81">
        <f t="shared" si="69"/>
        <v>-2.8895019058044077E-2</v>
      </c>
      <c r="S197" s="81">
        <f t="shared" si="70"/>
        <v>-1.8884934756820831E-2</v>
      </c>
      <c r="T197" s="81">
        <f t="shared" si="71"/>
        <v>0</v>
      </c>
      <c r="U197" s="81">
        <f t="shared" si="72"/>
        <v>-3.9999999999999758E-4</v>
      </c>
      <c r="V197" s="83">
        <f t="shared" si="73"/>
        <v>-4.0699999999999958E-2</v>
      </c>
    </row>
    <row r="198" spans="1:22">
      <c r="A198" s="75">
        <v>8</v>
      </c>
      <c r="B198" s="125" t="s">
        <v>214</v>
      </c>
      <c r="C198" s="126" t="s">
        <v>215</v>
      </c>
      <c r="D198" s="27">
        <v>378308668.70999998</v>
      </c>
      <c r="E198" s="10">
        <f t="shared" si="67"/>
        <v>2.7571312809861886E-2</v>
      </c>
      <c r="F198" s="21">
        <v>16.68</v>
      </c>
      <c r="G198" s="21">
        <v>16.78</v>
      </c>
      <c r="H198" s="63">
        <v>56</v>
      </c>
      <c r="I198" s="28">
        <v>3.73E-2</v>
      </c>
      <c r="J198" s="28">
        <v>0.46750000000000003</v>
      </c>
      <c r="K198" s="27">
        <v>368101401.61000001</v>
      </c>
      <c r="L198" s="10">
        <f t="shared" si="68"/>
        <v>2.7449517464503404E-2</v>
      </c>
      <c r="M198" s="21">
        <v>16.25</v>
      </c>
      <c r="N198" s="21">
        <v>16.350000000000001</v>
      </c>
      <c r="O198" s="63">
        <v>56</v>
      </c>
      <c r="P198" s="28">
        <v>-2.4E-2</v>
      </c>
      <c r="Q198" s="28">
        <v>0.43230000000000002</v>
      </c>
      <c r="R198" s="81">
        <f t="shared" si="69"/>
        <v>-2.69813196055112E-2</v>
      </c>
      <c r="S198" s="81">
        <f t="shared" si="70"/>
        <v>-2.5625744934445749E-2</v>
      </c>
      <c r="T198" s="81">
        <f t="shared" si="71"/>
        <v>0</v>
      </c>
      <c r="U198" s="81">
        <f t="shared" si="72"/>
        <v>-6.13E-2</v>
      </c>
      <c r="V198" s="83">
        <f t="shared" si="73"/>
        <v>-3.5200000000000009E-2</v>
      </c>
    </row>
    <row r="199" spans="1:22">
      <c r="A199" s="75">
        <v>9</v>
      </c>
      <c r="B199" s="125" t="s">
        <v>216</v>
      </c>
      <c r="C199" s="126" t="s">
        <v>215</v>
      </c>
      <c r="D199" s="29">
        <v>705033621.72000003</v>
      </c>
      <c r="E199" s="10">
        <f t="shared" si="67"/>
        <v>5.1383180280262307E-2</v>
      </c>
      <c r="F199" s="21">
        <v>8.73</v>
      </c>
      <c r="G199" s="21">
        <v>8.83</v>
      </c>
      <c r="H199" s="63">
        <v>93</v>
      </c>
      <c r="I199" s="28">
        <v>1.7600000000000001E-2</v>
      </c>
      <c r="J199" s="28">
        <v>-2.0400000000000001E-2</v>
      </c>
      <c r="K199" s="29">
        <v>700013041.30999994</v>
      </c>
      <c r="L199" s="10">
        <f t="shared" si="68"/>
        <v>5.2200345118971106E-2</v>
      </c>
      <c r="M199" s="21">
        <v>8.67</v>
      </c>
      <c r="N199" s="21">
        <v>8.77</v>
      </c>
      <c r="O199" s="63">
        <v>94</v>
      </c>
      <c r="P199" s="28">
        <v>-5.7999999999999996E-3</v>
      </c>
      <c r="Q199" s="28">
        <v>-2.5999999999999999E-2</v>
      </c>
      <c r="R199" s="81">
        <f t="shared" si="69"/>
        <v>-7.1210510468307569E-3</v>
      </c>
      <c r="S199" s="81">
        <f t="shared" si="70"/>
        <v>-6.7950169875425253E-3</v>
      </c>
      <c r="T199" s="81">
        <f t="shared" si="71"/>
        <v>1.0752688172043012E-2</v>
      </c>
      <c r="U199" s="81">
        <f t="shared" si="72"/>
        <v>-2.3400000000000001E-2</v>
      </c>
      <c r="V199" s="83">
        <f t="shared" si="73"/>
        <v>-5.5999999999999973E-3</v>
      </c>
    </row>
    <row r="200" spans="1:22" ht="15" customHeight="1">
      <c r="A200" s="75">
        <v>10</v>
      </c>
      <c r="B200" s="125" t="s">
        <v>217</v>
      </c>
      <c r="C200" s="126" t="s">
        <v>215</v>
      </c>
      <c r="D200" s="27">
        <v>461581682.54000002</v>
      </c>
      <c r="E200" s="10">
        <f t="shared" si="67"/>
        <v>3.3640289026441499E-2</v>
      </c>
      <c r="F200" s="21">
        <v>130.12</v>
      </c>
      <c r="G200" s="21">
        <v>132.12</v>
      </c>
      <c r="H200" s="63">
        <v>242</v>
      </c>
      <c r="I200" s="28">
        <v>-0.19189999999999999</v>
      </c>
      <c r="J200" s="28">
        <v>1.0203</v>
      </c>
      <c r="K200" s="27">
        <v>456480871.62</v>
      </c>
      <c r="L200" s="10">
        <f t="shared" si="68"/>
        <v>3.4040021588998277E-2</v>
      </c>
      <c r="M200" s="21">
        <v>128.66999999999999</v>
      </c>
      <c r="N200" s="21">
        <v>130.66999999999999</v>
      </c>
      <c r="O200" s="63">
        <v>203</v>
      </c>
      <c r="P200" s="28">
        <v>-8.7300000000000003E-2</v>
      </c>
      <c r="Q200" s="28">
        <v>0.84389999999999998</v>
      </c>
      <c r="R200" s="81">
        <f t="shared" si="69"/>
        <v>-1.10507221428961E-2</v>
      </c>
      <c r="S200" s="81">
        <f t="shared" si="70"/>
        <v>-1.0974871329094891E-2</v>
      </c>
      <c r="T200" s="81">
        <f t="shared" si="71"/>
        <v>-0.16115702479338842</v>
      </c>
      <c r="U200" s="81">
        <f t="shared" si="72"/>
        <v>0.10459999999999998</v>
      </c>
      <c r="V200" s="83">
        <f t="shared" si="73"/>
        <v>-0.1764</v>
      </c>
    </row>
    <row r="201" spans="1:22">
      <c r="A201" s="75">
        <v>11</v>
      </c>
      <c r="B201" s="125" t="s">
        <v>218</v>
      </c>
      <c r="C201" s="126" t="s">
        <v>215</v>
      </c>
      <c r="D201" s="27">
        <v>5532165141.8199997</v>
      </c>
      <c r="E201" s="10">
        <f t="shared" si="67"/>
        <v>0.40318678438176986</v>
      </c>
      <c r="F201" s="21">
        <v>38.74</v>
      </c>
      <c r="G201" s="21">
        <v>38.94</v>
      </c>
      <c r="H201" s="63">
        <v>249</v>
      </c>
      <c r="I201" s="28">
        <v>-1.2800000000000001E-2</v>
      </c>
      <c r="J201" s="28">
        <v>0.4259</v>
      </c>
      <c r="K201" s="27">
        <v>5356801218.6300001</v>
      </c>
      <c r="L201" s="10">
        <f t="shared" si="68"/>
        <v>0.39945951838685612</v>
      </c>
      <c r="M201" s="21">
        <v>37.5</v>
      </c>
      <c r="N201" s="21">
        <v>37.700000000000003</v>
      </c>
      <c r="O201" s="63">
        <v>257</v>
      </c>
      <c r="P201" s="28">
        <v>-1.2999999999999999E-2</v>
      </c>
      <c r="Q201" s="28">
        <v>0.40739999999999998</v>
      </c>
      <c r="R201" s="81">
        <f t="shared" si="69"/>
        <v>-3.1698967527984435E-2</v>
      </c>
      <c r="S201" s="81">
        <f t="shared" si="70"/>
        <v>-3.1843862352336799E-2</v>
      </c>
      <c r="T201" s="81">
        <f t="shared" si="71"/>
        <v>3.2128514056224897E-2</v>
      </c>
      <c r="U201" s="81">
        <f t="shared" si="72"/>
        <v>-1.9999999999999879E-4</v>
      </c>
      <c r="V201" s="83">
        <f t="shared" si="73"/>
        <v>-1.8500000000000016E-2</v>
      </c>
    </row>
    <row r="202" spans="1:22">
      <c r="A202" s="75">
        <v>12</v>
      </c>
      <c r="B202" s="125" t="s">
        <v>219</v>
      </c>
      <c r="C202" s="126" t="s">
        <v>215</v>
      </c>
      <c r="D202" s="29">
        <v>509134187.19999999</v>
      </c>
      <c r="E202" s="10">
        <f t="shared" si="67"/>
        <v>3.7105937818852103E-2</v>
      </c>
      <c r="F202" s="21">
        <v>48.98</v>
      </c>
      <c r="G202" s="21">
        <v>49.18</v>
      </c>
      <c r="H202" s="63">
        <v>50</v>
      </c>
      <c r="I202" s="28">
        <v>-9.7600000000000006E-2</v>
      </c>
      <c r="J202" s="28">
        <v>0.88300000000000001</v>
      </c>
      <c r="K202" s="29">
        <v>489158654.31</v>
      </c>
      <c r="L202" s="10">
        <f t="shared" si="68"/>
        <v>3.6476821239114131E-2</v>
      </c>
      <c r="M202" s="21">
        <v>47.08</v>
      </c>
      <c r="N202" s="21">
        <v>47.28</v>
      </c>
      <c r="O202" s="63">
        <v>54</v>
      </c>
      <c r="P202" s="28">
        <v>-5.21E-2</v>
      </c>
      <c r="Q202" s="28">
        <v>0.78490000000000004</v>
      </c>
      <c r="R202" s="81">
        <f t="shared" si="69"/>
        <v>-3.9234318559231068E-2</v>
      </c>
      <c r="S202" s="81">
        <f t="shared" si="70"/>
        <v>-3.8633590890605911E-2</v>
      </c>
      <c r="T202" s="81">
        <f t="shared" si="71"/>
        <v>0.08</v>
      </c>
      <c r="U202" s="81">
        <f t="shared" si="72"/>
        <v>4.5500000000000006E-2</v>
      </c>
      <c r="V202" s="83">
        <f t="shared" si="73"/>
        <v>-9.8099999999999965E-2</v>
      </c>
    </row>
    <row r="203" spans="1:22">
      <c r="A203" s="43"/>
      <c r="B203" s="43"/>
      <c r="C203" s="74" t="s">
        <v>220</v>
      </c>
      <c r="D203" s="73">
        <f>SUM(D191:D202)</f>
        <v>13721097407.254545</v>
      </c>
      <c r="E203" s="24"/>
      <c r="F203" s="24"/>
      <c r="G203" s="22"/>
      <c r="H203" s="73">
        <f>SUM(H191:H202)</f>
        <v>1840</v>
      </c>
      <c r="I203" s="23"/>
      <c r="J203" s="23"/>
      <c r="K203" s="73">
        <f>SUM(K191:K202)</f>
        <v>13410122858.662769</v>
      </c>
      <c r="L203" s="24"/>
      <c r="M203" s="24"/>
      <c r="N203" s="22"/>
      <c r="O203" s="73">
        <f>SUM(O191:O202)</f>
        <v>1883</v>
      </c>
      <c r="P203" s="23"/>
      <c r="Q203" s="23"/>
      <c r="R203" s="81">
        <f t="shared" si="69"/>
        <v>-2.2663970625801336E-2</v>
      </c>
      <c r="S203" s="81" t="e">
        <f t="shared" si="70"/>
        <v>#DIV/0!</v>
      </c>
      <c r="T203" s="81">
        <f t="shared" si="71"/>
        <v>2.3369565217391305E-2</v>
      </c>
      <c r="U203" s="81">
        <f t="shared" si="72"/>
        <v>0</v>
      </c>
      <c r="V203" s="83">
        <f t="shared" si="73"/>
        <v>0</v>
      </c>
    </row>
    <row r="204" spans="1:22">
      <c r="A204" s="88"/>
      <c r="B204" s="88"/>
      <c r="C204" s="89" t="s">
        <v>221</v>
      </c>
      <c r="D204" s="90">
        <f>SUM(D183,D188,D203)</f>
        <v>2926490325849.6782</v>
      </c>
      <c r="E204" s="91"/>
      <c r="F204" s="91"/>
      <c r="G204" s="92"/>
      <c r="H204" s="90">
        <f>SUM(H183,H188,H203)</f>
        <v>717539</v>
      </c>
      <c r="I204" s="93"/>
      <c r="J204" s="93"/>
      <c r="K204" s="90">
        <f>SUM(K183,K188,K203)</f>
        <v>2950213385356.6094</v>
      </c>
      <c r="L204" s="91"/>
      <c r="M204" s="91"/>
      <c r="N204" s="92"/>
      <c r="O204" s="90">
        <f>SUM(O183,O188,O203)</f>
        <v>718992</v>
      </c>
      <c r="P204" s="94"/>
      <c r="Q204" s="90"/>
      <c r="R204" s="95"/>
      <c r="S204" s="96"/>
      <c r="T204" s="96"/>
      <c r="U204" s="97"/>
      <c r="V204" s="97"/>
    </row>
    <row r="205" spans="1:22">
      <c r="A205" s="109" t="s">
        <v>250</v>
      </c>
      <c r="B205" s="110" t="s">
        <v>265</v>
      </c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</row>
    <row r="207" spans="1:22">
      <c r="B207" s="113"/>
      <c r="C207" s="113"/>
      <c r="D207" s="112"/>
      <c r="K207" s="112"/>
    </row>
    <row r="208" spans="1:22">
      <c r="B208" s="113"/>
      <c r="D208" s="112"/>
    </row>
  </sheetData>
  <sheetProtection algorithmName="SHA-512" hashValue="g5Cp3giu2EMjQR+WvFOdifcmoK/dotUfGWeFcrFpl+a9nZJUvL2WNiR2+ElniUoMaHwfsTszRKvzwyKjPn4mtA==" saltValue="VE9xvL1UEeeFsA72+I0VJg==" spinCount="100000" sheet="1" objects="1" scenarios="1"/>
  <protectedRanges>
    <protectedRange password="CADF" sqref="K10 D10" name="Fund Name_1_1_1_3_1_1_2"/>
  </protectedRanges>
  <mergeCells count="31">
    <mergeCell ref="A92:V92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  <mergeCell ref="A165:V165"/>
    <mergeCell ref="A93:V93"/>
    <mergeCell ref="A94:V94"/>
    <mergeCell ref="A107:V107"/>
    <mergeCell ref="A108:V108"/>
    <mergeCell ref="A121:V121"/>
    <mergeCell ref="A122:V122"/>
    <mergeCell ref="A129:V129"/>
    <mergeCell ref="A130:V130"/>
    <mergeCell ref="A158:V158"/>
    <mergeCell ref="A159:V159"/>
    <mergeCell ref="A164:V164"/>
    <mergeCell ref="A189:V189"/>
    <mergeCell ref="A190:V190"/>
    <mergeCell ref="A166:V166"/>
    <mergeCell ref="A169:V169"/>
    <mergeCell ref="A170:V170"/>
    <mergeCell ref="A184:U184"/>
    <mergeCell ref="A185:V185"/>
  </mergeCells>
  <pageMargins left="0.7" right="0.7" top="0.75" bottom="0.75" header="0.3" footer="0.3"/>
  <pageSetup paperSize="9" orientation="portrait" horizontalDpi="300" verticalDpi="300" r:id="rId1"/>
  <ignoredErrors>
    <ignoredError sqref="L79 E79 E62" formula="1"/>
    <ignoredError sqref="S128 S22 T33 S55 S91 S120 T138 S157 S163 S182 S203 T186:T18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H2" sqref="H2"/>
    </sheetView>
  </sheetViews>
  <sheetFormatPr defaultRowHeight="15"/>
  <cols>
    <col min="1" max="1" width="34" customWidth="1"/>
    <col min="2" max="2" width="19.42578125" customWidth="1"/>
    <col min="3" max="3" width="17.42578125" customWidth="1"/>
  </cols>
  <sheetData>
    <row r="1" spans="1:4">
      <c r="A1" s="99"/>
      <c r="B1" s="99"/>
      <c r="C1" s="99"/>
    </row>
    <row r="2" spans="1:4" ht="33">
      <c r="A2" s="145" t="s">
        <v>222</v>
      </c>
      <c r="B2" s="156" t="s">
        <v>262</v>
      </c>
      <c r="C2" s="156" t="s">
        <v>266</v>
      </c>
      <c r="D2" s="99"/>
    </row>
    <row r="3" spans="1:4" ht="16.5">
      <c r="A3" s="157" t="s">
        <v>15</v>
      </c>
      <c r="B3" s="148">
        <f>28192321561.7546/1000000000</f>
        <v>28.1923215617546</v>
      </c>
      <c r="C3" s="148">
        <f>27345380292.45/1000000000</f>
        <v>27.345380292450002</v>
      </c>
      <c r="D3" s="99"/>
    </row>
    <row r="4" spans="1:4" ht="17.25" customHeight="1">
      <c r="A4" s="147" t="s">
        <v>47</v>
      </c>
      <c r="B4" s="150">
        <f>949382861578.855/1000000000</f>
        <v>949.382861578855</v>
      </c>
      <c r="C4" s="150">
        <f>959419740927.825/1000000000</f>
        <v>959.41974092782493</v>
      </c>
      <c r="D4" s="99"/>
    </row>
    <row r="5" spans="1:4" ht="19.5" customHeight="1">
      <c r="A5" s="147" t="s">
        <v>223</v>
      </c>
      <c r="B5" s="148">
        <f>281780566180.146/1000000000</f>
        <v>281.78056618014597</v>
      </c>
      <c r="C5" s="148">
        <f>282274672291.85/1000000000</f>
        <v>282.27467229184998</v>
      </c>
      <c r="D5" s="99"/>
    </row>
    <row r="6" spans="1:4" ht="16.5">
      <c r="A6" s="147" t="s">
        <v>128</v>
      </c>
      <c r="B6" s="150">
        <f>1354299215906.88/1000000000</f>
        <v>1354.2992159068799</v>
      </c>
      <c r="C6" s="150">
        <f>1370513862524.37/1000000000</f>
        <v>1370.5138625243701</v>
      </c>
      <c r="D6" s="99"/>
    </row>
    <row r="7" spans="1:4" ht="16.5">
      <c r="A7" s="147" t="s">
        <v>224</v>
      </c>
      <c r="B7" s="148">
        <f>99722351454.0567/1000000000</f>
        <v>99.722351454056707</v>
      </c>
      <c r="C7" s="148">
        <f>99747815398.1214/1000000000</f>
        <v>99.747815398121404</v>
      </c>
      <c r="D7" s="99"/>
    </row>
    <row r="8" spans="1:4" ht="16.5">
      <c r="A8" s="147" t="s">
        <v>154</v>
      </c>
      <c r="B8" s="149">
        <f>49943289569.6497/1000000000</f>
        <v>49.9432895696497</v>
      </c>
      <c r="C8" s="149">
        <f>48445217858.9921/1000000000</f>
        <v>48.445217858992102</v>
      </c>
      <c r="D8" s="99"/>
    </row>
    <row r="9" spans="1:4" ht="16.5">
      <c r="A9" s="147" t="s">
        <v>178</v>
      </c>
      <c r="B9" s="148">
        <f>5257385484.97/1000000000</f>
        <v>5.2573854849700004</v>
      </c>
      <c r="C9" s="148">
        <f>5112400375.62/1000000000</f>
        <v>5.11240037562</v>
      </c>
      <c r="D9" s="99"/>
    </row>
    <row r="10" spans="1:4" ht="16.5">
      <c r="A10" s="147" t="s">
        <v>225</v>
      </c>
      <c r="B10" s="148">
        <f>49520617624.7308/1000000000</f>
        <v>49.520617624730797</v>
      </c>
      <c r="C10" s="148">
        <f>49267826292.2499/1000000000</f>
        <v>49.2678262922499</v>
      </c>
      <c r="D10" s="99"/>
    </row>
    <row r="11" spans="1:4">
      <c r="A11" s="99"/>
      <c r="B11" s="99"/>
      <c r="C11" s="99"/>
      <c r="D11" s="99"/>
    </row>
    <row r="12" spans="1:4" ht="16.5">
      <c r="A12" s="99"/>
      <c r="B12" s="148">
        <v>27345380292.450001</v>
      </c>
      <c r="C12" s="99"/>
      <c r="D12" s="99"/>
    </row>
    <row r="13" spans="1:4" ht="16.5">
      <c r="A13" s="99"/>
      <c r="B13" s="150">
        <v>959419740927.82495</v>
      </c>
      <c r="C13" s="99"/>
      <c r="D13" s="99"/>
    </row>
    <row r="14" spans="1:4" ht="16.5">
      <c r="A14" s="99"/>
      <c r="B14" s="148">
        <v>282274672291.84998</v>
      </c>
      <c r="C14" s="99"/>
      <c r="D14" s="99"/>
    </row>
    <row r="15" spans="1:4" ht="16.5">
      <c r="A15" s="99"/>
      <c r="B15" s="150">
        <v>1370513862524.3701</v>
      </c>
      <c r="C15" s="99"/>
      <c r="D15" s="99"/>
    </row>
    <row r="16" spans="1:4" ht="16.5">
      <c r="A16" s="99"/>
      <c r="B16" s="148">
        <v>99747815398.121399</v>
      </c>
      <c r="C16" s="158"/>
      <c r="D16" s="99"/>
    </row>
    <row r="17" spans="1:4" ht="16.5">
      <c r="A17" s="99"/>
      <c r="B17" s="149">
        <v>48445217858.992104</v>
      </c>
      <c r="C17" s="116"/>
      <c r="D17" s="99"/>
    </row>
    <row r="18" spans="1:4" ht="16.5">
      <c r="A18" s="159"/>
      <c r="B18" s="148">
        <v>5112400375.6199999</v>
      </c>
      <c r="C18" s="152"/>
      <c r="D18" s="99"/>
    </row>
    <row r="19" spans="1:4" ht="16.5">
      <c r="A19" s="114"/>
      <c r="B19" s="148">
        <v>49267826292.249901</v>
      </c>
      <c r="C19" s="116"/>
      <c r="D19" s="99"/>
    </row>
    <row r="20" spans="1:4" ht="16.5">
      <c r="A20" s="114"/>
      <c r="B20" s="99"/>
      <c r="C20" s="152"/>
      <c r="D20" s="99"/>
    </row>
    <row r="21" spans="1:4" ht="16.5">
      <c r="A21" s="118"/>
      <c r="C21" s="106"/>
      <c r="D21" s="99"/>
    </row>
    <row r="22" spans="1:4" ht="16.5">
      <c r="A22" s="114"/>
      <c r="B22" s="116"/>
      <c r="C22" s="115"/>
      <c r="D22" s="99"/>
    </row>
    <row r="23" spans="1:4" ht="16.5">
      <c r="A23" s="114"/>
      <c r="B23" s="116">
        <v>49899185767.631302</v>
      </c>
      <c r="C23" s="116"/>
      <c r="D23" s="99"/>
    </row>
    <row r="24" spans="1:4" ht="16.5">
      <c r="A24" s="114"/>
      <c r="B24" s="116"/>
      <c r="C24" s="116"/>
      <c r="D24" s="99"/>
    </row>
    <row r="25" spans="1:4" ht="16.5">
      <c r="A25" s="114"/>
      <c r="B25" s="116"/>
      <c r="C25" s="116"/>
      <c r="D25" s="99"/>
    </row>
    <row r="26" spans="1:4" ht="16.5">
      <c r="A26" s="118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OEcz+LrJjKSgvOGZ9/e+Z85mbPvc3QIuEs27e6M/rPmUfMLvFUC2qZr1QPLlTm35tqVEzpexwnEu4zAfDKDqNw==" saltValue="a2mmATUlCr7VXhcNm9dzf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O3" sqref="O3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45" t="s">
        <v>222</v>
      </c>
      <c r="B1" s="146">
        <v>45352</v>
      </c>
      <c r="C1" s="99"/>
    </row>
    <row r="2" spans="1:3" ht="16.5">
      <c r="A2" s="147" t="s">
        <v>178</v>
      </c>
      <c r="B2" s="148">
        <v>5112400375.6199999</v>
      </c>
      <c r="C2" s="99"/>
    </row>
    <row r="3" spans="1:3" ht="16.5">
      <c r="A3" s="147" t="s">
        <v>15</v>
      </c>
      <c r="B3" s="148">
        <v>27345380292.449997</v>
      </c>
      <c r="C3" s="99"/>
    </row>
    <row r="4" spans="1:3" ht="16.5">
      <c r="A4" s="147" t="s">
        <v>154</v>
      </c>
      <c r="B4" s="149">
        <v>48445217858.992096</v>
      </c>
      <c r="C4" s="99"/>
    </row>
    <row r="5" spans="1:3" ht="16.5">
      <c r="A5" s="147" t="s">
        <v>225</v>
      </c>
      <c r="B5" s="148">
        <v>49267826292.249893</v>
      </c>
      <c r="C5" s="99"/>
    </row>
    <row r="6" spans="1:3" ht="16.5">
      <c r="A6" s="147" t="s">
        <v>224</v>
      </c>
      <c r="B6" s="148">
        <v>99747815398.121429</v>
      </c>
      <c r="C6" s="99"/>
    </row>
    <row r="7" spans="1:3" ht="16.5">
      <c r="A7" s="147" t="s">
        <v>223</v>
      </c>
      <c r="B7" s="148">
        <v>282274672291.84991</v>
      </c>
      <c r="C7" s="99"/>
    </row>
    <row r="8" spans="1:3" ht="16.5">
      <c r="A8" s="147" t="s">
        <v>47</v>
      </c>
      <c r="B8" s="150">
        <v>959419740927.82495</v>
      </c>
      <c r="C8" s="99"/>
    </row>
    <row r="9" spans="1:3" ht="16.5">
      <c r="A9" s="147" t="s">
        <v>128</v>
      </c>
      <c r="B9" s="150">
        <v>1370513862524.3679</v>
      </c>
      <c r="C9" s="99"/>
    </row>
    <row r="10" spans="1:3">
      <c r="A10" s="99"/>
      <c r="B10" s="99"/>
      <c r="C10" s="99"/>
    </row>
    <row r="11" spans="1:3">
      <c r="A11" s="99"/>
      <c r="B11" s="99"/>
      <c r="C11" s="99"/>
    </row>
    <row r="12" spans="1:3" ht="16.5">
      <c r="A12" s="148">
        <v>5112400375.6199999</v>
      </c>
      <c r="B12" s="99"/>
      <c r="C12" s="99"/>
    </row>
    <row r="13" spans="1:3" ht="16.5">
      <c r="A13" s="148">
        <v>27345380292.449997</v>
      </c>
      <c r="B13" s="148"/>
      <c r="C13" s="99"/>
    </row>
    <row r="14" spans="1:3" ht="16.5">
      <c r="A14" s="149">
        <v>48445217858.992096</v>
      </c>
      <c r="B14" s="148"/>
      <c r="C14" s="99"/>
    </row>
    <row r="15" spans="1:3" ht="16.5" customHeight="1">
      <c r="A15" s="148">
        <v>49267826292.249893</v>
      </c>
      <c r="B15" s="149"/>
      <c r="C15" s="99"/>
    </row>
    <row r="16" spans="1:3" ht="16.5">
      <c r="A16" s="148">
        <v>99747815398.121429</v>
      </c>
      <c r="B16" s="148"/>
      <c r="C16" s="99"/>
    </row>
    <row r="17" spans="1:17" ht="16.5">
      <c r="A17" s="148">
        <v>282274672291.84991</v>
      </c>
      <c r="B17" s="148"/>
      <c r="C17" s="99"/>
    </row>
    <row r="18" spans="1:17" ht="16.5">
      <c r="A18" s="150">
        <v>959419740927.82495</v>
      </c>
      <c r="B18" s="148"/>
      <c r="C18" s="99"/>
    </row>
    <row r="19" spans="1:17" ht="16.5">
      <c r="A19" s="150">
        <v>1370513862524.3679</v>
      </c>
      <c r="B19" s="151"/>
      <c r="C19" s="99"/>
    </row>
    <row r="20" spans="1:17" ht="16.5">
      <c r="A20" s="152"/>
      <c r="B20" s="152"/>
      <c r="C20" s="99"/>
    </row>
    <row r="21" spans="1:17" ht="16.5">
      <c r="A21" s="114"/>
      <c r="B21" s="152"/>
      <c r="C21" s="99"/>
    </row>
    <row r="22" spans="1:17" ht="16.5">
      <c r="A22" s="101"/>
      <c r="B22" s="121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</row>
    <row r="26" spans="1:17">
      <c r="A26" s="101"/>
      <c r="B26" s="101"/>
    </row>
    <row r="32" spans="1:17" ht="16.5" customHeight="1">
      <c r="A32" s="144" t="s">
        <v>267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07"/>
    </row>
    <row r="33" spans="1:17" ht="15" customHeight="1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07"/>
    </row>
  </sheetData>
  <sheetProtection algorithmName="SHA-512" hashValue="FGKSbso4iJzHVg1sBUbnCEL2SxTDr63cXPcjZrDNyuNJlAoHa5MJKkJY9ZoMSFUWFESLAu8VrO8TsAqHdW3Euw==" saltValue="rrFJe5W7I5KAa9E88VsbJw==" spinCount="100000" sheet="1" objects="1" scenarios="1"/>
  <sortState xmlns:xlrd2="http://schemas.microsoft.com/office/spreadsheetml/2017/richdata2" ref="A12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"/>
  <sheetViews>
    <sheetView zoomScale="110" zoomScaleNormal="110" workbookViewId="0">
      <selection activeCell="H1" sqref="H1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101"/>
      <c r="K1" s="101"/>
      <c r="L1" s="101"/>
      <c r="M1" s="101"/>
    </row>
    <row r="2" spans="1:13">
      <c r="A2" s="153" t="s">
        <v>233</v>
      </c>
      <c r="B2" s="154">
        <v>45303</v>
      </c>
      <c r="C2" s="154">
        <v>45310</v>
      </c>
      <c r="D2" s="154">
        <v>45317</v>
      </c>
      <c r="E2" s="154">
        <v>45324</v>
      </c>
      <c r="F2" s="154">
        <v>45331</v>
      </c>
      <c r="G2" s="154">
        <v>45338</v>
      </c>
      <c r="H2" s="154">
        <v>45345</v>
      </c>
      <c r="I2" s="154">
        <v>45352</v>
      </c>
      <c r="J2" s="101"/>
      <c r="K2" s="101"/>
      <c r="L2" s="101"/>
      <c r="M2" s="101"/>
    </row>
    <row r="3" spans="1:13">
      <c r="A3" s="153" t="s">
        <v>234</v>
      </c>
      <c r="B3" s="155">
        <f>2218204777155.8/1000000000</f>
        <v>2218.2047771558</v>
      </c>
      <c r="C3" s="155">
        <f>2215471403911.63/1000000000</f>
        <v>2215.4714039116297</v>
      </c>
      <c r="D3" s="155">
        <f>2278172196680.68/1000000000</f>
        <v>2278.1721966806804</v>
      </c>
      <c r="E3" s="155">
        <f>2700558814021.03/1000000000</f>
        <v>2700.5588140210298</v>
      </c>
      <c r="F3" s="155">
        <f>2722532361445.49/1000000000</f>
        <v>2722.5323614454901</v>
      </c>
      <c r="G3" s="155">
        <f>2804014031742.22/1000000000</f>
        <v>2804.0140317422201</v>
      </c>
      <c r="H3" s="155">
        <f>2818098609361.04/1000000000</f>
        <v>2818.09860936104</v>
      </c>
      <c r="I3" s="155">
        <f>2842126915961.48/1000000000</f>
        <v>2842.1269159614799</v>
      </c>
      <c r="J3" s="101"/>
      <c r="K3" s="101"/>
      <c r="L3" s="101"/>
      <c r="M3" s="101"/>
    </row>
    <row r="4" spans="1:13">
      <c r="A4" s="99"/>
      <c r="B4" s="99"/>
      <c r="C4" s="99"/>
      <c r="D4" s="99"/>
      <c r="E4" s="99"/>
      <c r="F4" s="99"/>
      <c r="G4" s="99"/>
      <c r="H4" s="99"/>
      <c r="I4" s="99"/>
      <c r="J4" s="101"/>
      <c r="K4" s="101"/>
      <c r="L4" s="101"/>
      <c r="M4" s="101"/>
    </row>
    <row r="5" spans="1:13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</sheetData>
  <sheetProtection algorithmName="SHA-512" hashValue="A5dLrEMrSRPcU2J5t7reHSq7FLvx1/MybcGZceOM/AFkFmFES4F/g1DN9hYJRWzd8jtUKHP6cMWfkHZuuFwgSg==" saltValue="sOpNKpxyI3hhvGpZfTP0Y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45296</v>
      </c>
      <c r="C1" s="45">
        <v>45303</v>
      </c>
      <c r="D1" s="45">
        <v>45310</v>
      </c>
      <c r="E1" s="45">
        <v>45317</v>
      </c>
      <c r="F1" s="45">
        <v>45324</v>
      </c>
      <c r="G1" s="45">
        <v>45331</v>
      </c>
      <c r="H1" s="45">
        <v>45338</v>
      </c>
      <c r="I1" s="45">
        <v>45345</v>
      </c>
      <c r="J1" s="45">
        <v>45352</v>
      </c>
    </row>
    <row r="2" spans="1:11" ht="16.5">
      <c r="A2" s="46" t="s">
        <v>15</v>
      </c>
      <c r="B2" s="47">
        <v>26318158433.3255</v>
      </c>
      <c r="C2" s="47">
        <v>27950770849.196804</v>
      </c>
      <c r="D2" s="47">
        <v>30206984491.494904</v>
      </c>
      <c r="E2" s="47">
        <v>31149538694.629303</v>
      </c>
      <c r="F2" s="47">
        <v>31133318704.695301</v>
      </c>
      <c r="G2" s="47">
        <v>29773154676.329697</v>
      </c>
      <c r="H2" s="47">
        <v>29579029239.597099</v>
      </c>
      <c r="I2" s="47">
        <v>28192321561.754601</v>
      </c>
      <c r="J2" s="47">
        <v>27345380292.449997</v>
      </c>
    </row>
    <row r="3" spans="1:11" ht="16.5">
      <c r="A3" s="46" t="s">
        <v>47</v>
      </c>
      <c r="B3" s="48">
        <v>903708318785.28052</v>
      </c>
      <c r="C3" s="48">
        <v>912572121651.28699</v>
      </c>
      <c r="D3" s="48">
        <v>930010368618.9447</v>
      </c>
      <c r="E3" s="48">
        <v>949716593900.38049</v>
      </c>
      <c r="F3" s="48">
        <v>962897181294.703</v>
      </c>
      <c r="G3" s="48">
        <v>965954238325.48999</v>
      </c>
      <c r="H3" s="48">
        <v>966685157443.69678</v>
      </c>
      <c r="I3" s="48">
        <v>949382861578.85535</v>
      </c>
      <c r="J3" s="48">
        <v>959419740927.82495</v>
      </c>
    </row>
    <row r="4" spans="1:11" ht="16.5">
      <c r="A4" s="46" t="s">
        <v>223</v>
      </c>
      <c r="B4" s="47">
        <v>287055376560.05243</v>
      </c>
      <c r="C4" s="47">
        <v>288835807549.41266</v>
      </c>
      <c r="D4" s="47">
        <v>288027196204.47491</v>
      </c>
      <c r="E4" s="47">
        <v>287140620370.69159</v>
      </c>
      <c r="F4" s="47">
        <v>285837472467.20758</v>
      </c>
      <c r="G4" s="47">
        <v>284109657368.59705</v>
      </c>
      <c r="H4" s="47">
        <v>283536298257.91882</v>
      </c>
      <c r="I4" s="47">
        <v>281780566180.14624</v>
      </c>
      <c r="J4" s="47">
        <v>282274672291.84991</v>
      </c>
    </row>
    <row r="5" spans="1:11" ht="16.5">
      <c r="A5" s="46" t="s">
        <v>128</v>
      </c>
      <c r="B5" s="48">
        <v>726920775377.21094</v>
      </c>
      <c r="C5" s="48">
        <v>790548059586.41138</v>
      </c>
      <c r="D5" s="48">
        <v>765722989499.45947</v>
      </c>
      <c r="E5" s="48">
        <v>804116651844.98926</v>
      </c>
      <c r="F5" s="48">
        <v>1213277971788.4419</v>
      </c>
      <c r="G5" s="48">
        <v>1237172786827.9678</v>
      </c>
      <c r="H5" s="48">
        <v>1318494922122.7168</v>
      </c>
      <c r="I5" s="48">
        <v>1354299215906.8804</v>
      </c>
      <c r="J5" s="48">
        <v>1370513862524.3679</v>
      </c>
    </row>
    <row r="6" spans="1:11" ht="16.5">
      <c r="A6" s="46" t="s">
        <v>224</v>
      </c>
      <c r="B6" s="47">
        <v>96815736652.814392</v>
      </c>
      <c r="C6" s="47">
        <v>99637490377.51947</v>
      </c>
      <c r="D6" s="47">
        <v>99595668997.222809</v>
      </c>
      <c r="E6" s="47">
        <v>100204717801.01483</v>
      </c>
      <c r="F6" s="47">
        <v>100225758223.61491</v>
      </c>
      <c r="G6" s="47">
        <v>99671501901.347351</v>
      </c>
      <c r="H6" s="47">
        <v>99704526748.85936</v>
      </c>
      <c r="I6" s="47">
        <v>99722351454.056747</v>
      </c>
      <c r="J6" s="47">
        <v>99747815398.121429</v>
      </c>
    </row>
    <row r="7" spans="1:11" ht="16.5">
      <c r="A7" s="46" t="s">
        <v>154</v>
      </c>
      <c r="B7" s="49">
        <v>44249451355.676628</v>
      </c>
      <c r="C7" s="49">
        <v>47102830010.420479</v>
      </c>
      <c r="D7" s="49">
        <v>49666823038.976089</v>
      </c>
      <c r="E7" s="49">
        <v>50649516378.670189</v>
      </c>
      <c r="F7" s="49">
        <v>51726288214.56089</v>
      </c>
      <c r="G7" s="49">
        <v>50580214127.421928</v>
      </c>
      <c r="H7" s="49">
        <v>50622521144.020866</v>
      </c>
      <c r="I7" s="49">
        <v>49943289569.649658</v>
      </c>
      <c r="J7" s="49">
        <v>48445217858.992096</v>
      </c>
    </row>
    <row r="8" spans="1:11" ht="16.5">
      <c r="A8" s="46" t="s">
        <v>178</v>
      </c>
      <c r="B8" s="47">
        <v>4619717314.71</v>
      </c>
      <c r="C8" s="47">
        <v>4848445844.8000002</v>
      </c>
      <c r="D8" s="47">
        <v>5180809308.1199999</v>
      </c>
      <c r="E8" s="47">
        <v>5351667060.3500004</v>
      </c>
      <c r="F8" s="47">
        <v>5492189675.5599995</v>
      </c>
      <c r="G8" s="47">
        <v>5371622450.7000008</v>
      </c>
      <c r="H8" s="47">
        <v>5382185314.8400002</v>
      </c>
      <c r="I8" s="47">
        <v>5257385484.9699993</v>
      </c>
      <c r="J8" s="47">
        <v>5112400375.6199999</v>
      </c>
    </row>
    <row r="9" spans="1:11" ht="16.5">
      <c r="A9" s="46" t="s">
        <v>225</v>
      </c>
      <c r="B9" s="47">
        <v>47837509740.908691</v>
      </c>
      <c r="C9" s="47">
        <v>46709251286.749229</v>
      </c>
      <c r="D9" s="47">
        <v>47060563752.939224</v>
      </c>
      <c r="E9" s="47">
        <v>49842890629.950577</v>
      </c>
      <c r="F9" s="47">
        <v>49968633652.242981</v>
      </c>
      <c r="G9" s="47">
        <v>49899185767.63131</v>
      </c>
      <c r="H9" s="47">
        <v>50009391470.574211</v>
      </c>
      <c r="I9" s="47">
        <v>49520617624.730827</v>
      </c>
      <c r="J9" s="47">
        <v>49267826292.249893</v>
      </c>
    </row>
    <row r="10" spans="1:11" ht="15.75">
      <c r="A10" s="50" t="s">
        <v>226</v>
      </c>
      <c r="B10" s="51">
        <f t="shared" ref="B10:J10" si="0">SUM(B2:B9)</f>
        <v>2137525044219.979</v>
      </c>
      <c r="C10" s="51">
        <f t="shared" si="0"/>
        <v>2218204777155.7969</v>
      </c>
      <c r="D10" s="51">
        <f t="shared" si="0"/>
        <v>2215471403911.6323</v>
      </c>
      <c r="E10" s="51">
        <f t="shared" si="0"/>
        <v>2278172196680.6768</v>
      </c>
      <c r="F10" s="51">
        <f t="shared" si="0"/>
        <v>2700558814021.0269</v>
      </c>
      <c r="G10" s="51">
        <f t="shared" si="0"/>
        <v>2722532361445.4854</v>
      </c>
      <c r="H10" s="51">
        <f t="shared" si="0"/>
        <v>2804014031742.2241</v>
      </c>
      <c r="I10" s="51">
        <f t="shared" si="0"/>
        <v>2818098609361.0439</v>
      </c>
      <c r="J10" s="51">
        <f t="shared" si="0"/>
        <v>2842126915961.4766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2177864910687.8879</v>
      </c>
      <c r="D12" s="57">
        <f t="shared" ref="D12:J12" si="1">(C10+D10)/2</f>
        <v>2216838090533.7148</v>
      </c>
      <c r="E12" s="57">
        <f t="shared" si="1"/>
        <v>2246821800296.1543</v>
      </c>
      <c r="F12" s="57">
        <f t="shared" si="1"/>
        <v>2489365505350.8516</v>
      </c>
      <c r="G12" s="57">
        <f>(F10+G10)/2</f>
        <v>2711545587733.2559</v>
      </c>
      <c r="H12" s="57">
        <f t="shared" si="1"/>
        <v>2763273196593.8545</v>
      </c>
      <c r="I12" s="57">
        <f t="shared" si="1"/>
        <v>2811056320551.6338</v>
      </c>
      <c r="J12" s="57">
        <f t="shared" si="1"/>
        <v>2830112762661.2603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B14" s="101"/>
      <c r="C14" s="99"/>
      <c r="D14" s="99"/>
      <c r="E14" s="99"/>
      <c r="F14" s="99"/>
      <c r="G14" s="99"/>
      <c r="H14" s="99"/>
      <c r="I14" s="99"/>
      <c r="J14" s="99"/>
      <c r="K14" s="99"/>
    </row>
    <row r="15" spans="1:11">
      <c r="B15" s="101"/>
      <c r="C15" s="155"/>
      <c r="D15" s="155"/>
      <c r="E15" s="155"/>
      <c r="F15" s="155"/>
      <c r="G15" s="155"/>
      <c r="H15" s="155"/>
      <c r="I15" s="155"/>
      <c r="J15" s="155"/>
      <c r="K15" s="99"/>
    </row>
    <row r="16" spans="1:11">
      <c r="B16" s="101"/>
      <c r="C16" s="155">
        <f>2218204777155.8/1000000000</f>
        <v>2218.2047771558</v>
      </c>
      <c r="D16" s="155">
        <f>2215471403911.63/1000000000</f>
        <v>2215.4714039116297</v>
      </c>
      <c r="E16" s="155">
        <f>2278172196680.68/1000000000</f>
        <v>2278.1721966806804</v>
      </c>
      <c r="F16" s="155">
        <f>2700558814021.03/1000000000</f>
        <v>2700.5588140210298</v>
      </c>
      <c r="G16" s="155">
        <f>2722532361445.49/1000000000</f>
        <v>2722.5323614454901</v>
      </c>
      <c r="H16" s="155">
        <f>2804014031742.22/1000000000</f>
        <v>2804.0140317422201</v>
      </c>
      <c r="I16" s="155">
        <f>2818098609361.04/1000000000</f>
        <v>2818.09860936104</v>
      </c>
      <c r="J16" s="155">
        <f>2842126915961.48/1000000000</f>
        <v>2842.1269159614799</v>
      </c>
      <c r="K16" s="99"/>
    </row>
    <row r="17" spans="2:11">
      <c r="B17" s="101"/>
      <c r="C17" s="99"/>
      <c r="D17" s="99"/>
      <c r="E17" s="99"/>
      <c r="F17" s="99"/>
      <c r="G17" s="99"/>
      <c r="H17" s="99"/>
      <c r="I17" s="99"/>
      <c r="J17" s="99"/>
      <c r="K17" s="99"/>
    </row>
    <row r="18" spans="2:11">
      <c r="B18" s="101"/>
      <c r="C18" s="160">
        <v>2218204777155.7998</v>
      </c>
      <c r="D18" s="160">
        <v>2215471403911.6299</v>
      </c>
      <c r="E18" s="160">
        <v>2278172196680.6802</v>
      </c>
      <c r="F18" s="160">
        <v>2700558814021.0298</v>
      </c>
      <c r="G18" s="160">
        <v>2722532361445.4902</v>
      </c>
      <c r="H18" s="160">
        <v>2804014031742.2202</v>
      </c>
      <c r="I18" s="160">
        <v>2818098609361.04</v>
      </c>
      <c r="J18" s="160">
        <v>2842126915961.48</v>
      </c>
      <c r="K18" s="99"/>
    </row>
    <row r="19" spans="2:11">
      <c r="B19" s="101"/>
      <c r="C19" s="99"/>
      <c r="D19" s="99"/>
      <c r="E19" s="99"/>
      <c r="F19" s="99"/>
      <c r="G19" s="99"/>
      <c r="H19" s="99"/>
      <c r="I19" s="99"/>
      <c r="J19" s="99"/>
      <c r="K19" s="99"/>
    </row>
    <row r="20" spans="2:11">
      <c r="B20" s="101"/>
      <c r="C20" s="99"/>
      <c r="D20" s="99"/>
      <c r="E20" s="99"/>
      <c r="F20" s="99"/>
      <c r="G20" s="99"/>
      <c r="H20" s="99"/>
      <c r="I20" s="99"/>
      <c r="J20" s="99"/>
      <c r="K20" s="99"/>
    </row>
    <row r="21" spans="2:11">
      <c r="B21" s="101"/>
      <c r="C21" s="101"/>
      <c r="D21" s="101"/>
      <c r="E21" s="101"/>
      <c r="F21" s="101"/>
      <c r="G21" s="101"/>
      <c r="H21" s="101"/>
      <c r="I21" s="101"/>
      <c r="J21" s="101"/>
      <c r="K21" s="99"/>
    </row>
    <row r="22" spans="2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6x7SXJwtaEZtMh67VOOYa9G1BIwgL4EX966bwAnor9Q5n2y3tzIP+/8v1pJognLzvKiLqql/6kXI7DERNKNS5Q==" saltValue="sspiI/m4tXAEf+UNec+LK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2024-03-22T21:59:42Z</dcterms:modified>
</cp:coreProperties>
</file>